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ables/table3.xml" ContentType="application/vnd.openxmlformats-officedocument.spreadsheetml.table+xml"/>
  <Override PartName="/xl/queryTables/queryTable2.xml" ContentType="application/vnd.openxmlformats-officedocument.spreadsheetml.query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mahir\OneDrive\Desktop\Codes\YKHT\backend\expense\management\documents\archieve\2408\"/>
    </mc:Choice>
  </mc:AlternateContent>
  <xr:revisionPtr revIDLastSave="0" documentId="13_ncr:1_{256155E2-0F05-4913-B83A-55B524664DD6}" xr6:coauthVersionLast="47" xr6:coauthVersionMax="47" xr10:uidLastSave="{00000000-0000-0000-0000-000000000000}"/>
  <bookViews>
    <workbookView xWindow="38280" yWindow="-120" windowWidth="29040" windowHeight="15720" xr2:uid="{A68C946A-13C5-4FAC-8C79-ED24B6539CD3}"/>
  </bookViews>
  <sheets>
    <sheet name="Gider Miktar" sheetId="1" r:id="rId1"/>
    <sheet name="BETON  POMPA" sheetId="16" state="hidden" r:id="rId2"/>
    <sheet name="BETON NAKLİ" sheetId="15" state="hidden" r:id="rId3"/>
    <sheet name="BETON SANTRALİ" sheetId="14" state="hidden" r:id="rId4"/>
    <sheet name="KIRMATAŞ" sheetId="13" state="hidden" r:id="rId5"/>
    <sheet name="SU - Miktar-Grp" sheetId="11" state="hidden" r:id="rId6"/>
    <sheet name="SU TEMİNİ" sheetId="10" state="hidden" r:id="rId7"/>
    <sheet name="TAŞ" sheetId="12" state="hidden" r:id="rId8"/>
    <sheet name="Genel Taşeron Gider" sheetId="8" state="hidden" r:id="rId9"/>
    <sheet name="Emanet Miktar Dağılım" sheetId="6" state="hidden" r:id="rId10"/>
    <sheet name="M2" sheetId="5" r:id="rId11"/>
    <sheet name="L4" sheetId="3" r:id="rId12"/>
    <sheet name="ROKET TUTAR DAĞILIM" sheetId="2" state="hidden" r:id="rId13"/>
    <sheet name="Emanet Miktar Dağılım_Static" sheetId="7" state="hidden" r:id="rId14"/>
  </sheets>
  <definedNames>
    <definedName name="_xlnm._FilterDatabase" localSheetId="1" hidden="1">'BETON  POMPA'!$A$1:$BX$18</definedName>
    <definedName name="_xlnm._FilterDatabase" localSheetId="2" hidden="1">'BETON NAKLİ'!$A$1:$BX$40</definedName>
    <definedName name="_xlnm._FilterDatabase" localSheetId="3" hidden="1">'BETON SANTRALİ'!$A$1:$BX$41</definedName>
    <definedName name="_xlnm._FilterDatabase" localSheetId="0" hidden="1">'Gider Miktar'!$A$1:$BX$520</definedName>
    <definedName name="_xlnm._FilterDatabase" localSheetId="4" hidden="1">KIRMATAŞ!$A$1:$BX$22</definedName>
    <definedName name="ExternalData_1" localSheetId="5" hidden="1">'SU - Miktar-Grp'!$A$1:$BN$60</definedName>
    <definedName name="ExternalData_4" localSheetId="10" hidden="1">'M2'!$H$3:$I$100</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16" l="1"/>
  <c r="P20" i="16"/>
  <c r="Q20" i="16"/>
  <c r="R20" i="16"/>
  <c r="S20" i="16"/>
  <c r="T20" i="16"/>
  <c r="U20" i="16"/>
  <c r="V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Y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N20" i="16"/>
  <c r="O42" i="15" l="1"/>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AQ42" i="15"/>
  <c r="AR42" i="15"/>
  <c r="AS42" i="15"/>
  <c r="AT42" i="15"/>
  <c r="AU42" i="15"/>
  <c r="AV42" i="15"/>
  <c r="AW42" i="15"/>
  <c r="AX42" i="15"/>
  <c r="AY42" i="15"/>
  <c r="AZ42" i="15"/>
  <c r="BA42" i="15"/>
  <c r="BB42" i="15"/>
  <c r="BC42" i="15"/>
  <c r="BD42" i="15"/>
  <c r="BE42" i="15"/>
  <c r="BF42" i="15"/>
  <c r="BG42" i="15"/>
  <c r="BH42" i="15"/>
  <c r="BI42" i="15"/>
  <c r="BJ42" i="15"/>
  <c r="BK42" i="15"/>
  <c r="BL42" i="15"/>
  <c r="BM42" i="15"/>
  <c r="BN42" i="15"/>
  <c r="BO42" i="15"/>
  <c r="BP42" i="15"/>
  <c r="BQ42" i="15"/>
  <c r="BR42" i="15"/>
  <c r="BS42" i="15"/>
  <c r="BT42" i="15"/>
  <c r="BU42" i="15"/>
  <c r="BV42" i="15"/>
  <c r="BW42" i="15"/>
  <c r="BX42" i="15"/>
  <c r="N42" i="15"/>
  <c r="O43" i="14" l="1"/>
  <c r="P43" i="14"/>
  <c r="Q43" i="14"/>
  <c r="R43" i="14"/>
  <c r="S43" i="14"/>
  <c r="T43" i="14"/>
  <c r="U43" i="14"/>
  <c r="V43" i="14"/>
  <c r="W43" i="14"/>
  <c r="X43" i="14"/>
  <c r="Y43" i="14"/>
  <c r="Z43" i="14"/>
  <c r="AA43" i="14"/>
  <c r="AB43" i="14"/>
  <c r="AC43" i="14"/>
  <c r="AD43" i="14"/>
  <c r="AE43" i="14"/>
  <c r="AF43" i="14"/>
  <c r="AG43" i="14"/>
  <c r="AH43" i="14"/>
  <c r="AI43" i="14"/>
  <c r="AJ43" i="14"/>
  <c r="AK43" i="14"/>
  <c r="AL43" i="14"/>
  <c r="AM43" i="14"/>
  <c r="AN43" i="14"/>
  <c r="AO43" i="14"/>
  <c r="AP43" i="14"/>
  <c r="AQ43" i="14"/>
  <c r="AR43" i="14"/>
  <c r="AS43" i="14"/>
  <c r="AT43" i="14"/>
  <c r="AU43" i="14"/>
  <c r="AV43" i="14"/>
  <c r="AW43" i="14"/>
  <c r="AX43" i="14"/>
  <c r="AY43" i="14"/>
  <c r="AZ43" i="14"/>
  <c r="BA43" i="14"/>
  <c r="BB43" i="14"/>
  <c r="BC43" i="14"/>
  <c r="BD43" i="14"/>
  <c r="BE43" i="14"/>
  <c r="BF43" i="14"/>
  <c r="BG43" i="14"/>
  <c r="BH43" i="14"/>
  <c r="BI43" i="14"/>
  <c r="BJ43" i="14"/>
  <c r="BK43" i="14"/>
  <c r="BL43" i="14"/>
  <c r="BM43" i="14"/>
  <c r="BN43" i="14"/>
  <c r="BO43" i="14"/>
  <c r="BP43" i="14"/>
  <c r="BQ43" i="14"/>
  <c r="BR43" i="14"/>
  <c r="BS43" i="14"/>
  <c r="BT43" i="14"/>
  <c r="BU43" i="14"/>
  <c r="BV43" i="14"/>
  <c r="BW43" i="14"/>
  <c r="BX43" i="14"/>
  <c r="N43" i="14"/>
  <c r="M37" i="14"/>
  <c r="M36" i="14"/>
  <c r="M35" i="14"/>
  <c r="M34" i="14"/>
  <c r="M21" i="14"/>
  <c r="M20" i="14"/>
  <c r="BX24" i="13"/>
  <c r="BW24" i="13"/>
  <c r="BV24" i="13"/>
  <c r="BU24" i="13"/>
  <c r="BT24" i="13"/>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BX6" i="12" l="1"/>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Z1" i="12"/>
  <c r="AA1" i="12" s="1"/>
  <c r="AB1" i="12" s="1"/>
  <c r="AC1" i="12" s="1"/>
  <c r="AD1" i="12" s="1"/>
  <c r="AE1" i="12" s="1"/>
  <c r="AF1" i="12" s="1"/>
  <c r="AG1" i="12" s="1"/>
  <c r="AH1" i="12" s="1"/>
  <c r="AI1" i="12" s="1"/>
  <c r="AJ1" i="12" s="1"/>
  <c r="AK1" i="12" s="1"/>
  <c r="AL1" i="12" s="1"/>
  <c r="AM1" i="12" s="1"/>
  <c r="AN1" i="12" s="1"/>
  <c r="AO1" i="12" s="1"/>
  <c r="AP1" i="12" s="1"/>
  <c r="AQ1" i="12" s="1"/>
  <c r="AR1" i="12" s="1"/>
  <c r="AS1" i="12" s="1"/>
  <c r="AT1" i="12" s="1"/>
  <c r="AU1" i="12" s="1"/>
  <c r="AV1" i="12" s="1"/>
  <c r="AW1" i="12" s="1"/>
  <c r="AX1" i="12" s="1"/>
  <c r="AY1" i="12" s="1"/>
  <c r="AZ1" i="12" s="1"/>
  <c r="BA1" i="12" s="1"/>
  <c r="BB1" i="12" s="1"/>
  <c r="BC1" i="12" s="1"/>
  <c r="BD1" i="12" s="1"/>
  <c r="BE1" i="12" s="1"/>
  <c r="BF1" i="12" s="1"/>
  <c r="BG1" i="12" s="1"/>
  <c r="BH1" i="12" s="1"/>
  <c r="BI1" i="12" s="1"/>
  <c r="BJ1" i="12" s="1"/>
  <c r="BK1" i="12" s="1"/>
  <c r="BL1" i="12" s="1"/>
  <c r="BM1" i="12" s="1"/>
  <c r="BN1" i="12" s="1"/>
  <c r="BO1" i="12" s="1"/>
  <c r="BP1" i="12" s="1"/>
  <c r="BQ1" i="12" s="1"/>
  <c r="BR1" i="12" s="1"/>
  <c r="BS1" i="12" s="1"/>
  <c r="BT1" i="12" s="1"/>
  <c r="BU1" i="12" s="1"/>
  <c r="BV1" i="12" s="1"/>
  <c r="BW1" i="12" s="1"/>
  <c r="BX1" i="12" s="1"/>
  <c r="Y1" i="12"/>
  <c r="X1" i="12"/>
  <c r="P1" i="12"/>
  <c r="Q1" i="12" s="1"/>
  <c r="R1" i="12" s="1"/>
  <c r="S1" i="12" s="1"/>
  <c r="T1" i="12" s="1"/>
  <c r="U1" i="12" s="1"/>
  <c r="V1" i="12" s="1"/>
  <c r="O1" i="12"/>
  <c r="BX28" i="10" l="1"/>
  <c r="BW28" i="10"/>
  <c r="BV28" i="10"/>
  <c r="BU28" i="10"/>
  <c r="BT28" i="10"/>
  <c r="BS28" i="10"/>
  <c r="BR28" i="10"/>
  <c r="BQ28" i="10"/>
  <c r="BP28" i="10"/>
  <c r="BO28" i="10"/>
  <c r="BN28" i="10"/>
  <c r="BM28" i="10"/>
  <c r="BL28" i="10"/>
  <c r="BK28" i="10"/>
  <c r="BJ28" i="10"/>
  <c r="BI28" i="10"/>
  <c r="BH28" i="10"/>
  <c r="BG28" i="10"/>
  <c r="BF28" i="10"/>
  <c r="BE28" i="10"/>
  <c r="BD28" i="10"/>
  <c r="BC28" i="10"/>
  <c r="BB28" i="10"/>
  <c r="BA28" i="10"/>
  <c r="AZ28" i="10"/>
  <c r="AY28" i="10"/>
  <c r="AX28" i="10"/>
  <c r="AW28" i="10"/>
  <c r="AV28" i="10"/>
  <c r="AU28" i="10"/>
  <c r="AT28" i="10"/>
  <c r="AS28" i="10"/>
  <c r="AR28" i="10"/>
  <c r="AQ28" i="10"/>
  <c r="AP28" i="10"/>
  <c r="AO28" i="10"/>
  <c r="AN28" i="10"/>
  <c r="AM28" i="10"/>
  <c r="AL28" i="10"/>
  <c r="AK28" i="10"/>
  <c r="AJ28" i="10"/>
  <c r="AI28" i="10"/>
  <c r="AH28" i="10"/>
  <c r="AG28" i="10"/>
  <c r="AF28" i="10"/>
  <c r="AE28" i="10"/>
  <c r="AD28" i="10"/>
  <c r="AC28" i="10"/>
  <c r="AB28" i="10"/>
  <c r="AA28" i="10"/>
  <c r="Z28" i="10"/>
  <c r="Y28" i="10"/>
  <c r="X28" i="10"/>
  <c r="W28" i="10"/>
  <c r="V28" i="10"/>
  <c r="U28" i="10"/>
  <c r="T28" i="10"/>
  <c r="S28" i="10"/>
  <c r="R28" i="10"/>
  <c r="Q28" i="10"/>
  <c r="P28" i="10"/>
  <c r="O28" i="10"/>
  <c r="BX27" i="10"/>
  <c r="BW27" i="10"/>
  <c r="BV27" i="10"/>
  <c r="BU27" i="10"/>
  <c r="BT27" i="10"/>
  <c r="BS27" i="10"/>
  <c r="BR27" i="10"/>
  <c r="BQ27" i="10"/>
  <c r="BP27" i="10"/>
  <c r="BO27" i="10"/>
  <c r="BN27" i="10"/>
  <c r="BM27" i="10"/>
  <c r="BL27" i="10"/>
  <c r="BK27" i="10"/>
  <c r="BJ27" i="10"/>
  <c r="BI27" i="10"/>
  <c r="BH27" i="10"/>
  <c r="BG27" i="10"/>
  <c r="BF27" i="10"/>
  <c r="BE27" i="10"/>
  <c r="BD27" i="10"/>
  <c r="BC27" i="10"/>
  <c r="BB27" i="10"/>
  <c r="BA27" i="10"/>
  <c r="AZ27" i="10"/>
  <c r="AY27" i="10"/>
  <c r="AX27" i="10"/>
  <c r="AW27" i="10"/>
  <c r="AV27" i="10"/>
  <c r="AU27" i="10"/>
  <c r="AT27" i="10"/>
  <c r="AS27" i="10"/>
  <c r="AR27" i="10"/>
  <c r="AQ27" i="10"/>
  <c r="AP27" i="10"/>
  <c r="AO27" i="10"/>
  <c r="AN27" i="10"/>
  <c r="AM27" i="10"/>
  <c r="AL27" i="10"/>
  <c r="AK27" i="10"/>
  <c r="AJ27" i="10"/>
  <c r="AI27" i="10"/>
  <c r="AH27" i="10"/>
  <c r="AG27" i="10"/>
  <c r="AF27" i="10"/>
  <c r="AE27" i="10"/>
  <c r="AD27" i="10"/>
  <c r="AC27" i="10"/>
  <c r="AB27" i="10"/>
  <c r="AA27" i="10"/>
  <c r="Z27" i="10"/>
  <c r="Y27" i="10"/>
  <c r="X27" i="10"/>
  <c r="W27" i="10"/>
  <c r="V27" i="10"/>
  <c r="U27" i="10"/>
  <c r="T27" i="10"/>
  <c r="S27" i="10"/>
  <c r="R27" i="10"/>
  <c r="Q27" i="10"/>
  <c r="P27" i="10"/>
  <c r="O27" i="10"/>
  <c r="BX26" i="10"/>
  <c r="BW26" i="10"/>
  <c r="BV26" i="10"/>
  <c r="BU26" i="10"/>
  <c r="BT26" i="10"/>
  <c r="BS26" i="10"/>
  <c r="BR26" i="10"/>
  <c r="BQ26" i="10"/>
  <c r="BP26" i="10"/>
  <c r="BO26" i="10"/>
  <c r="BN26" i="10"/>
  <c r="BM26" i="10"/>
  <c r="BL26" i="10"/>
  <c r="BK26" i="10"/>
  <c r="BJ26" i="10"/>
  <c r="BI26" i="10"/>
  <c r="BH26" i="10"/>
  <c r="BG26" i="10"/>
  <c r="BF26" i="10"/>
  <c r="BE26" i="10"/>
  <c r="BD26" i="10"/>
  <c r="BC26" i="10"/>
  <c r="BB26" i="10"/>
  <c r="BA26" i="10"/>
  <c r="AZ26" i="10"/>
  <c r="AY26" i="10"/>
  <c r="AX26" i="10"/>
  <c r="AW26" i="10"/>
  <c r="AV26" i="10"/>
  <c r="AU26" i="10"/>
  <c r="AT26" i="10"/>
  <c r="AS26" i="10"/>
  <c r="AR26" i="10"/>
  <c r="AQ26" i="10"/>
  <c r="AP26" i="10"/>
  <c r="AO26" i="10"/>
  <c r="AN26" i="10"/>
  <c r="AM26" i="10"/>
  <c r="AL26" i="10"/>
  <c r="AK26" i="10"/>
  <c r="AJ26" i="10"/>
  <c r="AI26" i="10"/>
  <c r="AH26" i="10"/>
  <c r="AG26" i="10"/>
  <c r="AF26" i="10"/>
  <c r="AE26" i="10"/>
  <c r="AD26" i="10"/>
  <c r="AC26" i="10"/>
  <c r="AB26" i="10"/>
  <c r="AA26" i="10"/>
  <c r="Z26" i="10"/>
  <c r="Y26" i="10"/>
  <c r="X26" i="10"/>
  <c r="W26" i="10"/>
  <c r="V26" i="10"/>
  <c r="U26" i="10"/>
  <c r="T26" i="10"/>
  <c r="S26" i="10"/>
  <c r="R26" i="10"/>
  <c r="Q26" i="10"/>
  <c r="P26" i="10"/>
  <c r="O26" i="10"/>
  <c r="BX25" i="10"/>
  <c r="BW25" i="10"/>
  <c r="BV25" i="10"/>
  <c r="BU25" i="10"/>
  <c r="BT25" i="10"/>
  <c r="BS25" i="10"/>
  <c r="BR25" i="10"/>
  <c r="BQ25" i="10"/>
  <c r="BP25" i="10"/>
  <c r="BO25" i="10"/>
  <c r="BN25" i="10"/>
  <c r="BM25" i="10"/>
  <c r="BL25" i="10"/>
  <c r="BK25" i="10"/>
  <c r="BJ25" i="10"/>
  <c r="BI25" i="10"/>
  <c r="BH25" i="10"/>
  <c r="BG25" i="10"/>
  <c r="BF25" i="10"/>
  <c r="BE25" i="10"/>
  <c r="BD25" i="10"/>
  <c r="BC25" i="10"/>
  <c r="BB25" i="10"/>
  <c r="BA25" i="10"/>
  <c r="AZ25" i="10"/>
  <c r="AY25" i="10"/>
  <c r="AX25" i="10"/>
  <c r="AW25" i="10"/>
  <c r="AV25" i="10"/>
  <c r="AU25" i="10"/>
  <c r="AT25" i="10"/>
  <c r="AS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R25" i="10"/>
  <c r="Q25" i="10"/>
  <c r="P25" i="10"/>
  <c r="O25" i="10"/>
  <c r="BX24" i="10"/>
  <c r="BW24" i="10"/>
  <c r="BV24" i="10"/>
  <c r="BU24" i="10"/>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BX23" i="10"/>
  <c r="BW23" i="10"/>
  <c r="BV23" i="10"/>
  <c r="BU23"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BX22" i="10"/>
  <c r="BW22" i="10"/>
  <c r="BV22" i="10"/>
  <c r="BU22"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BX21" i="10"/>
  <c r="BW21" i="10"/>
  <c r="BV21" i="10"/>
  <c r="BU21"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BX20" i="10"/>
  <c r="BW20" i="10"/>
  <c r="BV20" i="10"/>
  <c r="BU20"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BX18" i="10"/>
  <c r="BW18" i="10"/>
  <c r="BV18" i="10"/>
  <c r="BU18" i="10"/>
  <c r="BT18" i="10"/>
  <c r="BS18" i="10"/>
  <c r="BR18"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BX17" i="10"/>
  <c r="BW17" i="10"/>
  <c r="BV17" i="10"/>
  <c r="BU17" i="10"/>
  <c r="BT17" i="10"/>
  <c r="BS17" i="10"/>
  <c r="BR17" i="10"/>
  <c r="BQ17" i="10"/>
  <c r="BP17" i="10"/>
  <c r="BO17" i="10"/>
  <c r="BN17" i="10"/>
  <c r="BM17" i="10"/>
  <c r="BL17" i="10"/>
  <c r="BK17" i="10"/>
  <c r="BJ17" i="10"/>
  <c r="BI17" i="10"/>
  <c r="BH17" i="10"/>
  <c r="BG17" i="10"/>
  <c r="BF17" i="10"/>
  <c r="BE17" i="10"/>
  <c r="BD17" i="10"/>
  <c r="BC17" i="10"/>
  <c r="BB17" i="10"/>
  <c r="BA17" i="10"/>
  <c r="AZ17" i="10"/>
  <c r="AY17" i="10"/>
  <c r="AX17" i="10"/>
  <c r="AW17" i="10"/>
  <c r="AV17" i="10"/>
  <c r="AU17" i="10"/>
  <c r="AT17" i="10"/>
  <c r="AS17" i="10"/>
  <c r="AR17" i="10"/>
  <c r="AQ17" i="10"/>
  <c r="AP17" i="10"/>
  <c r="AO17" i="10"/>
  <c r="AN17" i="10"/>
  <c r="AM17" i="10"/>
  <c r="AL17" i="10"/>
  <c r="AK17" i="10"/>
  <c r="AJ17" i="10"/>
  <c r="AI17" i="10"/>
  <c r="AH17" i="10"/>
  <c r="AG17" i="10"/>
  <c r="AF17" i="10"/>
  <c r="AE17" i="10"/>
  <c r="AD17" i="10"/>
  <c r="AC17" i="10"/>
  <c r="AB17" i="10"/>
  <c r="AA17" i="10"/>
  <c r="Z17" i="10"/>
  <c r="Y17" i="10"/>
  <c r="X17" i="10"/>
  <c r="W17" i="10"/>
  <c r="V17" i="10"/>
  <c r="U17" i="10"/>
  <c r="T17" i="10"/>
  <c r="S17" i="10"/>
  <c r="R17" i="10"/>
  <c r="Q17" i="10"/>
  <c r="P17" i="10"/>
  <c r="O17"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BX15" i="10"/>
  <c r="BW15" i="10"/>
  <c r="BV15" i="10"/>
  <c r="BU15" i="10"/>
  <c r="BT15" i="10"/>
  <c r="BS15" i="10"/>
  <c r="BR15" i="10"/>
  <c r="BQ15" i="10"/>
  <c r="BP15" i="10"/>
  <c r="BO15" i="10"/>
  <c r="BN15" i="10"/>
  <c r="BM15" i="10"/>
  <c r="BL15" i="10"/>
  <c r="BK15" i="10"/>
  <c r="BJ15" i="10"/>
  <c r="BI15" i="10"/>
  <c r="BH15" i="10"/>
  <c r="BG15" i="10"/>
  <c r="BF15" i="10"/>
  <c r="BE15" i="10"/>
  <c r="BD15" i="10"/>
  <c r="BC15" i="10"/>
  <c r="BB15" i="10"/>
  <c r="BA15" i="10"/>
  <c r="AZ15" i="10"/>
  <c r="AY15" i="10"/>
  <c r="AX15" i="10"/>
  <c r="AW15" i="10"/>
  <c r="AV15" i="10"/>
  <c r="AU15" i="10"/>
  <c r="AT15" i="10"/>
  <c r="AS15" i="10"/>
  <c r="AR15" i="10"/>
  <c r="AQ15" i="10"/>
  <c r="AP15" i="10"/>
  <c r="AO15" i="10"/>
  <c r="AN15" i="10"/>
  <c r="AM15" i="10"/>
  <c r="AL15" i="10"/>
  <c r="AK15" i="10"/>
  <c r="AJ15" i="10"/>
  <c r="AI15" i="10"/>
  <c r="AH15" i="10"/>
  <c r="AG15" i="10"/>
  <c r="AF15" i="10"/>
  <c r="AE15" i="10"/>
  <c r="AD15" i="10"/>
  <c r="AC15" i="10"/>
  <c r="AB15" i="10"/>
  <c r="AA15" i="10"/>
  <c r="Z15" i="10"/>
  <c r="Y15" i="10"/>
  <c r="X15" i="10"/>
  <c r="W15" i="10"/>
  <c r="V15" i="10"/>
  <c r="U15" i="10"/>
  <c r="T15" i="10"/>
  <c r="S15" i="10"/>
  <c r="R15" i="10"/>
  <c r="Q15" i="10"/>
  <c r="P15" i="10"/>
  <c r="O15" i="10"/>
  <c r="BX14" i="10"/>
  <c r="BW14" i="10"/>
  <c r="BV14" i="10"/>
  <c r="BU14" i="10"/>
  <c r="BT14" i="10"/>
  <c r="BS14" i="10"/>
  <c r="BR14" i="10"/>
  <c r="BQ14" i="10"/>
  <c r="BP14" i="10"/>
  <c r="BO14" i="10"/>
  <c r="BN14" i="10"/>
  <c r="BM14" i="10"/>
  <c r="BL14" i="10"/>
  <c r="BK14" i="10"/>
  <c r="BJ14" i="10"/>
  <c r="BI14" i="10"/>
  <c r="BH14" i="10"/>
  <c r="BG14" i="10"/>
  <c r="BF14" i="10"/>
  <c r="BE14" i="10"/>
  <c r="BD14" i="10"/>
  <c r="BC14" i="10"/>
  <c r="BB14" i="10"/>
  <c r="BA14" i="10"/>
  <c r="AZ14" i="10"/>
  <c r="AY14" i="10"/>
  <c r="AX14" i="10"/>
  <c r="AW14" i="10"/>
  <c r="AV14" i="10"/>
  <c r="AU14" i="10"/>
  <c r="AT14" i="10"/>
  <c r="AS14" i="10"/>
  <c r="AR14" i="10"/>
  <c r="AQ14" i="10"/>
  <c r="AP14" i="10"/>
  <c r="AO14" i="10"/>
  <c r="AN14" i="10"/>
  <c r="AM14" i="10"/>
  <c r="AL14" i="10"/>
  <c r="AK14" i="10"/>
  <c r="AJ14" i="10"/>
  <c r="AI14" i="10"/>
  <c r="AH14" i="10"/>
  <c r="AG14" i="10"/>
  <c r="AF14" i="10"/>
  <c r="AE14" i="10"/>
  <c r="AD14" i="10"/>
  <c r="AC14" i="10"/>
  <c r="AB14" i="10"/>
  <c r="AA14" i="10"/>
  <c r="Z14" i="10"/>
  <c r="Y14" i="10"/>
  <c r="X14" i="10"/>
  <c r="W14" i="10"/>
  <c r="V14" i="10"/>
  <c r="U14" i="10"/>
  <c r="T14" i="10"/>
  <c r="S14" i="10"/>
  <c r="R14" i="10"/>
  <c r="Q14" i="10"/>
  <c r="P14" i="10"/>
  <c r="O14" i="10"/>
  <c r="BX13" i="10"/>
  <c r="BW13" i="10"/>
  <c r="BV13" i="10"/>
  <c r="BU13" i="10"/>
  <c r="BT13" i="10"/>
  <c r="BS13" i="10"/>
  <c r="BR13" i="10"/>
  <c r="BQ13" i="10"/>
  <c r="BP13" i="10"/>
  <c r="BO13" i="10"/>
  <c r="BN13" i="10"/>
  <c r="BM13" i="10"/>
  <c r="BL13" i="10"/>
  <c r="BK13" i="10"/>
  <c r="BJ13" i="10"/>
  <c r="BI13" i="10"/>
  <c r="BH13" i="10"/>
  <c r="BG13" i="10"/>
  <c r="BF13" i="10"/>
  <c r="BE13" i="10"/>
  <c r="BD13" i="10"/>
  <c r="BC13" i="10"/>
  <c r="BB13" i="10"/>
  <c r="BA13" i="10"/>
  <c r="AZ13" i="10"/>
  <c r="AY13" i="10"/>
  <c r="AX13" i="10"/>
  <c r="AW13" i="10"/>
  <c r="AV13" i="10"/>
  <c r="AU13" i="10"/>
  <c r="AT13" i="10"/>
  <c r="AS13" i="10"/>
  <c r="AR13" i="10"/>
  <c r="AQ13" i="10"/>
  <c r="AP13" i="10"/>
  <c r="AO13" i="10"/>
  <c r="AN13" i="10"/>
  <c r="AM13" i="10"/>
  <c r="AL13" i="10"/>
  <c r="AK13" i="10"/>
  <c r="AJ13" i="10"/>
  <c r="AI13" i="10"/>
  <c r="AH13" i="10"/>
  <c r="AG13" i="10"/>
  <c r="AF13" i="10"/>
  <c r="AE13" i="10"/>
  <c r="AD13" i="10"/>
  <c r="AC13" i="10"/>
  <c r="AB13" i="10"/>
  <c r="AA13" i="10"/>
  <c r="Z13" i="10"/>
  <c r="Y13" i="10"/>
  <c r="X13" i="10"/>
  <c r="W13" i="10"/>
  <c r="V13" i="10"/>
  <c r="U13" i="10"/>
  <c r="T13" i="10"/>
  <c r="S13" i="10"/>
  <c r="R13" i="10"/>
  <c r="Q13" i="10"/>
  <c r="P13" i="10"/>
  <c r="O13" i="10"/>
  <c r="BX12" i="10"/>
  <c r="BW12" i="10"/>
  <c r="BV12" i="10"/>
  <c r="BU12" i="10"/>
  <c r="BT12" i="10"/>
  <c r="BS12" i="10"/>
  <c r="BR12" i="10"/>
  <c r="BQ12" i="10"/>
  <c r="BP12" i="10"/>
  <c r="BO12" i="10"/>
  <c r="BN12" i="10"/>
  <c r="BM12" i="10"/>
  <c r="BL12" i="10"/>
  <c r="BK12" i="10"/>
  <c r="BJ12" i="10"/>
  <c r="BI12" i="10"/>
  <c r="BH12" i="10"/>
  <c r="BG12" i="10"/>
  <c r="BF12" i="10"/>
  <c r="BE12" i="10"/>
  <c r="BD12" i="10"/>
  <c r="BC12" i="10"/>
  <c r="BB12" i="10"/>
  <c r="BA12" i="10"/>
  <c r="AZ12" i="10"/>
  <c r="AY12" i="10"/>
  <c r="AX12" i="10"/>
  <c r="AW12" i="10"/>
  <c r="AV12" i="10"/>
  <c r="AU12" i="10"/>
  <c r="AT12" i="10"/>
  <c r="AS12" i="10"/>
  <c r="AR12" i="10"/>
  <c r="AQ12" i="10"/>
  <c r="AP12" i="10"/>
  <c r="AO12" i="10"/>
  <c r="AN12" i="10"/>
  <c r="AM12" i="10"/>
  <c r="AL12" i="10"/>
  <c r="AK12" i="10"/>
  <c r="AJ12" i="10"/>
  <c r="AI12" i="10"/>
  <c r="AH12" i="10"/>
  <c r="AG12" i="10"/>
  <c r="AF12" i="10"/>
  <c r="AE12" i="10"/>
  <c r="AD12" i="10"/>
  <c r="AC12" i="10"/>
  <c r="AB12" i="10"/>
  <c r="AA12" i="10"/>
  <c r="Z12" i="10"/>
  <c r="Y12" i="10"/>
  <c r="X12" i="10"/>
  <c r="W12" i="10"/>
  <c r="V12" i="10"/>
  <c r="U12" i="10"/>
  <c r="T12" i="10"/>
  <c r="S12" i="10"/>
  <c r="R12" i="10"/>
  <c r="Q12" i="10"/>
  <c r="P12" i="10"/>
  <c r="O12" i="10"/>
  <c r="BX11" i="10"/>
  <c r="BW11" i="10"/>
  <c r="BV11" i="10"/>
  <c r="BU11" i="10"/>
  <c r="BT11" i="10"/>
  <c r="BS11" i="10"/>
  <c r="BR11" i="10"/>
  <c r="BQ11" i="10"/>
  <c r="BP11" i="10"/>
  <c r="BO11" i="10"/>
  <c r="BN11" i="10"/>
  <c r="BM11" i="10"/>
  <c r="BL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H11" i="10"/>
  <c r="AG11" i="10"/>
  <c r="AF11" i="10"/>
  <c r="AE11" i="10"/>
  <c r="AD11" i="10"/>
  <c r="AC11" i="10"/>
  <c r="AB11" i="10"/>
  <c r="AA11" i="10"/>
  <c r="Z11" i="10"/>
  <c r="Y11" i="10"/>
  <c r="X11" i="10"/>
  <c r="W11" i="10"/>
  <c r="V11" i="10"/>
  <c r="U11" i="10"/>
  <c r="T11" i="10"/>
  <c r="S11" i="10"/>
  <c r="R11" i="10"/>
  <c r="Q11" i="10"/>
  <c r="P11" i="10"/>
  <c r="O11" i="10"/>
  <c r="BX10" i="10"/>
  <c r="BW10" i="10"/>
  <c r="BV10" i="10"/>
  <c r="BU10" i="10"/>
  <c r="BT10" i="10"/>
  <c r="BS10" i="10"/>
  <c r="BR10" i="10"/>
  <c r="BQ10" i="10"/>
  <c r="BP10" i="10"/>
  <c r="BO10"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N10" i="10"/>
  <c r="AM10" i="10"/>
  <c r="AL10" i="10"/>
  <c r="AK10" i="10"/>
  <c r="AJ10" i="10"/>
  <c r="AI10" i="10"/>
  <c r="AH10" i="10"/>
  <c r="AG10" i="10"/>
  <c r="AF10" i="10"/>
  <c r="AE10" i="10"/>
  <c r="AD10" i="10"/>
  <c r="AC10" i="10"/>
  <c r="AB10" i="10"/>
  <c r="AA10" i="10"/>
  <c r="Z10" i="10"/>
  <c r="Y10" i="10"/>
  <c r="X10" i="10"/>
  <c r="W10" i="10"/>
  <c r="V10" i="10"/>
  <c r="U10" i="10"/>
  <c r="T10" i="10"/>
  <c r="S10" i="10"/>
  <c r="R10" i="10"/>
  <c r="Q10" i="10"/>
  <c r="P10" i="10"/>
  <c r="O10" i="10"/>
  <c r="BX9" i="10"/>
  <c r="BW9" i="10"/>
  <c r="BV9" i="10"/>
  <c r="BU9" i="10"/>
  <c r="BT9" i="10"/>
  <c r="BS9" i="10"/>
  <c r="BR9" i="10"/>
  <c r="BQ9" i="10"/>
  <c r="BP9" i="10"/>
  <c r="BO9"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BX8" i="10"/>
  <c r="BW8" i="10"/>
  <c r="BV8" i="10"/>
  <c r="BU8" i="10"/>
  <c r="BT8" i="10"/>
  <c r="BS8" i="10"/>
  <c r="BR8" i="10"/>
  <c r="BQ8" i="10"/>
  <c r="BP8" i="10"/>
  <c r="BO8" i="10"/>
  <c r="BN8" i="10"/>
  <c r="BM8" i="10"/>
  <c r="BL8" i="10"/>
  <c r="BK8" i="10"/>
  <c r="BJ8" i="10"/>
  <c r="BI8" i="10"/>
  <c r="BH8" i="10"/>
  <c r="BG8" i="10"/>
  <c r="BF8" i="10"/>
  <c r="BE8" i="10"/>
  <c r="BD8" i="10"/>
  <c r="BC8" i="10"/>
  <c r="BB8" i="10"/>
  <c r="BA8" i="10"/>
  <c r="AZ8" i="10"/>
  <c r="AY8" i="10"/>
  <c r="AX8" i="10"/>
  <c r="AW8" i="10"/>
  <c r="AV8" i="10"/>
  <c r="AU8" i="10"/>
  <c r="AT8" i="10"/>
  <c r="AS8" i="10"/>
  <c r="AR8" i="10"/>
  <c r="AQ8" i="10"/>
  <c r="AP8" i="10"/>
  <c r="AO8" i="10"/>
  <c r="AN8" i="10"/>
  <c r="AM8" i="10"/>
  <c r="AL8" i="10"/>
  <c r="AK8" i="10"/>
  <c r="AJ8" i="10"/>
  <c r="AI8" i="10"/>
  <c r="AH8" i="10"/>
  <c r="AG8" i="10"/>
  <c r="AF8" i="10"/>
  <c r="AE8" i="10"/>
  <c r="AD8" i="10"/>
  <c r="AC8" i="10"/>
  <c r="AB8" i="10"/>
  <c r="AA8" i="10"/>
  <c r="Z8" i="10"/>
  <c r="Y8" i="10"/>
  <c r="X8" i="10"/>
  <c r="W8" i="10"/>
  <c r="V8" i="10"/>
  <c r="U8" i="10"/>
  <c r="T8" i="10"/>
  <c r="S8" i="10"/>
  <c r="R8" i="10"/>
  <c r="Q8" i="10"/>
  <c r="P8" i="10"/>
  <c r="O8" i="10"/>
  <c r="BX7" i="10"/>
  <c r="BW7" i="10"/>
  <c r="BV7" i="10"/>
  <c r="BU7" i="10"/>
  <c r="BT7" i="10"/>
  <c r="BS7" i="10"/>
  <c r="BR7" i="10"/>
  <c r="BQ7" i="10"/>
  <c r="BP7" i="10"/>
  <c r="BO7" i="10"/>
  <c r="BN7" i="10"/>
  <c r="BM7" i="10"/>
  <c r="BL7" i="10"/>
  <c r="BK7" i="10"/>
  <c r="BJ7" i="10"/>
  <c r="BI7" i="10"/>
  <c r="BH7" i="10"/>
  <c r="BG7" i="10"/>
  <c r="BF7" i="10"/>
  <c r="BE7" i="10"/>
  <c r="BD7" i="10"/>
  <c r="BC7" i="10"/>
  <c r="BB7" i="10"/>
  <c r="BA7" i="10"/>
  <c r="AZ7" i="10"/>
  <c r="AY7" i="10"/>
  <c r="AX7" i="10"/>
  <c r="AW7" i="10"/>
  <c r="AV7" i="10"/>
  <c r="AU7" i="10"/>
  <c r="AT7"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BX6" i="10"/>
  <c r="BW6" i="10"/>
  <c r="BV6" i="10"/>
  <c r="BU6" i="10"/>
  <c r="BT6" i="10"/>
  <c r="BS6" i="10"/>
  <c r="BR6" i="10"/>
  <c r="BQ6" i="10"/>
  <c r="BP6" i="10"/>
  <c r="BO6" i="10"/>
  <c r="BN6" i="10"/>
  <c r="BM6" i="10"/>
  <c r="BL6" i="10"/>
  <c r="BK6" i="10"/>
  <c r="BJ6" i="10"/>
  <c r="BI6" i="10"/>
  <c r="BH6" i="10"/>
  <c r="BG6" i="10"/>
  <c r="BF6" i="10"/>
  <c r="BE6" i="10"/>
  <c r="BD6" i="10"/>
  <c r="BC6" i="10"/>
  <c r="BB6" i="10"/>
  <c r="BA6" i="10"/>
  <c r="AZ6" i="10"/>
  <c r="AY6" i="10"/>
  <c r="AX6" i="10"/>
  <c r="AW6" i="10"/>
  <c r="AV6" i="10"/>
  <c r="AU6" i="10"/>
  <c r="AT6" i="10"/>
  <c r="AS6" i="10"/>
  <c r="AR6" i="10"/>
  <c r="AQ6" i="10"/>
  <c r="AP6" i="10"/>
  <c r="AO6" i="10"/>
  <c r="AN6" i="10"/>
  <c r="AM6" i="10"/>
  <c r="AL6" i="10"/>
  <c r="AK6" i="10"/>
  <c r="AJ6" i="10"/>
  <c r="AI6" i="10"/>
  <c r="AH6" i="10"/>
  <c r="AG6" i="10"/>
  <c r="AF6" i="10"/>
  <c r="AE6" i="10"/>
  <c r="AD6" i="10"/>
  <c r="AC6" i="10"/>
  <c r="AB6" i="10"/>
  <c r="AA6" i="10"/>
  <c r="Z6" i="10"/>
  <c r="Y6" i="10"/>
  <c r="X6" i="10"/>
  <c r="W6" i="10"/>
  <c r="V6" i="10"/>
  <c r="U6" i="10"/>
  <c r="T6" i="10"/>
  <c r="S6" i="10"/>
  <c r="R6" i="10"/>
  <c r="Q6" i="10"/>
  <c r="P6" i="10"/>
  <c r="O6"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AT5" i="10"/>
  <c r="AS5" i="10"/>
  <c r="AR5" i="10"/>
  <c r="AQ5" i="10"/>
  <c r="AP5" i="10"/>
  <c r="AO5" i="10"/>
  <c r="AN5" i="10"/>
  <c r="AM5" i="10"/>
  <c r="AL5" i="10"/>
  <c r="AK5" i="10"/>
  <c r="AJ5" i="10"/>
  <c r="AI5" i="10"/>
  <c r="AH5" i="10"/>
  <c r="AG5" i="10"/>
  <c r="AF5" i="10"/>
  <c r="AE5" i="10"/>
  <c r="AD5" i="10"/>
  <c r="AC5" i="10"/>
  <c r="AB5" i="10"/>
  <c r="AA5" i="10"/>
  <c r="Z5" i="10"/>
  <c r="Y5" i="10"/>
  <c r="X5" i="10"/>
  <c r="W5" i="10"/>
  <c r="V5" i="10"/>
  <c r="U5" i="10"/>
  <c r="T5" i="10"/>
  <c r="S5" i="10"/>
  <c r="R5" i="10"/>
  <c r="Q5" i="10"/>
  <c r="P5" i="10"/>
  <c r="O5" i="10"/>
  <c r="BX4" i="10"/>
  <c r="BW4" i="10"/>
  <c r="BV4" i="10"/>
  <c r="BU4" i="10"/>
  <c r="BT4" i="10"/>
  <c r="BS4" i="10"/>
  <c r="BR4" i="10"/>
  <c r="BQ4" i="10"/>
  <c r="BP4" i="10"/>
  <c r="BO4" i="10"/>
  <c r="BN4" i="10"/>
  <c r="BM4" i="10"/>
  <c r="BL4" i="10"/>
  <c r="BK4" i="10"/>
  <c r="BJ4" i="10"/>
  <c r="BI4" i="10"/>
  <c r="BH4" i="10"/>
  <c r="BG4" i="10"/>
  <c r="BF4" i="10"/>
  <c r="BE4" i="10"/>
  <c r="BD4" i="10"/>
  <c r="BC4" i="10"/>
  <c r="BB4" i="10"/>
  <c r="BA4" i="10"/>
  <c r="AZ4" i="10"/>
  <c r="AY4" i="10"/>
  <c r="AX4" i="10"/>
  <c r="AW4" i="10"/>
  <c r="AV4" i="10"/>
  <c r="AU4" i="10"/>
  <c r="AT4"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BX3" i="10"/>
  <c r="BW3" i="10"/>
  <c r="BV3" i="10"/>
  <c r="BU3" i="10"/>
  <c r="BT3" i="10"/>
  <c r="BS3" i="10"/>
  <c r="BR3"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BX2" i="10"/>
  <c r="BW2" i="10"/>
  <c r="BV2" i="10"/>
  <c r="BU2" i="10"/>
  <c r="BT2" i="10"/>
  <c r="BS2" i="10"/>
  <c r="BR2" i="10"/>
  <c r="BQ2" i="10"/>
  <c r="BP2" i="10"/>
  <c r="BO2" i="10"/>
  <c r="BN2" i="10"/>
  <c r="BM2" i="10"/>
  <c r="BL2" i="10"/>
  <c r="BK2" i="10"/>
  <c r="BJ2" i="10"/>
  <c r="BI2" i="10"/>
  <c r="BH2" i="10"/>
  <c r="BH30" i="10" s="1"/>
  <c r="BG2" i="10"/>
  <c r="BG30" i="10" s="1"/>
  <c r="BF2" i="10"/>
  <c r="BE2" i="10"/>
  <c r="BD2" i="10"/>
  <c r="BC2" i="10"/>
  <c r="BB2" i="10"/>
  <c r="BA2" i="10"/>
  <c r="AZ2" i="10"/>
  <c r="AY2" i="10"/>
  <c r="AX2" i="10"/>
  <c r="AW2" i="10"/>
  <c r="AV2" i="10"/>
  <c r="AU2" i="10"/>
  <c r="AT2" i="10"/>
  <c r="AS2" i="10"/>
  <c r="AR2" i="10"/>
  <c r="AQ2" i="10"/>
  <c r="AP2" i="10"/>
  <c r="AO2" i="10"/>
  <c r="AN2" i="10"/>
  <c r="AM2" i="10"/>
  <c r="AL2" i="10"/>
  <c r="AK2" i="10"/>
  <c r="AJ2" i="10"/>
  <c r="AJ30" i="10" s="1"/>
  <c r="AI2" i="10"/>
  <c r="AI30" i="10" s="1"/>
  <c r="AH2" i="10"/>
  <c r="AG2" i="10"/>
  <c r="AF2" i="10"/>
  <c r="AE2" i="10"/>
  <c r="AD2" i="10"/>
  <c r="AC2" i="10"/>
  <c r="AB2" i="10"/>
  <c r="AA2" i="10"/>
  <c r="Z2" i="10"/>
  <c r="Y2" i="10"/>
  <c r="X2" i="10"/>
  <c r="W2" i="10"/>
  <c r="V2" i="10"/>
  <c r="U2" i="10"/>
  <c r="T2" i="10"/>
  <c r="S2" i="10"/>
  <c r="R2" i="10"/>
  <c r="Q2" i="10"/>
  <c r="P2" i="10"/>
  <c r="O2" i="10"/>
  <c r="N28" i="10"/>
  <c r="N27" i="10"/>
  <c r="N26" i="10"/>
  <c r="L26" i="10" s="1"/>
  <c r="N25" i="10"/>
  <c r="N24" i="10"/>
  <c r="L24" i="10" s="1"/>
  <c r="N23" i="10"/>
  <c r="N22" i="10"/>
  <c r="N21" i="10"/>
  <c r="N20" i="10"/>
  <c r="N19" i="10"/>
  <c r="N18" i="10"/>
  <c r="N17" i="10"/>
  <c r="N16" i="10"/>
  <c r="N15" i="10"/>
  <c r="N14" i="10"/>
  <c r="N13" i="10"/>
  <c r="N12" i="10"/>
  <c r="N11" i="10"/>
  <c r="N10" i="10"/>
  <c r="N9" i="10"/>
  <c r="N8" i="10"/>
  <c r="N7" i="10"/>
  <c r="N6" i="10"/>
  <c r="N5" i="10"/>
  <c r="N4" i="10"/>
  <c r="N3" i="10"/>
  <c r="N2" i="10"/>
  <c r="X1" i="10"/>
  <c r="Y1" i="10" s="1"/>
  <c r="Z1" i="10" s="1"/>
  <c r="AA1" i="10" s="1"/>
  <c r="AB1" i="10" s="1"/>
  <c r="AC1" i="10" s="1"/>
  <c r="AD1" i="10" s="1"/>
  <c r="AE1" i="10" s="1"/>
  <c r="AF1" i="10" s="1"/>
  <c r="AG1" i="10" s="1"/>
  <c r="AH1" i="10" s="1"/>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O1" i="10"/>
  <c r="P1" i="10" s="1"/>
  <c r="Q1" i="10" s="1"/>
  <c r="R1" i="10" s="1"/>
  <c r="S1" i="10" s="1"/>
  <c r="T1" i="10" s="1"/>
  <c r="U1" i="10" s="1"/>
  <c r="V1" i="10" s="1"/>
  <c r="N30" i="10" l="1"/>
  <c r="Q30" i="10"/>
  <c r="AO30" i="10"/>
  <c r="BM30" i="10"/>
  <c r="AM30" i="10"/>
  <c r="AN30" i="10"/>
  <c r="S30" i="10"/>
  <c r="AQ30" i="10"/>
  <c r="BO30" i="10"/>
  <c r="AL30" i="10"/>
  <c r="O30" i="10"/>
  <c r="T30" i="10"/>
  <c r="AR30" i="10"/>
  <c r="BP30" i="10"/>
  <c r="L5" i="10"/>
  <c r="BN30" i="10"/>
  <c r="U30" i="10"/>
  <c r="AS30" i="10"/>
  <c r="BQ30" i="10"/>
  <c r="AK30" i="10"/>
  <c r="AP30" i="10"/>
  <c r="V30" i="10"/>
  <c r="AT30" i="10"/>
  <c r="BR30" i="10"/>
  <c r="W30" i="10"/>
  <c r="AU30" i="10"/>
  <c r="BS30" i="10"/>
  <c r="X30" i="10"/>
  <c r="AV30" i="10"/>
  <c r="BT30" i="10"/>
  <c r="BI30" i="10"/>
  <c r="Y30" i="10"/>
  <c r="AX30" i="10"/>
  <c r="BV30" i="10"/>
  <c r="AW30" i="10"/>
  <c r="AA30" i="10"/>
  <c r="AY30" i="10"/>
  <c r="BW30" i="10"/>
  <c r="BL30" i="10"/>
  <c r="AB30" i="10"/>
  <c r="AZ30" i="10"/>
  <c r="BX30" i="10"/>
  <c r="BK30" i="10"/>
  <c r="P30" i="10"/>
  <c r="Z30" i="10"/>
  <c r="AC30" i="10"/>
  <c r="BA30" i="10"/>
  <c r="AD30" i="10"/>
  <c r="BB30" i="10"/>
  <c r="AE30" i="10"/>
  <c r="BC30" i="10"/>
  <c r="BJ30" i="10"/>
  <c r="AF30" i="10"/>
  <c r="BD30" i="10"/>
  <c r="R30" i="10"/>
  <c r="AG30" i="10"/>
  <c r="BE30" i="10"/>
  <c r="BU30" i="10"/>
  <c r="AH30" i="10"/>
  <c r="BF30" i="10"/>
  <c r="L17" i="10"/>
  <c r="L18" i="10"/>
  <c r="L21" i="10"/>
  <c r="L23" i="10"/>
  <c r="L6" i="10"/>
  <c r="L7" i="10"/>
  <c r="L10" i="10"/>
  <c r="L11" i="10"/>
  <c r="L13" i="10"/>
  <c r="L20" i="10"/>
  <c r="L22" i="10"/>
  <c r="L27" i="10"/>
  <c r="L28" i="10"/>
  <c r="L25" i="10"/>
  <c r="L12" i="10"/>
  <c r="L2" i="10"/>
  <c r="L19" i="10"/>
  <c r="L4" i="10"/>
  <c r="L3" i="10"/>
  <c r="L14" i="10"/>
  <c r="L8" i="10"/>
  <c r="L9" i="10"/>
  <c r="L15" i="10"/>
  <c r="L16" i="10"/>
  <c r="J137" i="8" l="1"/>
  <c r="J136" i="8"/>
  <c r="BI133" i="8"/>
  <c r="BH133" i="8"/>
  <c r="BG133" i="8"/>
  <c r="BF133" i="8"/>
  <c r="BE133" i="8"/>
  <c r="BD133" i="8"/>
  <c r="BC133" i="8"/>
  <c r="BB133" i="8"/>
  <c r="BA133" i="8"/>
  <c r="AZ133" i="8"/>
  <c r="AY133" i="8"/>
  <c r="AX133" i="8"/>
  <c r="AW133"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BI131" i="8"/>
  <c r="BH131" i="8"/>
  <c r="BG131" i="8"/>
  <c r="BF131" i="8"/>
  <c r="BE131" i="8"/>
  <c r="BD131" i="8"/>
  <c r="BC131" i="8"/>
  <c r="BB131" i="8"/>
  <c r="BA131" i="8"/>
  <c r="AZ131" i="8"/>
  <c r="AY131" i="8"/>
  <c r="AX131" i="8"/>
  <c r="AW131"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BI122" i="8"/>
  <c r="BH122" i="8"/>
  <c r="BG122" i="8"/>
  <c r="BF122" i="8"/>
  <c r="BE122" i="8"/>
  <c r="BD122" i="8"/>
  <c r="BC122" i="8"/>
  <c r="BB122" i="8"/>
  <c r="BA122" i="8"/>
  <c r="AZ122" i="8"/>
  <c r="AY122" i="8"/>
  <c r="AX122" i="8"/>
  <c r="AW122" i="8"/>
  <c r="AV122" i="8"/>
  <c r="AU122" i="8"/>
  <c r="AT122" i="8"/>
  <c r="AS122" i="8"/>
  <c r="AR122" i="8"/>
  <c r="AQ122" i="8"/>
  <c r="AP122" i="8"/>
  <c r="AO122" i="8"/>
  <c r="AN122" i="8"/>
  <c r="AM122" i="8"/>
  <c r="AL122" i="8"/>
  <c r="AK122" i="8"/>
  <c r="AJ122" i="8"/>
  <c r="AI122" i="8"/>
  <c r="AH122" i="8"/>
  <c r="AG122" i="8"/>
  <c r="AF122" i="8"/>
  <c r="AE122" i="8"/>
  <c r="AD122" i="8"/>
  <c r="AC122" i="8"/>
  <c r="AB122" i="8"/>
  <c r="AA122" i="8"/>
  <c r="Z122" i="8"/>
  <c r="Y122" i="8"/>
  <c r="X122" i="8"/>
  <c r="W122" i="8"/>
  <c r="V122" i="8"/>
  <c r="U122" i="8"/>
  <c r="T122" i="8"/>
  <c r="S122" i="8"/>
  <c r="R122" i="8"/>
  <c r="Q122" i="8"/>
  <c r="P122" i="8"/>
  <c r="O122" i="8"/>
  <c r="N122" i="8"/>
  <c r="M122" i="8"/>
  <c r="L122" i="8"/>
  <c r="K122" i="8"/>
  <c r="J122" i="8"/>
  <c r="BI120" i="8"/>
  <c r="BH120" i="8"/>
  <c r="BG120" i="8"/>
  <c r="BF120" i="8"/>
  <c r="BE120" i="8"/>
  <c r="BD120" i="8"/>
  <c r="BC120" i="8"/>
  <c r="BB120" i="8"/>
  <c r="BA120" i="8"/>
  <c r="AZ120" i="8"/>
  <c r="AY120" i="8"/>
  <c r="AX120" i="8"/>
  <c r="AW120"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J115"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N99" i="8"/>
  <c r="M99" i="8"/>
  <c r="L99" i="8"/>
  <c r="K99" i="8"/>
  <c r="J99" i="8"/>
  <c r="N97" i="8"/>
  <c r="M97" i="8"/>
  <c r="L97" i="8"/>
  <c r="K97" i="8"/>
  <c r="J97" i="8"/>
  <c r="N95" i="8"/>
  <c r="M95" i="8"/>
  <c r="L95" i="8"/>
  <c r="K95" i="8"/>
  <c r="J95" i="8"/>
  <c r="BI90" i="8"/>
  <c r="BH90" i="8"/>
  <c r="BG90" i="8"/>
  <c r="BF90" i="8"/>
  <c r="BE90" i="8"/>
  <c r="BD90" i="8"/>
  <c r="BC90" i="8"/>
  <c r="BB90" i="8"/>
  <c r="BA90" i="8"/>
  <c r="AZ90" i="8"/>
  <c r="AY90" i="8"/>
  <c r="AX90" i="8"/>
  <c r="AW90"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BK83" i="8"/>
  <c r="BI84" i="8"/>
  <c r="BH84" i="8"/>
  <c r="BG84" i="8"/>
  <c r="BF84" i="8"/>
  <c r="BE84" i="8"/>
  <c r="BD84" i="8"/>
  <c r="BC84" i="8"/>
  <c r="BB84" i="8"/>
  <c r="BA84" i="8"/>
  <c r="AZ84" i="8"/>
  <c r="AY84" i="8"/>
  <c r="AX84" i="8"/>
  <c r="AW84"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BI75" i="8" l="1"/>
  <c r="BH75" i="8"/>
  <c r="BG75" i="8"/>
  <c r="BF75" i="8"/>
  <c r="BE75" i="8"/>
  <c r="BD75" i="8"/>
  <c r="BC75" i="8"/>
  <c r="BB75" i="8"/>
  <c r="BA75" i="8"/>
  <c r="AZ75" i="8"/>
  <c r="AY75" i="8"/>
  <c r="AX75" i="8"/>
  <c r="AW75"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BI65" i="8"/>
  <c r="BH65" i="8"/>
  <c r="BG65" i="8"/>
  <c r="BF65" i="8"/>
  <c r="BE65" i="8"/>
  <c r="BD65" i="8"/>
  <c r="BC65" i="8"/>
  <c r="BB65" i="8"/>
  <c r="BA65" i="8"/>
  <c r="AZ65" i="8"/>
  <c r="AY65" i="8"/>
  <c r="AX65" i="8"/>
  <c r="AW65"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BI71" i="8"/>
  <c r="BH71" i="8"/>
  <c r="BG71" i="8"/>
  <c r="BF71" i="8"/>
  <c r="BI69" i="8"/>
  <c r="BH69" i="8"/>
  <c r="BG69" i="8"/>
  <c r="BF69" i="8"/>
  <c r="BI67" i="8"/>
  <c r="BH67" i="8"/>
  <c r="BG67" i="8"/>
  <c r="BF67" i="8"/>
  <c r="P58" i="8"/>
  <c r="BJ53" i="8"/>
  <c r="BE54" i="8"/>
  <c r="BD54" i="8"/>
  <c r="BC54" i="8"/>
  <c r="BB54" i="8"/>
  <c r="BA54" i="8"/>
  <c r="AZ54" i="8"/>
  <c r="AY54" i="8"/>
  <c r="AX54" i="8"/>
  <c r="AW54"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AX20" i="8" l="1"/>
  <c r="AZ20" i="8" s="1"/>
  <c r="AW21" i="8" l="1"/>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E157" i="1"/>
  <c r="C157" i="1"/>
  <c r="E156" i="1"/>
  <c r="C156" i="1"/>
  <c r="E155" i="1"/>
  <c r="C155" i="1"/>
  <c r="E154" i="1"/>
  <c r="C154" i="1"/>
  <c r="O151" i="1"/>
  <c r="P151" i="1"/>
  <c r="Q151" i="1"/>
  <c r="R151" i="1"/>
  <c r="S151" i="1"/>
  <c r="T151" i="1"/>
  <c r="U151" i="1"/>
  <c r="V151" i="1"/>
  <c r="W151" i="1"/>
  <c r="BA151" i="1"/>
  <c r="BB151" i="1"/>
  <c r="BC151" i="1"/>
  <c r="BD151" i="1"/>
  <c r="BE151" i="1"/>
  <c r="BF151" i="1"/>
  <c r="BG151" i="1"/>
  <c r="BH151" i="1"/>
  <c r="BI151" i="1"/>
  <c r="BJ151" i="1"/>
  <c r="BK151" i="1"/>
  <c r="BL151" i="1"/>
  <c r="BM151" i="1"/>
  <c r="BN151" i="1"/>
  <c r="BO151" i="1"/>
  <c r="BP151" i="1"/>
  <c r="BQ151" i="1"/>
  <c r="BR151" i="1"/>
  <c r="BS151" i="1"/>
  <c r="BT151" i="1"/>
  <c r="BU151" i="1"/>
  <c r="BV151" i="1"/>
  <c r="BW151" i="1"/>
  <c r="BX151" i="1"/>
  <c r="O152" i="1"/>
  <c r="P152" i="1"/>
  <c r="Q152" i="1"/>
  <c r="R152" i="1"/>
  <c r="S152" i="1"/>
  <c r="T152" i="1"/>
  <c r="U152" i="1"/>
  <c r="V152" i="1"/>
  <c r="W152" i="1"/>
  <c r="BA152" i="1"/>
  <c r="BB152" i="1"/>
  <c r="BC152" i="1"/>
  <c r="BD152" i="1"/>
  <c r="BE152" i="1"/>
  <c r="BF152" i="1"/>
  <c r="BG152" i="1"/>
  <c r="BH152" i="1"/>
  <c r="BI152" i="1"/>
  <c r="BJ152" i="1"/>
  <c r="BK152" i="1"/>
  <c r="BL152" i="1"/>
  <c r="BM152" i="1"/>
  <c r="BN152" i="1"/>
  <c r="BO152" i="1"/>
  <c r="BP152" i="1"/>
  <c r="BQ152" i="1"/>
  <c r="BR152" i="1"/>
  <c r="BS152" i="1"/>
  <c r="BT152" i="1"/>
  <c r="BU152" i="1"/>
  <c r="BV152" i="1"/>
  <c r="BW152" i="1"/>
  <c r="BX152" i="1"/>
  <c r="O153" i="1"/>
  <c r="P153" i="1"/>
  <c r="Q153" i="1"/>
  <c r="R153" i="1"/>
  <c r="S153" i="1"/>
  <c r="T153" i="1"/>
  <c r="U153" i="1"/>
  <c r="V153" i="1"/>
  <c r="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BU153" i="1"/>
  <c r="BV153" i="1"/>
  <c r="BW153" i="1"/>
  <c r="BX153" i="1"/>
  <c r="N153" i="1"/>
  <c r="N152" i="1"/>
  <c r="N151" i="1"/>
  <c r="E153" i="1"/>
  <c r="C153" i="1"/>
  <c r="E152" i="1"/>
  <c r="C152" i="1"/>
  <c r="E151" i="1"/>
  <c r="C151" i="1"/>
  <c r="BX150" i="1" l="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W150" i="1"/>
  <c r="V150" i="1"/>
  <c r="U150" i="1"/>
  <c r="T150" i="1"/>
  <c r="S150" i="1"/>
  <c r="R150" i="1"/>
  <c r="Q150" i="1"/>
  <c r="P150" i="1"/>
  <c r="O150" i="1"/>
  <c r="N150" i="1"/>
  <c r="E150" i="1"/>
  <c r="C150" i="1"/>
  <c r="M141" i="1"/>
  <c r="K141" i="1" s="1"/>
  <c r="L141" i="1" s="1"/>
  <c r="M130" i="1"/>
  <c r="K130" i="1" s="1"/>
  <c r="L130" i="1" s="1"/>
  <c r="M129" i="1"/>
  <c r="K129" i="1" s="1"/>
  <c r="L129" i="1" s="1"/>
  <c r="M127" i="1"/>
  <c r="K127" i="1" s="1"/>
  <c r="L127" i="1" s="1"/>
  <c r="M108" i="1"/>
  <c r="K108" i="1" s="1"/>
  <c r="L108" i="1" s="1"/>
  <c r="M107" i="1"/>
  <c r="K107" i="1" s="1"/>
  <c r="L107" i="1" s="1"/>
  <c r="M105" i="1"/>
  <c r="K105" i="1" s="1"/>
  <c r="L105" i="1" s="1"/>
  <c r="M104" i="1"/>
  <c r="K104" i="1" s="1"/>
  <c r="L104" i="1" s="1"/>
  <c r="M103" i="1"/>
  <c r="K103" i="1" s="1"/>
  <c r="L103" i="1" s="1"/>
  <c r="M99" i="1"/>
  <c r="K99" i="1" s="1"/>
  <c r="L99" i="1" s="1"/>
  <c r="K91" i="1"/>
  <c r="L91" i="1" s="1"/>
  <c r="M149" i="1"/>
  <c r="K149" i="1" s="1"/>
  <c r="L149" i="1" s="1"/>
  <c r="M148" i="1"/>
  <c r="K148" i="1" s="1"/>
  <c r="L148" i="1" s="1"/>
  <c r="M147" i="1"/>
  <c r="K147" i="1" s="1"/>
  <c r="L147" i="1" s="1"/>
  <c r="M146" i="1"/>
  <c r="K146" i="1" s="1"/>
  <c r="L146" i="1" s="1"/>
  <c r="M145" i="1"/>
  <c r="K145" i="1" s="1"/>
  <c r="L145" i="1" s="1"/>
  <c r="M144" i="1"/>
  <c r="K144" i="1" s="1"/>
  <c r="L144" i="1" s="1"/>
  <c r="M143" i="1"/>
  <c r="K143" i="1" s="1"/>
  <c r="L143" i="1" s="1"/>
  <c r="M142" i="1"/>
  <c r="K142" i="1" s="1"/>
  <c r="L142" i="1" s="1"/>
  <c r="M140" i="1"/>
  <c r="K140" i="1" s="1"/>
  <c r="L140" i="1" s="1"/>
  <c r="M139" i="1"/>
  <c r="K139" i="1" s="1"/>
  <c r="L139" i="1" s="1"/>
  <c r="M138" i="1"/>
  <c r="K138" i="1" s="1"/>
  <c r="L138" i="1" s="1"/>
  <c r="M137" i="1"/>
  <c r="K137" i="1" s="1"/>
  <c r="L137" i="1" s="1"/>
  <c r="M136" i="1"/>
  <c r="K136" i="1" s="1"/>
  <c r="L136" i="1" s="1"/>
  <c r="M135" i="1"/>
  <c r="K135" i="1" s="1"/>
  <c r="L135" i="1" s="1"/>
  <c r="M134" i="1"/>
  <c r="K134" i="1" s="1"/>
  <c r="L134" i="1" s="1"/>
  <c r="M133" i="1"/>
  <c r="K133" i="1" s="1"/>
  <c r="L133" i="1" s="1"/>
  <c r="M131" i="1"/>
  <c r="K131" i="1" s="1"/>
  <c r="L131" i="1" s="1"/>
  <c r="M128" i="1"/>
  <c r="K128" i="1" s="1"/>
  <c r="L128" i="1" s="1"/>
  <c r="M126" i="1"/>
  <c r="K126" i="1" s="1"/>
  <c r="L126" i="1" s="1"/>
  <c r="M125" i="1"/>
  <c r="K125" i="1" s="1"/>
  <c r="L125" i="1" s="1"/>
  <c r="M124" i="1"/>
  <c r="K124" i="1" s="1"/>
  <c r="L124" i="1" s="1"/>
  <c r="M123" i="1"/>
  <c r="K123" i="1" s="1"/>
  <c r="L123" i="1" s="1"/>
  <c r="M122" i="1"/>
  <c r="K122" i="1" s="1"/>
  <c r="L122" i="1" s="1"/>
  <c r="M121" i="1"/>
  <c r="K121" i="1" s="1"/>
  <c r="L121" i="1" s="1"/>
  <c r="M120" i="1"/>
  <c r="K120" i="1" s="1"/>
  <c r="L120" i="1" s="1"/>
  <c r="M119" i="1"/>
  <c r="K119" i="1" s="1"/>
  <c r="L119" i="1" s="1"/>
  <c r="M118" i="1"/>
  <c r="K118" i="1" s="1"/>
  <c r="L118" i="1" s="1"/>
  <c r="M117" i="1"/>
  <c r="K117" i="1" s="1"/>
  <c r="L117" i="1" s="1"/>
  <c r="M116" i="1"/>
  <c r="K116" i="1" s="1"/>
  <c r="L116" i="1" s="1"/>
  <c r="M115" i="1"/>
  <c r="K115" i="1" s="1"/>
  <c r="L115" i="1" s="1"/>
  <c r="M114" i="1"/>
  <c r="K114" i="1" s="1"/>
  <c r="L114" i="1" s="1"/>
  <c r="M113" i="1"/>
  <c r="K113" i="1" s="1"/>
  <c r="L113" i="1" s="1"/>
  <c r="M112" i="1"/>
  <c r="K112" i="1" s="1"/>
  <c r="L112" i="1" s="1"/>
  <c r="M111" i="1"/>
  <c r="K111" i="1" s="1"/>
  <c r="L111" i="1" s="1"/>
  <c r="M110" i="1"/>
  <c r="K110" i="1" s="1"/>
  <c r="L110" i="1" s="1"/>
  <c r="M109" i="1"/>
  <c r="K109" i="1" s="1"/>
  <c r="L109" i="1" s="1"/>
  <c r="M106" i="1"/>
  <c r="K106" i="1" s="1"/>
  <c r="L106" i="1" s="1"/>
  <c r="M102" i="1"/>
  <c r="K102" i="1" s="1"/>
  <c r="L102" i="1" s="1"/>
  <c r="M101" i="1"/>
  <c r="K101" i="1" s="1"/>
  <c r="L101" i="1" s="1"/>
  <c r="M100" i="1"/>
  <c r="K100" i="1" s="1"/>
  <c r="L100" i="1" s="1"/>
  <c r="M98" i="1"/>
  <c r="K98" i="1" s="1"/>
  <c r="L98" i="1" s="1"/>
  <c r="M97" i="1"/>
  <c r="K97" i="1" s="1"/>
  <c r="L97" i="1" s="1"/>
  <c r="M96" i="1"/>
  <c r="K96" i="1" s="1"/>
  <c r="L96" i="1" s="1"/>
  <c r="M95" i="1"/>
  <c r="K95" i="1" s="1"/>
  <c r="L95" i="1" s="1"/>
  <c r="M94" i="1"/>
  <c r="K94" i="1" s="1"/>
  <c r="L94" i="1" s="1"/>
  <c r="M93" i="1"/>
  <c r="K93" i="1" s="1"/>
  <c r="L93" i="1" s="1"/>
  <c r="M92" i="1"/>
  <c r="K92" i="1" s="1"/>
  <c r="L92" i="1" s="1"/>
  <c r="E149"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M132" i="1" l="1"/>
  <c r="K132" i="1" s="1"/>
  <c r="L132" i="1" s="1"/>
  <c r="C149" i="1" l="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BO27" i="6"/>
  <c r="BN27" i="6"/>
  <c r="BM27" i="6"/>
  <c r="BL27" i="6"/>
  <c r="BK27" i="6"/>
  <c r="BJ27" i="6"/>
  <c r="BI27" i="6"/>
  <c r="BH27" i="6"/>
  <c r="BG27" i="6"/>
  <c r="BF27" i="6"/>
  <c r="BE27" i="6"/>
  <c r="BD27" i="6"/>
  <c r="BC27" i="6"/>
  <c r="BB27" i="6"/>
  <c r="BA27" i="6"/>
  <c r="AZ27" i="6"/>
  <c r="AY27" i="6"/>
  <c r="AX27" i="6"/>
  <c r="AW27" i="6"/>
  <c r="AV27" i="6"/>
  <c r="AU27" i="6"/>
  <c r="AT27" i="6"/>
  <c r="AS27" i="6"/>
  <c r="AR27" i="6"/>
  <c r="AQ27" i="6"/>
  <c r="N27" i="6"/>
  <c r="M27" i="6"/>
  <c r="L27" i="6"/>
  <c r="K27" i="6"/>
  <c r="J27" i="6"/>
  <c r="I27" i="6"/>
  <c r="H27" i="6"/>
  <c r="G27" i="6"/>
  <c r="F27" i="6"/>
  <c r="E27" i="6"/>
  <c r="BO26" i="6"/>
  <c r="BN26" i="6"/>
  <c r="BM26" i="6"/>
  <c r="BL26" i="6"/>
  <c r="BK26" i="6"/>
  <c r="BJ26" i="6"/>
  <c r="BI26" i="6"/>
  <c r="BH26" i="6"/>
  <c r="BG26" i="6"/>
  <c r="BF26" i="6"/>
  <c r="BE26" i="6"/>
  <c r="BD26" i="6"/>
  <c r="BC26" i="6"/>
  <c r="BB26" i="6"/>
  <c r="BA26" i="6"/>
  <c r="AZ26" i="6"/>
  <c r="AY26" i="6"/>
  <c r="AX26" i="6"/>
  <c r="AW26" i="6"/>
  <c r="AV26" i="6"/>
  <c r="AU26" i="6"/>
  <c r="AT26" i="6"/>
  <c r="AS26" i="6"/>
  <c r="AR26" i="6"/>
  <c r="AQ26" i="6"/>
  <c r="N26" i="6"/>
  <c r="M26" i="6"/>
  <c r="L26" i="6"/>
  <c r="K26" i="6"/>
  <c r="J26" i="6"/>
  <c r="I26" i="6"/>
  <c r="H26" i="6"/>
  <c r="G26" i="6"/>
  <c r="F26" i="6"/>
  <c r="E26" i="6"/>
  <c r="BO25" i="6"/>
  <c r="BN25" i="6"/>
  <c r="BM25" i="6"/>
  <c r="BL25" i="6"/>
  <c r="BK25" i="6"/>
  <c r="BJ25" i="6"/>
  <c r="BI25" i="6"/>
  <c r="BH25" i="6"/>
  <c r="BG25" i="6"/>
  <c r="BF25" i="6"/>
  <c r="BE25" i="6"/>
  <c r="BD25" i="6"/>
  <c r="BC25" i="6"/>
  <c r="BB25" i="6"/>
  <c r="BA25" i="6"/>
  <c r="AZ25" i="6"/>
  <c r="AY25" i="6"/>
  <c r="AX25" i="6"/>
  <c r="AW25" i="6"/>
  <c r="AV25" i="6"/>
  <c r="AU25" i="6"/>
  <c r="AT25" i="6"/>
  <c r="AS25" i="6"/>
  <c r="AR25" i="6"/>
  <c r="AQ25" i="6"/>
  <c r="N25" i="6"/>
  <c r="M25" i="6"/>
  <c r="L25" i="6"/>
  <c r="K25" i="6"/>
  <c r="J25" i="6"/>
  <c r="I25" i="6"/>
  <c r="H25" i="6"/>
  <c r="G25" i="6"/>
  <c r="F25" i="6"/>
  <c r="E25"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N24" i="6"/>
  <c r="M24" i="6"/>
  <c r="L24" i="6"/>
  <c r="K24" i="6"/>
  <c r="J24" i="6"/>
  <c r="I24" i="6"/>
  <c r="H24" i="6"/>
  <c r="G24" i="6"/>
  <c r="F24" i="6"/>
  <c r="E24" i="6"/>
  <c r="BO23" i="6"/>
  <c r="BN23" i="6"/>
  <c r="BM23" i="6"/>
  <c r="BL23" i="6"/>
  <c r="BK23" i="6"/>
  <c r="BJ23" i="6"/>
  <c r="BI23" i="6"/>
  <c r="BH23" i="6"/>
  <c r="BG23" i="6"/>
  <c r="BF23" i="6"/>
  <c r="BE23" i="6"/>
  <c r="BD23" i="6"/>
  <c r="BC23" i="6"/>
  <c r="BB23" i="6"/>
  <c r="BA23" i="6"/>
  <c r="AZ23" i="6"/>
  <c r="AY23" i="6"/>
  <c r="AX23" i="6"/>
  <c r="AW23" i="6"/>
  <c r="AV23" i="6"/>
  <c r="AU23" i="6"/>
  <c r="AT23" i="6"/>
  <c r="AS23" i="6"/>
  <c r="AR23" i="6"/>
  <c r="N23" i="6"/>
  <c r="M23" i="6"/>
  <c r="L23" i="6"/>
  <c r="K23" i="6"/>
  <c r="J23" i="6"/>
  <c r="I23" i="6"/>
  <c r="H23" i="6"/>
  <c r="G23" i="6"/>
  <c r="F23" i="6"/>
  <c r="E23" i="6"/>
  <c r="BO22" i="6"/>
  <c r="BN22" i="6"/>
  <c r="BM22" i="6"/>
  <c r="BL22" i="6"/>
  <c r="BK22" i="6"/>
  <c r="BJ22" i="6"/>
  <c r="BI22" i="6"/>
  <c r="BH22" i="6"/>
  <c r="BG22" i="6"/>
  <c r="BF22" i="6"/>
  <c r="BE22" i="6"/>
  <c r="BD22" i="6"/>
  <c r="BC22" i="6"/>
  <c r="BB22" i="6"/>
  <c r="BA22" i="6"/>
  <c r="AZ22" i="6"/>
  <c r="AY22" i="6"/>
  <c r="AX22" i="6"/>
  <c r="AW22" i="6"/>
  <c r="AV22" i="6"/>
  <c r="AU22" i="6"/>
  <c r="AT22" i="6"/>
  <c r="AS22" i="6"/>
  <c r="AR22" i="6"/>
  <c r="N22" i="6"/>
  <c r="M22" i="6"/>
  <c r="L22" i="6"/>
  <c r="K22" i="6"/>
  <c r="J22" i="6"/>
  <c r="I22" i="6"/>
  <c r="H22" i="6"/>
  <c r="G22" i="6"/>
  <c r="F22" i="6"/>
  <c r="E22"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N21" i="6"/>
  <c r="M21" i="6"/>
  <c r="L21" i="6"/>
  <c r="K21" i="6"/>
  <c r="J21" i="6"/>
  <c r="I21" i="6"/>
  <c r="H21" i="6"/>
  <c r="G21" i="6"/>
  <c r="F21" i="6"/>
  <c r="E21"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N20" i="6"/>
  <c r="M20" i="6"/>
  <c r="L20" i="6"/>
  <c r="K20" i="6"/>
  <c r="J20" i="6"/>
  <c r="I20" i="6"/>
  <c r="H20" i="6"/>
  <c r="G20" i="6"/>
  <c r="F20" i="6"/>
  <c r="E20"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N19" i="6"/>
  <c r="M19" i="6"/>
  <c r="L19" i="6"/>
  <c r="K19" i="6"/>
  <c r="J19" i="6"/>
  <c r="I19" i="6"/>
  <c r="H19" i="6"/>
  <c r="G19" i="6"/>
  <c r="F19" i="6"/>
  <c r="E19"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N18" i="6"/>
  <c r="M18" i="6"/>
  <c r="L18" i="6"/>
  <c r="K18" i="6"/>
  <c r="J18" i="6"/>
  <c r="I18" i="6"/>
  <c r="H18" i="6"/>
  <c r="G18" i="6"/>
  <c r="F18" i="6"/>
  <c r="E18" i="6"/>
  <c r="BO17" i="6"/>
  <c r="BN17" i="6"/>
  <c r="BM17" i="6"/>
  <c r="BL17" i="6"/>
  <c r="BK17" i="6"/>
  <c r="BJ17" i="6"/>
  <c r="BI17" i="6"/>
  <c r="BH17" i="6"/>
  <c r="BG17" i="6"/>
  <c r="BF17" i="6"/>
  <c r="BE17" i="6"/>
  <c r="BD17" i="6"/>
  <c r="BC17" i="6"/>
  <c r="BB17" i="6"/>
  <c r="BA17" i="6"/>
  <c r="AZ17" i="6"/>
  <c r="AY17" i="6"/>
  <c r="AX17" i="6"/>
  <c r="AW17" i="6"/>
  <c r="AV17" i="6"/>
  <c r="AU17" i="6"/>
  <c r="AT17" i="6"/>
  <c r="AS17" i="6"/>
  <c r="AR17" i="6"/>
  <c r="AQ17" i="6"/>
  <c r="N17" i="6"/>
  <c r="M17" i="6"/>
  <c r="L17" i="6"/>
  <c r="K17" i="6"/>
  <c r="J17" i="6"/>
  <c r="I17" i="6"/>
  <c r="H17" i="6"/>
  <c r="G17" i="6"/>
  <c r="F17" i="6"/>
  <c r="E17"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N16" i="6"/>
  <c r="M16" i="6"/>
  <c r="L16" i="6"/>
  <c r="K16" i="6"/>
  <c r="J16" i="6"/>
  <c r="I16" i="6"/>
  <c r="H16" i="6"/>
  <c r="G16" i="6"/>
  <c r="F16" i="6"/>
  <c r="E16"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N15" i="6"/>
  <c r="M15" i="6"/>
  <c r="L15" i="6"/>
  <c r="K15" i="6"/>
  <c r="J15" i="6"/>
  <c r="I15" i="6"/>
  <c r="H15" i="6"/>
  <c r="G15" i="6"/>
  <c r="F15" i="6"/>
  <c r="E15"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N14" i="6"/>
  <c r="M14" i="6"/>
  <c r="L14" i="6"/>
  <c r="K14" i="6"/>
  <c r="J14" i="6"/>
  <c r="I14" i="6"/>
  <c r="H14" i="6"/>
  <c r="G14" i="6"/>
  <c r="F14" i="6"/>
  <c r="E14" i="6"/>
  <c r="BO13" i="6"/>
  <c r="BN13" i="6"/>
  <c r="BM13" i="6"/>
  <c r="BL13" i="6"/>
  <c r="BK13" i="6"/>
  <c r="BJ13" i="6"/>
  <c r="BI13" i="6"/>
  <c r="BH13" i="6"/>
  <c r="BG13" i="6"/>
  <c r="BF13" i="6"/>
  <c r="BE13" i="6"/>
  <c r="BD13" i="6"/>
  <c r="BC13" i="6"/>
  <c r="BB13" i="6"/>
  <c r="BA13" i="6"/>
  <c r="AZ13" i="6"/>
  <c r="AY13" i="6"/>
  <c r="AX13" i="6"/>
  <c r="AW13" i="6"/>
  <c r="AV13" i="6"/>
  <c r="AU13" i="6"/>
  <c r="AT13" i="6"/>
  <c r="AS13" i="6"/>
  <c r="AR13" i="6"/>
  <c r="N13" i="6"/>
  <c r="M13" i="6"/>
  <c r="L13" i="6"/>
  <c r="K13" i="6"/>
  <c r="J13" i="6"/>
  <c r="I13" i="6"/>
  <c r="H13" i="6"/>
  <c r="G13" i="6"/>
  <c r="F13" i="6"/>
  <c r="E13" i="6"/>
  <c r="BO12" i="6"/>
  <c r="BN12" i="6"/>
  <c r="BM12" i="6"/>
  <c r="BL12" i="6"/>
  <c r="BK12" i="6"/>
  <c r="BJ12" i="6"/>
  <c r="BI12" i="6"/>
  <c r="BH12" i="6"/>
  <c r="BG12" i="6"/>
  <c r="BF12" i="6"/>
  <c r="BE12" i="6"/>
  <c r="BD12" i="6"/>
  <c r="BC12" i="6"/>
  <c r="BB12" i="6"/>
  <c r="BA12" i="6"/>
  <c r="AZ12" i="6"/>
  <c r="AY12" i="6"/>
  <c r="AX12" i="6"/>
  <c r="AW12" i="6"/>
  <c r="AV12" i="6"/>
  <c r="AU12" i="6"/>
  <c r="AT12" i="6"/>
  <c r="AS12" i="6"/>
  <c r="AR12" i="6"/>
  <c r="N12" i="6"/>
  <c r="M12" i="6"/>
  <c r="L12" i="6"/>
  <c r="K12" i="6"/>
  <c r="J12" i="6"/>
  <c r="I12" i="6"/>
  <c r="H12" i="6"/>
  <c r="G12" i="6"/>
  <c r="F12" i="6"/>
  <c r="E12" i="6"/>
  <c r="BO11" i="6"/>
  <c r="BN11" i="6"/>
  <c r="BM11" i="6"/>
  <c r="BL11" i="6"/>
  <c r="BK11" i="6"/>
  <c r="BJ11" i="6"/>
  <c r="BI11" i="6"/>
  <c r="BH11" i="6"/>
  <c r="BG11" i="6"/>
  <c r="BF11" i="6"/>
  <c r="BE11" i="6"/>
  <c r="BD11" i="6"/>
  <c r="BC11" i="6"/>
  <c r="BB11" i="6"/>
  <c r="BA11" i="6"/>
  <c r="AZ11" i="6"/>
  <c r="AY11" i="6"/>
  <c r="AX11" i="6"/>
  <c r="AW11" i="6"/>
  <c r="AV11" i="6"/>
  <c r="AU11" i="6"/>
  <c r="AT11" i="6"/>
  <c r="AS11" i="6"/>
  <c r="AR11" i="6"/>
  <c r="N11" i="6"/>
  <c r="M11" i="6"/>
  <c r="L11" i="6"/>
  <c r="K11" i="6"/>
  <c r="J11" i="6"/>
  <c r="I11" i="6"/>
  <c r="H11" i="6"/>
  <c r="G11" i="6"/>
  <c r="F11" i="6"/>
  <c r="E11" i="6"/>
  <c r="BO10" i="6"/>
  <c r="BN10" i="6"/>
  <c r="BM10" i="6"/>
  <c r="BL10" i="6"/>
  <c r="BK10" i="6"/>
  <c r="BJ10" i="6"/>
  <c r="BI10" i="6"/>
  <c r="BH10" i="6"/>
  <c r="BG10" i="6"/>
  <c r="BF10" i="6"/>
  <c r="BE10" i="6"/>
  <c r="BD10" i="6"/>
  <c r="BC10" i="6"/>
  <c r="BB10" i="6"/>
  <c r="BA10" i="6"/>
  <c r="AZ10" i="6"/>
  <c r="AY10" i="6"/>
  <c r="AX10" i="6"/>
  <c r="AW10" i="6"/>
  <c r="AV10" i="6"/>
  <c r="AU10" i="6"/>
  <c r="AT10" i="6"/>
  <c r="AS10" i="6"/>
  <c r="AR10" i="6"/>
  <c r="N10" i="6"/>
  <c r="M10" i="6"/>
  <c r="L10" i="6"/>
  <c r="K10" i="6"/>
  <c r="J10" i="6"/>
  <c r="I10" i="6"/>
  <c r="H10" i="6"/>
  <c r="G10" i="6"/>
  <c r="F10" i="6"/>
  <c r="E10" i="6"/>
  <c r="BO9" i="6"/>
  <c r="BN9" i="6"/>
  <c r="BM9" i="6"/>
  <c r="BL9" i="6"/>
  <c r="BK9" i="6"/>
  <c r="BJ9" i="6"/>
  <c r="BI9" i="6"/>
  <c r="BH9" i="6"/>
  <c r="BG9" i="6"/>
  <c r="BF9" i="6"/>
  <c r="BE9" i="6"/>
  <c r="BD9" i="6"/>
  <c r="BC9" i="6"/>
  <c r="BB9" i="6"/>
  <c r="BA9" i="6"/>
  <c r="AZ9" i="6"/>
  <c r="AY9" i="6"/>
  <c r="AX9" i="6"/>
  <c r="AW9" i="6"/>
  <c r="AV9" i="6"/>
  <c r="AU9" i="6"/>
  <c r="AT9" i="6"/>
  <c r="AS9" i="6"/>
  <c r="AR9" i="6"/>
  <c r="N9" i="6"/>
  <c r="M9" i="6"/>
  <c r="L9" i="6"/>
  <c r="K9" i="6"/>
  <c r="J9" i="6"/>
  <c r="I9" i="6"/>
  <c r="H9" i="6"/>
  <c r="G9" i="6"/>
  <c r="F9" i="6"/>
  <c r="E9" i="6"/>
  <c r="BO8" i="6"/>
  <c r="BN8" i="6"/>
  <c r="BM8" i="6"/>
  <c r="BL8" i="6"/>
  <c r="BK8" i="6"/>
  <c r="BJ8" i="6"/>
  <c r="BI8" i="6"/>
  <c r="BH8" i="6"/>
  <c r="BG8" i="6"/>
  <c r="BF8" i="6"/>
  <c r="BE8" i="6"/>
  <c r="BD8" i="6"/>
  <c r="BC8" i="6"/>
  <c r="BB8" i="6"/>
  <c r="BA8" i="6"/>
  <c r="AZ8" i="6"/>
  <c r="AY8" i="6"/>
  <c r="AX8" i="6"/>
  <c r="AW8" i="6"/>
  <c r="AV8" i="6"/>
  <c r="AU8" i="6"/>
  <c r="AT8" i="6"/>
  <c r="AS8" i="6"/>
  <c r="AR8" i="6"/>
  <c r="N8" i="6"/>
  <c r="M8" i="6"/>
  <c r="L8" i="6"/>
  <c r="K8" i="6"/>
  <c r="J8" i="6"/>
  <c r="I8" i="6"/>
  <c r="H8" i="6"/>
  <c r="G8" i="6"/>
  <c r="F8" i="6"/>
  <c r="E8" i="6"/>
  <c r="BO7" i="6"/>
  <c r="BN7" i="6"/>
  <c r="BM7" i="6"/>
  <c r="BL7" i="6"/>
  <c r="BK7" i="6"/>
  <c r="BJ7" i="6"/>
  <c r="BI7" i="6"/>
  <c r="BH7" i="6"/>
  <c r="BG7" i="6"/>
  <c r="BF7" i="6"/>
  <c r="BE7" i="6"/>
  <c r="BD7" i="6"/>
  <c r="BC7" i="6"/>
  <c r="BB7" i="6"/>
  <c r="BA7" i="6"/>
  <c r="AZ7" i="6"/>
  <c r="AY7" i="6"/>
  <c r="AX7" i="6"/>
  <c r="AW7" i="6"/>
  <c r="AV7" i="6"/>
  <c r="AU7" i="6"/>
  <c r="AT7" i="6"/>
  <c r="AS7" i="6"/>
  <c r="AR7" i="6"/>
  <c r="N7" i="6"/>
  <c r="M7" i="6"/>
  <c r="L7" i="6"/>
  <c r="K7" i="6"/>
  <c r="J7" i="6"/>
  <c r="I7" i="6"/>
  <c r="H7" i="6"/>
  <c r="G7" i="6"/>
  <c r="F7" i="6"/>
  <c r="E7" i="6"/>
  <c r="BO6" i="6"/>
  <c r="BN6" i="6"/>
  <c r="BM6" i="6"/>
  <c r="BL6" i="6"/>
  <c r="BK6" i="6"/>
  <c r="BJ6" i="6"/>
  <c r="BI6" i="6"/>
  <c r="BH6" i="6"/>
  <c r="BG6" i="6"/>
  <c r="BF6" i="6"/>
  <c r="BE6" i="6"/>
  <c r="BD6" i="6"/>
  <c r="BC6" i="6"/>
  <c r="BB6" i="6"/>
  <c r="BA6" i="6"/>
  <c r="AZ6" i="6"/>
  <c r="AY6" i="6"/>
  <c r="AX6" i="6"/>
  <c r="AW6" i="6"/>
  <c r="AV6" i="6"/>
  <c r="AU6" i="6"/>
  <c r="AT6" i="6"/>
  <c r="AS6" i="6"/>
  <c r="AR6" i="6"/>
  <c r="N6" i="6"/>
  <c r="M6" i="6"/>
  <c r="L6" i="6"/>
  <c r="K6" i="6"/>
  <c r="J6" i="6"/>
  <c r="I6" i="6"/>
  <c r="H6" i="6"/>
  <c r="G6" i="6"/>
  <c r="F6" i="6"/>
  <c r="E6" i="6"/>
  <c r="BO5" i="6"/>
  <c r="BN5" i="6"/>
  <c r="BM5" i="6"/>
  <c r="BL5" i="6"/>
  <c r="BK5" i="6"/>
  <c r="BJ5" i="6"/>
  <c r="BI5" i="6"/>
  <c r="BH5" i="6"/>
  <c r="BG5" i="6"/>
  <c r="BF5" i="6"/>
  <c r="BE5" i="6"/>
  <c r="BD5" i="6"/>
  <c r="BC5" i="6"/>
  <c r="BB5" i="6"/>
  <c r="BA5" i="6"/>
  <c r="AZ5" i="6"/>
  <c r="AY5" i="6"/>
  <c r="AX5" i="6"/>
  <c r="AW5" i="6"/>
  <c r="AV5" i="6"/>
  <c r="AU5" i="6"/>
  <c r="AT5" i="6"/>
  <c r="AS5" i="6"/>
  <c r="AR5" i="6"/>
  <c r="N5" i="6"/>
  <c r="M5" i="6"/>
  <c r="L5" i="6"/>
  <c r="K5" i="6"/>
  <c r="J5" i="6"/>
  <c r="I5" i="6"/>
  <c r="H5" i="6"/>
  <c r="G5" i="6"/>
  <c r="F5" i="6"/>
  <c r="E5" i="6"/>
  <c r="BO4" i="6"/>
  <c r="BN4" i="6"/>
  <c r="BM4" i="6"/>
  <c r="BL4" i="6"/>
  <c r="BK4" i="6"/>
  <c r="BJ4" i="6"/>
  <c r="BI4" i="6"/>
  <c r="BH4" i="6"/>
  <c r="BG4" i="6"/>
  <c r="BF4" i="6"/>
  <c r="BE4" i="6"/>
  <c r="BD4" i="6"/>
  <c r="BC4" i="6"/>
  <c r="BB4" i="6"/>
  <c r="BA4" i="6"/>
  <c r="AZ4" i="6"/>
  <c r="AY4" i="6"/>
  <c r="AX4" i="6"/>
  <c r="AW4" i="6"/>
  <c r="AV4" i="6"/>
  <c r="AU4" i="6"/>
  <c r="AT4" i="6"/>
  <c r="AS4" i="6"/>
  <c r="AR4" i="6"/>
  <c r="N4" i="6"/>
  <c r="M4" i="6"/>
  <c r="L4" i="6"/>
  <c r="K4" i="6"/>
  <c r="J4" i="6"/>
  <c r="I4" i="6"/>
  <c r="H4" i="6"/>
  <c r="G4" i="6"/>
  <c r="F4" i="6"/>
  <c r="E4" i="6"/>
  <c r="BO3" i="6"/>
  <c r="BN3" i="6"/>
  <c r="BM3" i="6"/>
  <c r="BL3" i="6"/>
  <c r="BK3" i="6"/>
  <c r="BJ3" i="6"/>
  <c r="BI3" i="6"/>
  <c r="BH3" i="6"/>
  <c r="BG3" i="6"/>
  <c r="BF3" i="6"/>
  <c r="BE3" i="6"/>
  <c r="BD3" i="6"/>
  <c r="BC3" i="6"/>
  <c r="BB3" i="6"/>
  <c r="BA3" i="6"/>
  <c r="AZ3" i="6"/>
  <c r="AY3" i="6"/>
  <c r="AX3" i="6"/>
  <c r="AW3" i="6"/>
  <c r="AV3" i="6"/>
  <c r="AU3" i="6"/>
  <c r="AT3" i="6"/>
  <c r="AS3" i="6"/>
  <c r="AR3" i="6"/>
  <c r="N3" i="6"/>
  <c r="M3" i="6"/>
  <c r="L3" i="6"/>
  <c r="K3" i="6"/>
  <c r="J3" i="6"/>
  <c r="I3" i="6"/>
  <c r="H3" i="6"/>
  <c r="G3" i="6"/>
  <c r="F3" i="6"/>
  <c r="E3" i="6"/>
  <c r="BO2" i="6"/>
  <c r="BN2" i="6"/>
  <c r="BM2" i="6"/>
  <c r="BL2" i="6"/>
  <c r="BK2" i="6"/>
  <c r="BJ2" i="6"/>
  <c r="BI2" i="6"/>
  <c r="BH2" i="6"/>
  <c r="BG2" i="6"/>
  <c r="BF2" i="6"/>
  <c r="BE2" i="6"/>
  <c r="BD2" i="6"/>
  <c r="BC2" i="6"/>
  <c r="BB2" i="6"/>
  <c r="BA2" i="6"/>
  <c r="AZ2" i="6"/>
  <c r="AY2" i="6"/>
  <c r="AX2" i="6"/>
  <c r="AW2" i="6"/>
  <c r="AV2" i="6"/>
  <c r="AU2" i="6"/>
  <c r="AT2" i="6"/>
  <c r="AS2" i="6"/>
  <c r="AR2" i="6"/>
  <c r="N2" i="6"/>
  <c r="M2" i="6"/>
  <c r="L2" i="6"/>
  <c r="K2" i="6"/>
  <c r="J2" i="6"/>
  <c r="I2" i="6"/>
  <c r="H2" i="6"/>
  <c r="G2" i="6"/>
  <c r="F2" i="6"/>
  <c r="E2" i="6"/>
  <c r="M8" i="1"/>
  <c r="AR113" i="6" l="1"/>
  <c r="AS113" i="6"/>
  <c r="AX113" i="6"/>
  <c r="AY113" i="6"/>
  <c r="BA113" i="6"/>
  <c r="BC113" i="6"/>
  <c r="BH113" i="6"/>
  <c r="BB113" i="6"/>
  <c r="AZ113" i="6"/>
  <c r="AV113" i="6"/>
  <c r="AT113" i="6"/>
  <c r="AV112" i="6"/>
  <c r="AU112" i="6"/>
  <c r="AS112" i="6"/>
  <c r="AV110" i="6"/>
  <c r="AU110" i="6"/>
  <c r="AS110" i="6"/>
  <c r="AV108" i="6"/>
  <c r="AU108" i="6"/>
  <c r="AS108" i="6"/>
  <c r="BD107" i="6"/>
  <c r="BC107" i="6"/>
  <c r="BB107" i="6"/>
  <c r="BA107" i="6"/>
  <c r="BD106" i="6"/>
  <c r="BC106" i="6"/>
  <c r="BB106" i="6"/>
  <c r="AX105" i="6"/>
  <c r="AV105" i="6"/>
  <c r="BB104" i="6"/>
  <c r="AZ104" i="6"/>
  <c r="AV104" i="6"/>
  <c r="AU104" i="6"/>
  <c r="BC103" i="6"/>
  <c r="BB103" i="6"/>
  <c r="BA103" i="6"/>
  <c r="AZ103" i="6"/>
  <c r="AV103" i="6"/>
  <c r="AU103" i="6"/>
  <c r="BC102" i="6"/>
  <c r="BB102" i="6"/>
  <c r="BA102" i="6"/>
  <c r="AZ102" i="6"/>
  <c r="AV102" i="6"/>
  <c r="AU102" i="6"/>
  <c r="BC101" i="6"/>
  <c r="BA101" i="6"/>
  <c r="AZ101" i="6"/>
  <c r="AY100" i="6"/>
  <c r="AX100" i="6"/>
  <c r="AW100" i="6"/>
  <c r="AV100" i="6"/>
  <c r="BG98" i="6"/>
  <c r="BF98" i="6"/>
  <c r="BE98" i="6"/>
  <c r="BD98" i="6"/>
  <c r="AZ98" i="6"/>
  <c r="AY98" i="6"/>
  <c r="BJ97" i="6"/>
  <c r="BI97" i="6"/>
  <c r="BD97" i="6"/>
  <c r="AW95" i="6"/>
  <c r="AV95" i="6"/>
  <c r="AU95" i="6"/>
  <c r="AT95" i="6"/>
  <c r="BJ94" i="6"/>
  <c r="BE94" i="6"/>
  <c r="BD94" i="6"/>
  <c r="BJ91" i="6"/>
  <c r="BI91" i="6"/>
  <c r="BE91" i="6"/>
  <c r="BD91" i="6"/>
  <c r="L90" i="6"/>
  <c r="M115" i="6"/>
  <c r="L115" i="6"/>
  <c r="F114" i="6"/>
  <c r="N113" i="6"/>
  <c r="M113" i="6"/>
  <c r="N111" i="6"/>
  <c r="J111" i="6"/>
  <c r="I111" i="6"/>
  <c r="J109" i="6"/>
  <c r="I109" i="6"/>
  <c r="H109" i="6"/>
  <c r="G109" i="6"/>
  <c r="J108" i="6"/>
  <c r="I108" i="6"/>
  <c r="H106" i="6"/>
  <c r="G106" i="6"/>
  <c r="F106" i="6"/>
  <c r="E106" i="6"/>
  <c r="BL105" i="6"/>
  <c r="BD104" i="6"/>
  <c r="M104" i="6"/>
  <c r="G104" i="6"/>
  <c r="F104" i="6"/>
  <c r="BL102" i="6"/>
  <c r="BK102" i="6"/>
  <c r="M102" i="6"/>
  <c r="L102" i="6"/>
  <c r="E102" i="6"/>
  <c r="BO101" i="6"/>
  <c r="BM100" i="6"/>
  <c r="BL100" i="6"/>
  <c r="BK100" i="6"/>
  <c r="N100" i="6"/>
  <c r="F100" i="6"/>
  <c r="E100" i="6"/>
  <c r="AZ99" i="6"/>
  <c r="AY99" i="6"/>
  <c r="AX99" i="6"/>
  <c r="AW99" i="6"/>
  <c r="AS99" i="6"/>
  <c r="AR99" i="6"/>
  <c r="BN97" i="6"/>
  <c r="BM97" i="6"/>
  <c r="M97" i="6"/>
  <c r="L97" i="6"/>
  <c r="F96" i="6"/>
  <c r="BN95" i="6"/>
  <c r="N95" i="6"/>
  <c r="M95" i="6"/>
  <c r="J94" i="6"/>
  <c r="I94" i="6"/>
  <c r="H94" i="6"/>
  <c r="G94" i="6"/>
  <c r="H93" i="6"/>
  <c r="BG92" i="6"/>
  <c r="BF92" i="6"/>
  <c r="BE92" i="6"/>
  <c r="AZ92" i="6"/>
  <c r="AY92" i="6"/>
  <c r="K92" i="6"/>
  <c r="J92" i="6"/>
  <c r="I92" i="6"/>
  <c r="M91" i="6"/>
  <c r="K91" i="6"/>
  <c r="BM112" i="6"/>
  <c r="BL112" i="6"/>
  <c r="BK112" i="6"/>
  <c r="BO111" i="6"/>
  <c r="BK111" i="6"/>
  <c r="BJ111" i="6"/>
  <c r="AT111" i="6"/>
  <c r="AS111" i="6"/>
  <c r="AR111" i="6"/>
  <c r="BO110" i="6"/>
  <c r="BK110" i="6"/>
  <c r="BO109" i="6"/>
  <c r="BN106" i="6"/>
  <c r="BM106" i="6"/>
  <c r="BL106" i="6"/>
  <c r="BK106" i="6"/>
  <c r="BO115" i="6"/>
  <c r="BM115" i="6"/>
  <c r="BL115" i="6"/>
  <c r="BK115" i="6"/>
  <c r="BD115" i="6"/>
  <c r="BA115" i="6"/>
  <c r="AZ115" i="6"/>
  <c r="AY115" i="6"/>
  <c r="AX115" i="6"/>
  <c r="AW115" i="6"/>
  <c r="AV115" i="6"/>
  <c r="AU115" i="6"/>
  <c r="AT115" i="6"/>
  <c r="N115" i="6"/>
  <c r="K115" i="6"/>
  <c r="J115" i="6"/>
  <c r="I115" i="6"/>
  <c r="H115" i="6"/>
  <c r="G115" i="6"/>
  <c r="F115" i="6"/>
  <c r="E115" i="6"/>
  <c r="BO114" i="6"/>
  <c r="BN114" i="6"/>
  <c r="BM114" i="6"/>
  <c r="BL114" i="6"/>
  <c r="BK114" i="6"/>
  <c r="BJ114" i="6"/>
  <c r="BH114" i="6"/>
  <c r="BD114" i="6"/>
  <c r="BC114" i="6"/>
  <c r="BA114" i="6"/>
  <c r="AZ114" i="6"/>
  <c r="AW114" i="6"/>
  <c r="AT114" i="6"/>
  <c r="AS114" i="6"/>
  <c r="AR114" i="6"/>
  <c r="AQ114" i="6"/>
  <c r="M114" i="6"/>
  <c r="L114" i="6"/>
  <c r="K114" i="6"/>
  <c r="I114" i="6"/>
  <c r="H114" i="6"/>
  <c r="G114" i="6"/>
  <c r="BO113" i="6"/>
  <c r="BM113" i="6"/>
  <c r="BL113" i="6"/>
  <c r="BK113" i="6"/>
  <c r="BG113" i="6"/>
  <c r="BF113" i="6"/>
  <c r="BE113" i="6"/>
  <c r="BD113" i="6"/>
  <c r="L113" i="6"/>
  <c r="K113" i="6"/>
  <c r="J113" i="6"/>
  <c r="I113" i="6"/>
  <c r="H113" i="6"/>
  <c r="G113" i="6"/>
  <c r="E113" i="6"/>
  <c r="BO112" i="6"/>
  <c r="BJ112" i="6"/>
  <c r="BH112" i="6"/>
  <c r="BG112" i="6"/>
  <c r="BF112" i="6"/>
  <c r="BC112" i="6"/>
  <c r="BA112" i="6"/>
  <c r="AZ112" i="6"/>
  <c r="AY112" i="6"/>
  <c r="AX112" i="6"/>
  <c r="AW112" i="6"/>
  <c r="AT112" i="6"/>
  <c r="AR112" i="6"/>
  <c r="AQ112" i="6"/>
  <c r="N112" i="6"/>
  <c r="M112" i="6"/>
  <c r="L112" i="6"/>
  <c r="J112" i="6"/>
  <c r="I112" i="6"/>
  <c r="H112" i="6"/>
  <c r="G112" i="6"/>
  <c r="F112" i="6"/>
  <c r="E112" i="6"/>
  <c r="BN111" i="6"/>
  <c r="BM111" i="6"/>
  <c r="BL111" i="6"/>
  <c r="BI111" i="6"/>
  <c r="BH111" i="6"/>
  <c r="BD111" i="6"/>
  <c r="BC111" i="6"/>
  <c r="BA111" i="6"/>
  <c r="AZ111" i="6"/>
  <c r="AY111" i="6"/>
  <c r="AX111" i="6"/>
  <c r="AW111" i="6"/>
  <c r="AV111" i="6"/>
  <c r="AU111" i="6"/>
  <c r="M111" i="6"/>
  <c r="L111" i="6"/>
  <c r="H111" i="6"/>
  <c r="G111" i="6"/>
  <c r="F111" i="6"/>
  <c r="E111" i="6"/>
  <c r="BM110" i="6"/>
  <c r="BL110" i="6"/>
  <c r="BJ110" i="6"/>
  <c r="BH110" i="6"/>
  <c r="BG110" i="6"/>
  <c r="BD110" i="6"/>
  <c r="BC110" i="6"/>
  <c r="BB110" i="6"/>
  <c r="AZ110" i="6"/>
  <c r="AY110" i="6"/>
  <c r="AX110" i="6"/>
  <c r="AW110" i="6"/>
  <c r="AR110" i="6"/>
  <c r="N110" i="6"/>
  <c r="M110" i="6"/>
  <c r="K110" i="6"/>
  <c r="J110" i="6"/>
  <c r="I110" i="6"/>
  <c r="H110" i="6"/>
  <c r="G110" i="6"/>
  <c r="F110" i="6"/>
  <c r="E110" i="6"/>
  <c r="BM109" i="6"/>
  <c r="BL109" i="6"/>
  <c r="BK109" i="6"/>
  <c r="BD109" i="6"/>
  <c r="BA109" i="6"/>
  <c r="AZ109" i="6"/>
  <c r="AY109" i="6"/>
  <c r="AX109" i="6"/>
  <c r="AW109" i="6"/>
  <c r="N109" i="6"/>
  <c r="M109" i="6"/>
  <c r="L109" i="6"/>
  <c r="K109" i="6"/>
  <c r="F109" i="6"/>
  <c r="E109" i="6"/>
  <c r="BO108" i="6"/>
  <c r="BM108" i="6"/>
  <c r="BL108" i="6"/>
  <c r="BK108" i="6"/>
  <c r="BJ108" i="6"/>
  <c r="BI108" i="6"/>
  <c r="BH108" i="6"/>
  <c r="BE108" i="6"/>
  <c r="BD108" i="6"/>
  <c r="BC108" i="6"/>
  <c r="BA108" i="6"/>
  <c r="AZ108" i="6"/>
  <c r="AY108" i="6"/>
  <c r="AX108" i="6"/>
  <c r="AW108" i="6"/>
  <c r="AT108" i="6"/>
  <c r="AR108" i="6"/>
  <c r="AQ108" i="6"/>
  <c r="N108" i="6"/>
  <c r="M108" i="6"/>
  <c r="L108" i="6"/>
  <c r="K108" i="6"/>
  <c r="H108" i="6"/>
  <c r="G108" i="6"/>
  <c r="E108" i="6"/>
  <c r="BO107" i="6"/>
  <c r="BM107" i="6"/>
  <c r="BL107" i="6"/>
  <c r="BK107" i="6"/>
  <c r="BJ107" i="6"/>
  <c r="BI107" i="6"/>
  <c r="BH107" i="6"/>
  <c r="AY107" i="6"/>
  <c r="AX107" i="6"/>
  <c r="AT107" i="6"/>
  <c r="AQ107" i="6"/>
  <c r="N107" i="6"/>
  <c r="M107" i="6"/>
  <c r="L107" i="6"/>
  <c r="K107" i="6"/>
  <c r="J107" i="6"/>
  <c r="I107" i="6"/>
  <c r="H107" i="6"/>
  <c r="G107" i="6"/>
  <c r="F107" i="6"/>
  <c r="E107" i="6"/>
  <c r="BO106" i="6"/>
  <c r="BJ106" i="6"/>
  <c r="BH106" i="6"/>
  <c r="AZ106" i="6"/>
  <c r="AY106" i="6"/>
  <c r="AX106" i="6"/>
  <c r="AW106" i="6"/>
  <c r="AU106" i="6"/>
  <c r="AT106" i="6"/>
  <c r="AS106" i="6"/>
  <c r="AR106" i="6"/>
  <c r="AQ106" i="6"/>
  <c r="M106" i="6"/>
  <c r="L106" i="6"/>
  <c r="K106" i="6"/>
  <c r="J106" i="6"/>
  <c r="I106" i="6"/>
  <c r="BO105" i="6"/>
  <c r="BM105" i="6"/>
  <c r="BJ105" i="6"/>
  <c r="BI105" i="6"/>
  <c r="BH105" i="6"/>
  <c r="BG105" i="6"/>
  <c r="BF105" i="6"/>
  <c r="BE105" i="6"/>
  <c r="BD105" i="6"/>
  <c r="BC105" i="6"/>
  <c r="BB105" i="6"/>
  <c r="BA105" i="6"/>
  <c r="AZ105" i="6"/>
  <c r="AW105" i="6"/>
  <c r="AT105" i="6"/>
  <c r="AS105" i="6"/>
  <c r="N105" i="6"/>
  <c r="M105" i="6"/>
  <c r="L105" i="6"/>
  <c r="K105" i="6"/>
  <c r="J105" i="6"/>
  <c r="I105" i="6"/>
  <c r="H105" i="6"/>
  <c r="G105" i="6"/>
  <c r="F105" i="6"/>
  <c r="BO104" i="6"/>
  <c r="BN104" i="6"/>
  <c r="BL104" i="6"/>
  <c r="BK104" i="6"/>
  <c r="BJ104" i="6"/>
  <c r="BI104" i="6"/>
  <c r="BH104" i="6"/>
  <c r="BG104" i="6"/>
  <c r="BF104" i="6"/>
  <c r="BE104" i="6"/>
  <c r="BC104" i="6"/>
  <c r="BA104" i="6"/>
  <c r="AY104" i="6"/>
  <c r="AX104" i="6"/>
  <c r="AW104" i="6"/>
  <c r="AT104" i="6"/>
  <c r="AS104" i="6"/>
  <c r="N104" i="6"/>
  <c r="L104" i="6"/>
  <c r="K104" i="6"/>
  <c r="J104" i="6"/>
  <c r="I104" i="6"/>
  <c r="H104" i="6"/>
  <c r="E104" i="6"/>
  <c r="BO103" i="6"/>
  <c r="BN103" i="6"/>
  <c r="BM103" i="6"/>
  <c r="BL103" i="6"/>
  <c r="BK103" i="6"/>
  <c r="BJ103" i="6"/>
  <c r="BI103" i="6"/>
  <c r="BH103" i="6"/>
  <c r="BG103" i="6"/>
  <c r="BF103" i="6"/>
  <c r="BE103" i="6"/>
  <c r="AY103" i="6"/>
  <c r="AW103" i="6"/>
  <c r="AT103" i="6"/>
  <c r="AS103" i="6"/>
  <c r="AR103" i="6"/>
  <c r="AQ103" i="6"/>
  <c r="N103" i="6"/>
  <c r="M103" i="6"/>
  <c r="L103" i="6"/>
  <c r="K103" i="6"/>
  <c r="J103" i="6"/>
  <c r="I103" i="6"/>
  <c r="H103" i="6"/>
  <c r="G103" i="6"/>
  <c r="F103" i="6"/>
  <c r="E103" i="6"/>
  <c r="BN102" i="6"/>
  <c r="BM102" i="6"/>
  <c r="BJ102" i="6"/>
  <c r="BI102" i="6"/>
  <c r="BH102" i="6"/>
  <c r="BG102" i="6"/>
  <c r="BF102" i="6"/>
  <c r="BE102" i="6"/>
  <c r="BD102" i="6"/>
  <c r="AY102" i="6"/>
  <c r="AX102" i="6"/>
  <c r="AW102" i="6"/>
  <c r="AT102" i="6"/>
  <c r="AS102" i="6"/>
  <c r="AR102" i="6"/>
  <c r="N102" i="6"/>
  <c r="K102" i="6"/>
  <c r="J102" i="6"/>
  <c r="I102" i="6"/>
  <c r="H102" i="6"/>
  <c r="G102" i="6"/>
  <c r="F102" i="6"/>
  <c r="BN101" i="6"/>
  <c r="BM101" i="6"/>
  <c r="BL101" i="6"/>
  <c r="BJ101" i="6"/>
  <c r="BI101" i="6"/>
  <c r="BH101" i="6"/>
  <c r="BG101" i="6"/>
  <c r="BF101" i="6"/>
  <c r="BE101" i="6"/>
  <c r="BD101" i="6"/>
  <c r="AY101" i="6"/>
  <c r="AX101" i="6"/>
  <c r="AS101" i="6"/>
  <c r="AR101" i="6"/>
  <c r="N101" i="6"/>
  <c r="M101" i="6"/>
  <c r="L101" i="6"/>
  <c r="K101" i="6"/>
  <c r="J101" i="6"/>
  <c r="I101" i="6"/>
  <c r="H101" i="6"/>
  <c r="G101" i="6"/>
  <c r="F101" i="6"/>
  <c r="E101" i="6"/>
  <c r="BO100" i="6"/>
  <c r="BN100" i="6"/>
  <c r="BJ100" i="6"/>
  <c r="BI100" i="6"/>
  <c r="BH100" i="6"/>
  <c r="BF100" i="6"/>
  <c r="BE100" i="6"/>
  <c r="BD100" i="6"/>
  <c r="BC100" i="6"/>
  <c r="BB100" i="6"/>
  <c r="AZ100" i="6"/>
  <c r="AU100" i="6"/>
  <c r="AT100" i="6"/>
  <c r="M100" i="6"/>
  <c r="L100" i="6"/>
  <c r="K100" i="6"/>
  <c r="J100" i="6"/>
  <c r="I100" i="6"/>
  <c r="H100" i="6"/>
  <c r="BO99" i="6"/>
  <c r="BN99" i="6"/>
  <c r="BM99" i="6"/>
  <c r="BL99" i="6"/>
  <c r="BK99" i="6"/>
  <c r="BJ99" i="6"/>
  <c r="BI99" i="6"/>
  <c r="BH99" i="6"/>
  <c r="BG99" i="6"/>
  <c r="BF99" i="6"/>
  <c r="BE99" i="6"/>
  <c r="BD99" i="6"/>
  <c r="BC99" i="6"/>
  <c r="BB99" i="6"/>
  <c r="BA99" i="6"/>
  <c r="AV99" i="6"/>
  <c r="AU99" i="6"/>
  <c r="AT99" i="6"/>
  <c r="N99" i="6"/>
  <c r="M99" i="6"/>
  <c r="L99" i="6"/>
  <c r="K99" i="6"/>
  <c r="J99" i="6"/>
  <c r="I99" i="6"/>
  <c r="G99" i="6"/>
  <c r="F99" i="6"/>
  <c r="E99" i="6"/>
  <c r="BO98" i="6"/>
  <c r="BN98" i="6"/>
  <c r="BM98" i="6"/>
  <c r="BL98" i="6"/>
  <c r="BK98" i="6"/>
  <c r="BJ98" i="6"/>
  <c r="BI98" i="6"/>
  <c r="BH98" i="6"/>
  <c r="BB98" i="6"/>
  <c r="BA98" i="6"/>
  <c r="AX98" i="6"/>
  <c r="AW98" i="6"/>
  <c r="AV98" i="6"/>
  <c r="AT98" i="6"/>
  <c r="AS98" i="6"/>
  <c r="N98" i="6"/>
  <c r="M98" i="6"/>
  <c r="L98" i="6"/>
  <c r="K98" i="6"/>
  <c r="J98" i="6"/>
  <c r="I98" i="6"/>
  <c r="H98" i="6"/>
  <c r="G98" i="6"/>
  <c r="F98" i="6"/>
  <c r="BL97" i="6"/>
  <c r="BK97" i="6"/>
  <c r="BH97" i="6"/>
  <c r="BG97" i="6"/>
  <c r="BF97" i="6"/>
  <c r="AX97" i="6"/>
  <c r="AW97" i="6"/>
  <c r="AV97" i="6"/>
  <c r="AU97" i="6"/>
  <c r="AT97" i="6"/>
  <c r="AR97" i="6"/>
  <c r="N97" i="6"/>
  <c r="K97" i="6"/>
  <c r="J97" i="6"/>
  <c r="I97" i="6"/>
  <c r="H97" i="6"/>
  <c r="G97" i="6"/>
  <c r="F97" i="6"/>
  <c r="E97" i="6"/>
  <c r="BO96" i="6"/>
  <c r="BM96" i="6"/>
  <c r="BL96" i="6"/>
  <c r="BK96" i="6"/>
  <c r="BJ96" i="6"/>
  <c r="BI96" i="6"/>
  <c r="BH96" i="6"/>
  <c r="BG96" i="6"/>
  <c r="BF96" i="6"/>
  <c r="BE96" i="6"/>
  <c r="BD96" i="6"/>
  <c r="BC96" i="6"/>
  <c r="BA96" i="6"/>
  <c r="AY96" i="6"/>
  <c r="AX96" i="6"/>
  <c r="AW96" i="6"/>
  <c r="AV96" i="6"/>
  <c r="AU96" i="6"/>
  <c r="AT96" i="6"/>
  <c r="AS96" i="6"/>
  <c r="N96" i="6"/>
  <c r="M96" i="6"/>
  <c r="L96" i="6"/>
  <c r="K96" i="6"/>
  <c r="J96" i="6"/>
  <c r="I96" i="6"/>
  <c r="H96" i="6"/>
  <c r="G96" i="6"/>
  <c r="BM95" i="6"/>
  <c r="BL95" i="6"/>
  <c r="BK95" i="6"/>
  <c r="BJ95" i="6"/>
  <c r="BI95" i="6"/>
  <c r="BH95" i="6"/>
  <c r="BG95" i="6"/>
  <c r="BF95" i="6"/>
  <c r="BE95" i="6"/>
  <c r="BD95" i="6"/>
  <c r="BC95" i="6"/>
  <c r="BB95" i="6"/>
  <c r="AY95" i="6"/>
  <c r="AX95" i="6"/>
  <c r="AR95" i="6"/>
  <c r="L95" i="6"/>
  <c r="K95" i="6"/>
  <c r="J95" i="6"/>
  <c r="I95" i="6"/>
  <c r="H95" i="6"/>
  <c r="G95" i="6"/>
  <c r="F95" i="6"/>
  <c r="E95" i="6"/>
  <c r="BO94" i="6"/>
  <c r="BN94" i="6"/>
  <c r="BM94" i="6"/>
  <c r="BL94" i="6"/>
  <c r="BK94" i="6"/>
  <c r="BH94" i="6"/>
  <c r="BG94" i="6"/>
  <c r="BF94" i="6"/>
  <c r="BC94" i="6"/>
  <c r="BB94" i="6"/>
  <c r="BA94" i="6"/>
  <c r="AZ94" i="6"/>
  <c r="AY94" i="6"/>
  <c r="AX94" i="6"/>
  <c r="AW94" i="6"/>
  <c r="N94" i="6"/>
  <c r="M94" i="6"/>
  <c r="K94" i="6"/>
  <c r="F94" i="6"/>
  <c r="E94" i="6"/>
  <c r="BO93" i="6"/>
  <c r="BN93" i="6"/>
  <c r="BM93" i="6"/>
  <c r="BL93" i="6"/>
  <c r="BK93" i="6"/>
  <c r="BH93" i="6"/>
  <c r="BG93" i="6"/>
  <c r="BF93" i="6"/>
  <c r="BE93" i="6"/>
  <c r="BD93" i="6"/>
  <c r="BC93" i="6"/>
  <c r="BA93" i="6"/>
  <c r="AZ93" i="6"/>
  <c r="AW93" i="6"/>
  <c r="AV93" i="6"/>
  <c r="AU93" i="6"/>
  <c r="AT93" i="6"/>
  <c r="AS93" i="6"/>
  <c r="AR93" i="6"/>
  <c r="N93" i="6"/>
  <c r="L93" i="6"/>
  <c r="K93" i="6"/>
  <c r="J93" i="6"/>
  <c r="I93" i="6"/>
  <c r="G93" i="6"/>
  <c r="F93" i="6"/>
  <c r="E93" i="6"/>
  <c r="BO92" i="6"/>
  <c r="BN92" i="6"/>
  <c r="BM92" i="6"/>
  <c r="BL92" i="6"/>
  <c r="BK92" i="6"/>
  <c r="BJ92" i="6"/>
  <c r="BI92" i="6"/>
  <c r="BH92" i="6"/>
  <c r="BC92" i="6"/>
  <c r="BB92" i="6"/>
  <c r="AX92" i="6"/>
  <c r="AW92" i="6"/>
  <c r="AV92" i="6"/>
  <c r="AU92" i="6"/>
  <c r="AT92" i="6"/>
  <c r="AS92" i="6"/>
  <c r="AR92" i="6"/>
  <c r="N92" i="6"/>
  <c r="M92" i="6"/>
  <c r="L92" i="6"/>
  <c r="G92" i="6"/>
  <c r="F92" i="6"/>
  <c r="BM91" i="6"/>
  <c r="BL91" i="6"/>
  <c r="BH91" i="6"/>
  <c r="BG91" i="6"/>
  <c r="BF91" i="6"/>
  <c r="BC91" i="6"/>
  <c r="BB91" i="6"/>
  <c r="BA91" i="6"/>
  <c r="AW91" i="6"/>
  <c r="AU91" i="6"/>
  <c r="N91" i="6"/>
  <c r="L91" i="6"/>
  <c r="J91" i="6"/>
  <c r="I91" i="6"/>
  <c r="H91" i="6"/>
  <c r="G91" i="6"/>
  <c r="F91" i="6"/>
  <c r="E91" i="6"/>
  <c r="BO90" i="6"/>
  <c r="BN90" i="6"/>
  <c r="BM90" i="6"/>
  <c r="BL90" i="6"/>
  <c r="BK90" i="6"/>
  <c r="BJ90" i="6"/>
  <c r="BI90" i="6"/>
  <c r="BH90" i="6"/>
  <c r="BG90" i="6"/>
  <c r="BF90" i="6"/>
  <c r="BE90" i="6"/>
  <c r="BD90" i="6"/>
  <c r="BC90" i="6"/>
  <c r="BB90" i="6"/>
  <c r="BA90" i="6"/>
  <c r="AZ90" i="6"/>
  <c r="AY90" i="6"/>
  <c r="AX90" i="6"/>
  <c r="AW90" i="6"/>
  <c r="AV90" i="6"/>
  <c r="AU90" i="6"/>
  <c r="AT90" i="6"/>
  <c r="AS90" i="6"/>
  <c r="AR90" i="6"/>
  <c r="M90" i="6"/>
  <c r="K90" i="6"/>
  <c r="J90" i="6"/>
  <c r="I90" i="6"/>
  <c r="H90" i="6"/>
  <c r="G90" i="6"/>
  <c r="F90" i="6"/>
  <c r="E90" i="6"/>
  <c r="O1" i="6"/>
  <c r="P1" i="6" s="1"/>
  <c r="Q1" i="6" s="1"/>
  <c r="R1" i="6" s="1"/>
  <c r="S1" i="6" s="1"/>
  <c r="T1" i="6" s="1"/>
  <c r="U1" i="6" s="1"/>
  <c r="V1" i="6" s="1"/>
  <c r="W1" i="6" s="1"/>
  <c r="X1" i="6" s="1"/>
  <c r="Y1" i="6" s="1"/>
  <c r="Z1" i="6" s="1"/>
  <c r="AA1" i="6" s="1"/>
  <c r="AB1" i="6" s="1"/>
  <c r="AC1" i="6" s="1"/>
  <c r="AD1" i="6" s="1"/>
  <c r="AE1" i="6" s="1"/>
  <c r="AF1" i="6" s="1"/>
  <c r="AG1" i="6" s="1"/>
  <c r="AH1" i="6" s="1"/>
  <c r="AI1" i="6" s="1"/>
  <c r="AJ1" i="6" s="1"/>
  <c r="AK1" i="6" s="1"/>
  <c r="AL1" i="6" s="1"/>
  <c r="AM1" i="6" s="1"/>
  <c r="AN1" i="6" s="1"/>
  <c r="AO1" i="6" s="1"/>
  <c r="AP1" i="6" s="1"/>
  <c r="AQ1" i="6" s="1"/>
  <c r="AR1" i="6" s="1"/>
  <c r="AS1" i="6" s="1"/>
  <c r="AT1" i="6" s="1"/>
  <c r="AU1" i="6" s="1"/>
  <c r="AV1" i="6" s="1"/>
  <c r="AW1" i="6" s="1"/>
  <c r="AX1" i="6" s="1"/>
  <c r="AY1" i="6" s="1"/>
  <c r="AZ1" i="6" s="1"/>
  <c r="BA1" i="6" s="1"/>
  <c r="BB1" i="6" s="1"/>
  <c r="BC1" i="6" s="1"/>
  <c r="BD1" i="6" s="1"/>
  <c r="BE1" i="6" s="1"/>
  <c r="BF1" i="6" s="1"/>
  <c r="BG1" i="6" s="1"/>
  <c r="BH1" i="6" s="1"/>
  <c r="BI1" i="6" s="1"/>
  <c r="BJ1" i="6" s="1"/>
  <c r="BK1" i="6" s="1"/>
  <c r="BL1" i="6" s="1"/>
  <c r="BM1" i="6" s="1"/>
  <c r="BN1" i="6" s="1"/>
  <c r="BO1" i="6" s="1"/>
  <c r="F1" i="6"/>
  <c r="G1" i="6" s="1"/>
  <c r="H1" i="6" s="1"/>
  <c r="I1" i="6" s="1"/>
  <c r="J1" i="6" s="1"/>
  <c r="K1" i="6" s="1"/>
  <c r="L1" i="6" s="1"/>
  <c r="M1" i="6" s="1"/>
  <c r="K90" i="1"/>
  <c r="K89" i="1"/>
  <c r="K88" i="1"/>
  <c r="K87" i="1"/>
  <c r="K86" i="1"/>
  <c r="K85" i="1"/>
  <c r="K84" i="1"/>
  <c r="K83" i="1"/>
  <c r="K82" i="1"/>
  <c r="K81" i="1"/>
  <c r="K80" i="1"/>
  <c r="K79" i="1"/>
  <c r="K78" i="1"/>
  <c r="K77" i="1"/>
  <c r="K76" i="1"/>
  <c r="K75" i="1"/>
  <c r="K74" i="1"/>
  <c r="K73" i="1"/>
  <c r="K72" i="1"/>
  <c r="K71" i="1"/>
  <c r="K70" i="1"/>
  <c r="K69" i="1"/>
  <c r="K68" i="1"/>
  <c r="K67" i="1"/>
  <c r="K66" i="1"/>
  <c r="K65" i="1"/>
  <c r="K64" i="1"/>
  <c r="L64" i="1" s="1"/>
  <c r="C60" i="6" l="1"/>
  <c r="C64" i="6"/>
  <c r="C30" i="6"/>
  <c r="C65" i="6"/>
  <c r="C75" i="6"/>
  <c r="E96" i="6"/>
  <c r="C42" i="6"/>
  <c r="C31" i="6"/>
  <c r="C66" i="6"/>
  <c r="C77" i="6"/>
  <c r="C32" i="6"/>
  <c r="C81" i="6"/>
  <c r="C68" i="6"/>
  <c r="C33" i="6"/>
  <c r="C82" i="6"/>
  <c r="C72" i="6"/>
  <c r="C34" i="6"/>
  <c r="C83" i="6"/>
  <c r="C63" i="6"/>
  <c r="C38" i="6"/>
  <c r="C84" i="6"/>
  <c r="C54" i="6"/>
  <c r="C40" i="6"/>
  <c r="C85" i="6"/>
  <c r="C29" i="6"/>
  <c r="C41" i="6"/>
  <c r="E114" i="6"/>
  <c r="C79" i="6"/>
  <c r="C43" i="6"/>
  <c r="C86" i="6"/>
  <c r="C37" i="6"/>
  <c r="C44" i="6"/>
  <c r="C80" i="6"/>
  <c r="C45" i="6"/>
  <c r="C87" i="6"/>
  <c r="C49" i="6"/>
  <c r="C47" i="6"/>
  <c r="C70" i="6"/>
  <c r="C48" i="6"/>
  <c r="C35" i="6"/>
  <c r="C73" i="6"/>
  <c r="C76" i="6"/>
  <c r="C50" i="6"/>
  <c r="C78" i="6"/>
  <c r="C62" i="6"/>
  <c r="E98" i="6"/>
  <c r="C46" i="6"/>
  <c r="C51" i="6"/>
  <c r="C52" i="6"/>
  <c r="C69" i="6"/>
  <c r="C71" i="6"/>
  <c r="C61" i="6"/>
  <c r="C55" i="6"/>
  <c r="C53" i="6"/>
  <c r="C56" i="6"/>
  <c r="C67" i="6"/>
  <c r="C57" i="6"/>
  <c r="C36" i="6"/>
  <c r="AW90" i="1"/>
  <c r="AW153" i="1" s="1"/>
  <c r="C58" i="6"/>
  <c r="C39" i="6"/>
  <c r="C74" i="6"/>
  <c r="C59" i="6"/>
  <c r="AF90" i="1"/>
  <c r="AF153" i="1" s="1"/>
  <c r="AE90" i="1"/>
  <c r="AE153" i="1" s="1"/>
  <c r="BI113" i="6"/>
  <c r="L110" i="6"/>
  <c r="BB115" i="6"/>
  <c r="BC115" i="6"/>
  <c r="AU114" i="6"/>
  <c r="BH115" i="6"/>
  <c r="AV114" i="6"/>
  <c r="BI115" i="6"/>
  <c r="BJ115" i="6"/>
  <c r="AX114" i="6"/>
  <c r="AY114" i="6"/>
  <c r="AQ115" i="6"/>
  <c r="AR115" i="6"/>
  <c r="AS115" i="6"/>
  <c r="BJ109" i="6"/>
  <c r="BH109" i="6"/>
  <c r="BG109" i="6"/>
  <c r="BC109" i="6"/>
  <c r="AQ109" i="6"/>
  <c r="AT109" i="6"/>
  <c r="AU109" i="6"/>
  <c r="AV109" i="6"/>
  <c r="AR96" i="6"/>
  <c r="BI93" i="6"/>
  <c r="AV106" i="6"/>
  <c r="AI90" i="1"/>
  <c r="AI153" i="1" s="1"/>
  <c r="BK105" i="6"/>
  <c r="AK90" i="1"/>
  <c r="AK153" i="1" s="1"/>
  <c r="AR90" i="1"/>
  <c r="AR153" i="1" s="1"/>
  <c r="AS90" i="1"/>
  <c r="AS153" i="1" s="1"/>
  <c r="AG90" i="1"/>
  <c r="AG153" i="1" s="1"/>
  <c r="AJ90" i="1"/>
  <c r="AJ153" i="1" s="1"/>
  <c r="AQ90" i="1"/>
  <c r="AQ153" i="1" s="1"/>
  <c r="AP90" i="1"/>
  <c r="AP153" i="1" s="1"/>
  <c r="AT90" i="1"/>
  <c r="AT153" i="1" s="1"/>
  <c r="AH90" i="1"/>
  <c r="AH153" i="1" s="1"/>
  <c r="AN90" i="1"/>
  <c r="AN153" i="1" s="1"/>
  <c r="AL90" i="1"/>
  <c r="AL153" i="1" s="1"/>
  <c r="AW113" i="6"/>
  <c r="BJ113" i="6"/>
  <c r="AQ113" i="6"/>
  <c r="AU113" i="6"/>
  <c r="BD112" i="6"/>
  <c r="AT110" i="6"/>
  <c r="BA110" i="6"/>
  <c r="BF110" i="6"/>
  <c r="AR109" i="6"/>
  <c r="AS109" i="6"/>
  <c r="BF108" i="6"/>
  <c r="AR107" i="6"/>
  <c r="AU107" i="6"/>
  <c r="AS107" i="6"/>
  <c r="AV107" i="6"/>
  <c r="AW107" i="6"/>
  <c r="AZ107" i="6"/>
  <c r="BA106" i="6"/>
  <c r="AQ105" i="6"/>
  <c r="AR105" i="6"/>
  <c r="AU105" i="6"/>
  <c r="AQ104" i="6"/>
  <c r="AX103" i="6"/>
  <c r="AT101" i="6"/>
  <c r="AU101" i="6"/>
  <c r="AV101" i="6"/>
  <c r="AW101" i="6"/>
  <c r="AS100" i="6"/>
  <c r="BG100" i="6"/>
  <c r="AR98" i="6"/>
  <c r="BC98" i="6"/>
  <c r="AS97" i="6"/>
  <c r="BC97" i="6"/>
  <c r="BB97" i="6"/>
  <c r="AY97" i="6"/>
  <c r="BE97" i="6"/>
  <c r="BA97" i="6"/>
  <c r="AZ96" i="6"/>
  <c r="AS95" i="6"/>
  <c r="AZ95" i="6"/>
  <c r="BA95" i="6"/>
  <c r="AT94" i="6"/>
  <c r="AU94" i="6"/>
  <c r="AR94" i="6"/>
  <c r="AS94" i="6"/>
  <c r="AV94" i="6"/>
  <c r="BN96" i="6"/>
  <c r="AS91" i="6"/>
  <c r="AM90" i="1"/>
  <c r="AM153" i="1" s="1"/>
  <c r="AV91" i="6"/>
  <c r="AO90" i="1"/>
  <c r="AO153" i="1" s="1"/>
  <c r="BB108" i="6"/>
  <c r="BB112" i="6"/>
  <c r="L94" i="6"/>
  <c r="BB96" i="6"/>
  <c r="BK101" i="6"/>
  <c r="AY105" i="6"/>
  <c r="F113" i="6"/>
  <c r="BE107" i="6"/>
  <c r="BE111" i="6"/>
  <c r="BE115" i="6"/>
  <c r="AY93" i="6"/>
  <c r="AA90" i="1"/>
  <c r="AA153" i="1" s="1"/>
  <c r="F108" i="6"/>
  <c r="AB90" i="1"/>
  <c r="AB153" i="1" s="1"/>
  <c r="AC90" i="1"/>
  <c r="AC153" i="1" s="1"/>
  <c r="BN108" i="6"/>
  <c r="BN109" i="6"/>
  <c r="BN112" i="6"/>
  <c r="Z90" i="1"/>
  <c r="Z153" i="1" s="1"/>
  <c r="AD90" i="1"/>
  <c r="AD153" i="1" s="1"/>
  <c r="AY91" i="6"/>
  <c r="AZ91" i="6"/>
  <c r="BJ93" i="6"/>
  <c r="AX91" i="6"/>
  <c r="BE110" i="6"/>
  <c r="AU98" i="6"/>
  <c r="H99" i="6"/>
  <c r="BO95" i="6"/>
  <c r="AX93" i="6"/>
  <c r="BF107" i="6"/>
  <c r="BI110" i="6"/>
  <c r="BF115" i="6"/>
  <c r="BG107" i="6"/>
  <c r="BG115" i="6"/>
  <c r="BI94" i="6"/>
  <c r="AR100" i="6"/>
  <c r="BB93" i="6"/>
  <c r="BB101" i="6"/>
  <c r="BN105" i="6"/>
  <c r="BB109" i="6"/>
  <c r="BE112" i="6"/>
  <c r="BN113" i="6"/>
  <c r="K112" i="6"/>
  <c r="BE109" i="6"/>
  <c r="BN110" i="6"/>
  <c r="BB114" i="6"/>
  <c r="AQ102" i="6"/>
  <c r="BO102" i="6"/>
  <c r="BF109" i="6"/>
  <c r="BI112" i="6"/>
  <c r="BO97" i="6"/>
  <c r="BK91" i="6"/>
  <c r="BE106" i="6"/>
  <c r="BB111" i="6"/>
  <c r="BE114" i="6"/>
  <c r="BN115" i="6"/>
  <c r="BF106" i="6"/>
  <c r="BI109" i="6"/>
  <c r="J114" i="6"/>
  <c r="BF114" i="6"/>
  <c r="BO91" i="6"/>
  <c r="M93" i="6"/>
  <c r="E92" i="6"/>
  <c r="BA92" i="6"/>
  <c r="BA100" i="6"/>
  <c r="BM104" i="6"/>
  <c r="BG114" i="6"/>
  <c r="BN91" i="6"/>
  <c r="BN107" i="6"/>
  <c r="AR91" i="6"/>
  <c r="BD103" i="6"/>
  <c r="BG106" i="6"/>
  <c r="AT91" i="6"/>
  <c r="AZ97" i="6"/>
  <c r="G100" i="6"/>
  <c r="BI106" i="6"/>
  <c r="BF111" i="6"/>
  <c r="BI114" i="6"/>
  <c r="N90" i="6"/>
  <c r="H92" i="6"/>
  <c r="BD92" i="6"/>
  <c r="AR104" i="6"/>
  <c r="E105" i="6"/>
  <c r="N106" i="6"/>
  <c r="K111" i="6"/>
  <c r="BG111" i="6"/>
  <c r="N114" i="6"/>
  <c r="BG108" i="6"/>
  <c r="AU68" i="1"/>
  <c r="AQ68" i="1"/>
  <c r="AN68" i="1"/>
  <c r="AB68" i="1"/>
  <c r="AT68" i="1"/>
  <c r="AJ68" i="1"/>
  <c r="AS68" i="1"/>
  <c r="AI68" i="1"/>
  <c r="AE68" i="1"/>
  <c r="AC68" i="1"/>
  <c r="AR68" i="1"/>
  <c r="AH68" i="1"/>
  <c r="X68" i="1"/>
  <c r="AP68" i="1"/>
  <c r="AM68" i="1"/>
  <c r="AK68" i="1"/>
  <c r="AO68" i="1"/>
  <c r="AL68" i="1"/>
  <c r="AZ68" i="1"/>
  <c r="AA68" i="1"/>
  <c r="AG68" i="1"/>
  <c r="AF68" i="1"/>
  <c r="AX68" i="1"/>
  <c r="Y68" i="1"/>
  <c r="Z68" i="1"/>
  <c r="AD68" i="1"/>
  <c r="AY68" i="1"/>
  <c r="AW68" i="1"/>
  <c r="AV68" i="1"/>
  <c r="AF71" i="1"/>
  <c r="AB71" i="1"/>
  <c r="X71" i="1"/>
  <c r="AT71" i="1"/>
  <c r="AE71" i="1"/>
  <c r="AW71" i="1"/>
  <c r="AR71" i="1"/>
  <c r="AN71" i="1"/>
  <c r="AD71" i="1"/>
  <c r="AU71" i="1"/>
  <c r="AC71" i="1"/>
  <c r="AZ71" i="1"/>
  <c r="AY71" i="1"/>
  <c r="AA71" i="1"/>
  <c r="Y71" i="1"/>
  <c r="AV71" i="1"/>
  <c r="AS71" i="1"/>
  <c r="AJ71" i="1"/>
  <c r="AX71" i="1"/>
  <c r="Z71" i="1"/>
  <c r="AQ71" i="1"/>
  <c r="AG71" i="1"/>
  <c r="AP71" i="1"/>
  <c r="AM71" i="1"/>
  <c r="AO71" i="1"/>
  <c r="AL71" i="1"/>
  <c r="AI71" i="1"/>
  <c r="AK71" i="1"/>
  <c r="AH71" i="1"/>
  <c r="AG76" i="1"/>
  <c r="AF76" i="1"/>
  <c r="AE76" i="1"/>
  <c r="AD76" i="1"/>
  <c r="AB76" i="1"/>
  <c r="AL76" i="1"/>
  <c r="AK76" i="1"/>
  <c r="AH76" i="1"/>
  <c r="Y76" i="1"/>
  <c r="AJ76" i="1"/>
  <c r="AI76" i="1"/>
  <c r="AC76" i="1"/>
  <c r="AA76" i="1"/>
  <c r="Z76" i="1"/>
  <c r="X76" i="1"/>
  <c r="AI78" i="1"/>
  <c r="AE78" i="1"/>
  <c r="AH78" i="1"/>
  <c r="AB78" i="1"/>
  <c r="AG78" i="1"/>
  <c r="AA78" i="1"/>
  <c r="Y78" i="1"/>
  <c r="AF78" i="1"/>
  <c r="Z78" i="1"/>
  <c r="AD78" i="1"/>
  <c r="AL78" i="1"/>
  <c r="AC78" i="1"/>
  <c r="X78" i="1"/>
  <c r="AK78" i="1"/>
  <c r="AJ78" i="1"/>
  <c r="AI86" i="1"/>
  <c r="AE86" i="1"/>
  <c r="AA86" i="1"/>
  <c r="AH86" i="1"/>
  <c r="AB86" i="1"/>
  <c r="Y86" i="1"/>
  <c r="X86" i="1"/>
  <c r="AG86" i="1"/>
  <c r="Z86" i="1"/>
  <c r="AF86" i="1"/>
  <c r="AD86" i="1"/>
  <c r="AC86" i="1"/>
  <c r="AL86" i="1"/>
  <c r="AK86" i="1"/>
  <c r="AJ86" i="1"/>
  <c r="Z77" i="1"/>
  <c r="AL77" i="1"/>
  <c r="Y77" i="1"/>
  <c r="X77" i="1"/>
  <c r="AB77" i="1"/>
  <c r="AD77" i="1"/>
  <c r="AC77" i="1"/>
  <c r="AG77" i="1"/>
  <c r="AE77" i="1"/>
  <c r="AK77" i="1"/>
  <c r="AJ77" i="1"/>
  <c r="AI77" i="1"/>
  <c r="AH77" i="1"/>
  <c r="AF77" i="1"/>
  <c r="AA77" i="1"/>
  <c r="AJ82" i="1"/>
  <c r="AL82" i="1"/>
  <c r="AI82" i="1"/>
  <c r="AC82" i="1"/>
  <c r="AA82" i="1"/>
  <c r="AH82" i="1"/>
  <c r="AK82" i="1"/>
  <c r="Z82" i="1"/>
  <c r="AG82" i="1"/>
  <c r="Y82" i="1"/>
  <c r="AF82" i="1"/>
  <c r="AE82" i="1"/>
  <c r="AD82" i="1"/>
  <c r="AB82" i="1"/>
  <c r="X82" i="1"/>
  <c r="AK70" i="1"/>
  <c r="AZ70" i="1"/>
  <c r="Y70" i="1"/>
  <c r="AJ70" i="1"/>
  <c r="AC70" i="1"/>
  <c r="AR70" i="1"/>
  <c r="AI70" i="1"/>
  <c r="AA70" i="1"/>
  <c r="Z70" i="1"/>
  <c r="AH70" i="1"/>
  <c r="AG70" i="1"/>
  <c r="AD70" i="1"/>
  <c r="AB70" i="1"/>
  <c r="AY70" i="1"/>
  <c r="AW70" i="1"/>
  <c r="AP70" i="1"/>
  <c r="AM70" i="1"/>
  <c r="AF70" i="1"/>
  <c r="AE70" i="1"/>
  <c r="AV70" i="1"/>
  <c r="AQ70" i="1"/>
  <c r="AX70" i="1"/>
  <c r="AN70" i="1"/>
  <c r="X70" i="1"/>
  <c r="AS70" i="1"/>
  <c r="AU70" i="1"/>
  <c r="AT70" i="1"/>
  <c r="AL70" i="1"/>
  <c r="AO70" i="1"/>
  <c r="AY74" i="1"/>
  <c r="AA74" i="1"/>
  <c r="AN74" i="1"/>
  <c r="AD74" i="1"/>
  <c r="AX74" i="1"/>
  <c r="Z74" i="1"/>
  <c r="AU74" i="1"/>
  <c r="AL74" i="1"/>
  <c r="AW74" i="1"/>
  <c r="Y74" i="1"/>
  <c r="AH74" i="1"/>
  <c r="AF74" i="1"/>
  <c r="AV74" i="1"/>
  <c r="X74" i="1"/>
  <c r="AT74" i="1"/>
  <c r="AS74" i="1"/>
  <c r="AI74" i="1"/>
  <c r="AC74" i="1"/>
  <c r="AR74" i="1"/>
  <c r="AQ74" i="1"/>
  <c r="AP74" i="1"/>
  <c r="AO74" i="1"/>
  <c r="AG74" i="1"/>
  <c r="AM74" i="1"/>
  <c r="AB74" i="1"/>
  <c r="AK74" i="1"/>
  <c r="AJ74" i="1"/>
  <c r="AE74" i="1"/>
  <c r="AZ74" i="1"/>
  <c r="AT75" i="1"/>
  <c r="AP75" i="1"/>
  <c r="AM75" i="1"/>
  <c r="Z75" i="1"/>
  <c r="X75" i="1"/>
  <c r="AS75" i="1"/>
  <c r="AR75" i="1"/>
  <c r="AX75" i="1"/>
  <c r="Y75" i="1"/>
  <c r="AQ75" i="1"/>
  <c r="AL75" i="1"/>
  <c r="AI75" i="1"/>
  <c r="AG75" i="1"/>
  <c r="AO75" i="1"/>
  <c r="AK75" i="1"/>
  <c r="AJ75" i="1"/>
  <c r="AC75" i="1"/>
  <c r="AN75" i="1"/>
  <c r="AB75" i="1"/>
  <c r="AH75" i="1"/>
  <c r="AZ75" i="1"/>
  <c r="AY75" i="1"/>
  <c r="AF75" i="1"/>
  <c r="AE75" i="1"/>
  <c r="AD75" i="1"/>
  <c r="AA75" i="1"/>
  <c r="AV75" i="1"/>
  <c r="AW75" i="1"/>
  <c r="AU75" i="1"/>
  <c r="AI79" i="1"/>
  <c r="AH79" i="1"/>
  <c r="AK79" i="1"/>
  <c r="AJ79" i="1"/>
  <c r="AF79" i="1"/>
  <c r="AE79" i="1"/>
  <c r="Z79" i="1"/>
  <c r="Y79" i="1"/>
  <c r="AL79" i="1"/>
  <c r="AG79" i="1"/>
  <c r="AA79" i="1"/>
  <c r="AD79" i="1"/>
  <c r="AC79" i="1"/>
  <c r="AB79" i="1"/>
  <c r="X79" i="1"/>
  <c r="AN85" i="1"/>
  <c r="AM85" i="1"/>
  <c r="AL85" i="1"/>
  <c r="AK87" i="1"/>
  <c r="Y87" i="1"/>
  <c r="AJ87" i="1"/>
  <c r="AG87" i="1"/>
  <c r="Z87" i="1"/>
  <c r="AL87" i="1"/>
  <c r="AI87" i="1"/>
  <c r="AH87" i="1"/>
  <c r="AE87" i="1"/>
  <c r="AF87" i="1"/>
  <c r="AD87" i="1"/>
  <c r="X87" i="1"/>
  <c r="AC87" i="1"/>
  <c r="AB87" i="1"/>
  <c r="AA87" i="1"/>
  <c r="AL89" i="1"/>
  <c r="AK89" i="1"/>
  <c r="Y89" i="1"/>
  <c r="AJ89" i="1"/>
  <c r="AI89" i="1"/>
  <c r="AH89" i="1"/>
  <c r="AG89" i="1"/>
  <c r="AC89" i="1"/>
  <c r="AA89" i="1"/>
  <c r="AF89" i="1"/>
  <c r="AE89" i="1"/>
  <c r="AD89" i="1"/>
  <c r="AB89" i="1"/>
  <c r="Z89" i="1"/>
  <c r="X89" i="1"/>
  <c r="AU90" i="1"/>
  <c r="AU153" i="1" s="1"/>
  <c r="AC80" i="1"/>
  <c r="AB80" i="1"/>
  <c r="Y80" i="1"/>
  <c r="AA80" i="1"/>
  <c r="AI80" i="1"/>
  <c r="Z80" i="1"/>
  <c r="X80" i="1"/>
  <c r="AG80" i="1"/>
  <c r="AE80" i="1"/>
  <c r="AL80" i="1"/>
  <c r="AJ80" i="1"/>
  <c r="AH80" i="1"/>
  <c r="AK80" i="1"/>
  <c r="AF80" i="1"/>
  <c r="AD80" i="1"/>
  <c r="AL81" i="1"/>
  <c r="AH81" i="1"/>
  <c r="AK81" i="1"/>
  <c r="AJ81" i="1"/>
  <c r="AA81" i="1"/>
  <c r="Z81" i="1"/>
  <c r="AI81" i="1"/>
  <c r="AE81" i="1"/>
  <c r="AC81" i="1"/>
  <c r="AG81" i="1"/>
  <c r="AB81" i="1"/>
  <c r="AF81" i="1"/>
  <c r="AD81" i="1"/>
  <c r="Y81" i="1"/>
  <c r="X81" i="1"/>
  <c r="AN84" i="1"/>
  <c r="AM84" i="1"/>
  <c r="AL84" i="1"/>
  <c r="AL65" i="1"/>
  <c r="AD65" i="1"/>
  <c r="AK65" i="1"/>
  <c r="Z65" i="1"/>
  <c r="AJ65" i="1"/>
  <c r="AC65" i="1"/>
  <c r="AB65" i="1"/>
  <c r="AW65" i="1"/>
  <c r="AI65" i="1"/>
  <c r="AH65" i="1"/>
  <c r="AG65" i="1"/>
  <c r="AF65" i="1"/>
  <c r="AY65" i="1"/>
  <c r="AX65" i="1"/>
  <c r="AN65" i="1"/>
  <c r="AE65" i="1"/>
  <c r="AZ65" i="1"/>
  <c r="AA65" i="1"/>
  <c r="Y65" i="1"/>
  <c r="AR65" i="1"/>
  <c r="AO65" i="1"/>
  <c r="AS65" i="1"/>
  <c r="AV65" i="1"/>
  <c r="X65" i="1"/>
  <c r="AT65" i="1"/>
  <c r="AM65" i="1"/>
  <c r="AU65" i="1"/>
  <c r="AQ65" i="1"/>
  <c r="AP65" i="1"/>
  <c r="X90" i="1"/>
  <c r="X153" i="1" s="1"/>
  <c r="AV90" i="1"/>
  <c r="AV153" i="1" s="1"/>
  <c r="AP69" i="1"/>
  <c r="AE69" i="1"/>
  <c r="AO69" i="1"/>
  <c r="AL69" i="1"/>
  <c r="AI69" i="1"/>
  <c r="AG69" i="1"/>
  <c r="AU69" i="1"/>
  <c r="AS69" i="1"/>
  <c r="AN69" i="1"/>
  <c r="AH69" i="1"/>
  <c r="AC69" i="1"/>
  <c r="AM69" i="1"/>
  <c r="Y69" i="1"/>
  <c r="AK69" i="1"/>
  <c r="AJ69" i="1"/>
  <c r="AD69" i="1"/>
  <c r="Z69" i="1"/>
  <c r="AF69" i="1"/>
  <c r="AW69" i="1"/>
  <c r="AZ69" i="1"/>
  <c r="AB69" i="1"/>
  <c r="AX69" i="1"/>
  <c r="X69" i="1"/>
  <c r="AT69" i="1"/>
  <c r="AY69" i="1"/>
  <c r="AA69" i="1"/>
  <c r="AR69" i="1"/>
  <c r="AV69" i="1"/>
  <c r="AQ69" i="1"/>
  <c r="AF83" i="1"/>
  <c r="AE83" i="1"/>
  <c r="X83" i="1"/>
  <c r="AH83" i="1"/>
  <c r="AD83" i="1"/>
  <c r="AC83" i="1"/>
  <c r="AB83" i="1"/>
  <c r="AA83" i="1"/>
  <c r="Y83" i="1"/>
  <c r="Z83" i="1"/>
  <c r="AI83" i="1"/>
  <c r="AL83" i="1"/>
  <c r="AJ83" i="1"/>
  <c r="AK83" i="1"/>
  <c r="AG83" i="1"/>
  <c r="AC88" i="1"/>
  <c r="AB88" i="1"/>
  <c r="Y88" i="1"/>
  <c r="AA88" i="1"/>
  <c r="Z88" i="1"/>
  <c r="X88" i="1"/>
  <c r="AL88" i="1"/>
  <c r="AK88" i="1"/>
  <c r="AI88" i="1"/>
  <c r="AJ88" i="1"/>
  <c r="AH88" i="1"/>
  <c r="AG88" i="1"/>
  <c r="AF88" i="1"/>
  <c r="AE88" i="1"/>
  <c r="AD88" i="1"/>
  <c r="AG66" i="1"/>
  <c r="AC66" i="1"/>
  <c r="AV66" i="1"/>
  <c r="AU66" i="1"/>
  <c r="AH66" i="1"/>
  <c r="AF66" i="1"/>
  <c r="Z66" i="1"/>
  <c r="AN66" i="1"/>
  <c r="AE66" i="1"/>
  <c r="AK66" i="1"/>
  <c r="AD66" i="1"/>
  <c r="AW66" i="1"/>
  <c r="X66" i="1"/>
  <c r="AI66" i="1"/>
  <c r="AZ66" i="1"/>
  <c r="AB66" i="1"/>
  <c r="AX66" i="1"/>
  <c r="AR66" i="1"/>
  <c r="AY66" i="1"/>
  <c r="AA66" i="1"/>
  <c r="Y66" i="1"/>
  <c r="AT66" i="1"/>
  <c r="AS66" i="1"/>
  <c r="AM66" i="1"/>
  <c r="AQ66" i="1"/>
  <c r="AP66" i="1"/>
  <c r="AJ66" i="1"/>
  <c r="AO66" i="1"/>
  <c r="AL66" i="1"/>
  <c r="AZ67" i="1"/>
  <c r="AB67" i="1"/>
  <c r="AD67" i="1"/>
  <c r="AY67" i="1"/>
  <c r="AA67" i="1"/>
  <c r="X67" i="1"/>
  <c r="AP67" i="1"/>
  <c r="AN67" i="1"/>
  <c r="AM67" i="1"/>
  <c r="AX67" i="1"/>
  <c r="Z67" i="1"/>
  <c r="AW67" i="1"/>
  <c r="Y67" i="1"/>
  <c r="AV67" i="1"/>
  <c r="AS67" i="1"/>
  <c r="AO67" i="1"/>
  <c r="AI67" i="1"/>
  <c r="AU67" i="1"/>
  <c r="AT67" i="1"/>
  <c r="AQ67" i="1"/>
  <c r="AR67" i="1"/>
  <c r="AF67" i="1"/>
  <c r="AJ67" i="1"/>
  <c r="AL67" i="1"/>
  <c r="AG67" i="1"/>
  <c r="AK67" i="1"/>
  <c r="AH67" i="1"/>
  <c r="AE67" i="1"/>
  <c r="AC67" i="1"/>
  <c r="Y90" i="1"/>
  <c r="Y153" i="1" s="1"/>
  <c r="AF73" i="1"/>
  <c r="AE73" i="1"/>
  <c r="AD73" i="1"/>
  <c r="AC73" i="1"/>
  <c r="AZ73" i="1"/>
  <c r="AB73" i="1"/>
  <c r="AY73" i="1"/>
  <c r="AA73" i="1"/>
  <c r="Z73" i="1"/>
  <c r="AW73" i="1"/>
  <c r="Y73" i="1"/>
  <c r="AV73" i="1"/>
  <c r="X73" i="1"/>
  <c r="AU73" i="1"/>
  <c r="AT73" i="1"/>
  <c r="AS73" i="1"/>
  <c r="AR73" i="1"/>
  <c r="AP73" i="1"/>
  <c r="AN73" i="1"/>
  <c r="AM73" i="1"/>
  <c r="AJ73" i="1"/>
  <c r="AH73" i="1"/>
  <c r="AG73" i="1"/>
  <c r="AX73" i="1"/>
  <c r="AQ73" i="1"/>
  <c r="AO73" i="1"/>
  <c r="AL73" i="1"/>
  <c r="AK73" i="1"/>
  <c r="AI73" i="1"/>
  <c r="AJ72" i="1"/>
  <c r="AI72" i="1"/>
  <c r="AH72" i="1"/>
  <c r="AG72" i="1"/>
  <c r="AF72" i="1"/>
  <c r="AE72" i="1"/>
  <c r="AD72" i="1"/>
  <c r="AC72" i="1"/>
  <c r="AZ72" i="1"/>
  <c r="AB72" i="1"/>
  <c r="AY72" i="1"/>
  <c r="AA72" i="1"/>
  <c r="AN72" i="1"/>
  <c r="AM72" i="1"/>
  <c r="AL72" i="1"/>
  <c r="AK72" i="1"/>
  <c r="AX72" i="1"/>
  <c r="Z72" i="1"/>
  <c r="AW72" i="1"/>
  <c r="Y72" i="1"/>
  <c r="AV72" i="1"/>
  <c r="X72" i="1"/>
  <c r="AU72" i="1"/>
  <c r="AT72" i="1"/>
  <c r="AS72" i="1"/>
  <c r="AR72" i="1"/>
  <c r="AQ72" i="1"/>
  <c r="AP72" i="1"/>
  <c r="AO72" i="1"/>
  <c r="E90" i="1"/>
  <c r="C90" i="1"/>
  <c r="E64" i="1"/>
  <c r="E65" i="1"/>
  <c r="E66" i="1"/>
  <c r="E67" i="1"/>
  <c r="E68" i="1"/>
  <c r="E69" i="1"/>
  <c r="E70" i="1"/>
  <c r="E71" i="1"/>
  <c r="E72" i="1"/>
  <c r="E73" i="1"/>
  <c r="E74" i="1"/>
  <c r="E75" i="1"/>
  <c r="E76" i="1"/>
  <c r="E77" i="1"/>
  <c r="E78" i="1"/>
  <c r="E79" i="1"/>
  <c r="E80" i="1"/>
  <c r="E81" i="1"/>
  <c r="E82" i="1"/>
  <c r="E83" i="1"/>
  <c r="E84" i="1"/>
  <c r="E85" i="1"/>
  <c r="E86" i="1"/>
  <c r="E87" i="1"/>
  <c r="E88" i="1"/>
  <c r="E89" i="1"/>
  <c r="C89" i="1"/>
  <c r="C88" i="1"/>
  <c r="C87" i="1"/>
  <c r="C86" i="1"/>
  <c r="C85" i="1"/>
  <c r="C84" i="1"/>
  <c r="C83" i="1"/>
  <c r="C82" i="1"/>
  <c r="C81" i="1"/>
  <c r="C80" i="1"/>
  <c r="C79" i="1"/>
  <c r="C78" i="1"/>
  <c r="C77" i="1"/>
  <c r="C76" i="1"/>
  <c r="C75" i="1"/>
  <c r="C74" i="1"/>
  <c r="C73" i="1"/>
  <c r="C72" i="1"/>
  <c r="C71" i="1"/>
  <c r="C70" i="1"/>
  <c r="C69" i="1"/>
  <c r="C68" i="1"/>
  <c r="C67" i="1"/>
  <c r="C66" i="1"/>
  <c r="C65" i="1"/>
  <c r="C64" i="1"/>
  <c r="M16" i="2"/>
  <c r="N17" i="2" s="1"/>
  <c r="N18" i="2" s="1"/>
  <c r="O17" i="2"/>
  <c r="P17" i="2"/>
  <c r="Q17" i="2"/>
  <c r="R17" i="2"/>
  <c r="S17" i="2"/>
  <c r="T17" i="2"/>
  <c r="U17" i="2"/>
  <c r="V17" i="2"/>
  <c r="W17" i="2"/>
  <c r="X17" i="2"/>
  <c r="Y17" i="2"/>
  <c r="Z17" i="2"/>
  <c r="AA17" i="2"/>
  <c r="AB17" i="2"/>
  <c r="AC17" i="2"/>
  <c r="AD17" i="2"/>
  <c r="AE17" i="2"/>
  <c r="AF17" i="2"/>
  <c r="AG17" i="2"/>
  <c r="AG18" i="2" s="1"/>
  <c r="AH17" i="2"/>
  <c r="AH18" i="2" s="1"/>
  <c r="AI17" i="2"/>
  <c r="AI18" i="2" s="1"/>
  <c r="AJ17" i="2"/>
  <c r="AJ18" i="2" s="1"/>
  <c r="AK17" i="2"/>
  <c r="AM17" i="2"/>
  <c r="AN17" i="2"/>
  <c r="AO17" i="2"/>
  <c r="O18" i="2"/>
  <c r="P18" i="2"/>
  <c r="Q18" i="2"/>
  <c r="R18" i="2"/>
  <c r="S18" i="2"/>
  <c r="T18" i="2"/>
  <c r="U18" i="2"/>
  <c r="V18" i="2"/>
  <c r="W18" i="2"/>
  <c r="X18" i="2"/>
  <c r="Y18" i="2"/>
  <c r="Z18" i="2"/>
  <c r="AA18" i="2"/>
  <c r="AB18" i="2"/>
  <c r="AC18" i="2"/>
  <c r="AD18" i="2"/>
  <c r="AE18" i="2"/>
  <c r="AF18" i="2"/>
  <c r="AK18" i="2"/>
  <c r="AM18" i="2"/>
  <c r="AN18" i="2"/>
  <c r="AO18" i="2"/>
  <c r="M20" i="2"/>
  <c r="AB21" i="2" s="1"/>
  <c r="N21" i="2"/>
  <c r="O21" i="2"/>
  <c r="P21" i="2"/>
  <c r="Q21" i="2"/>
  <c r="R21" i="2"/>
  <c r="S21" i="2"/>
  <c r="T21" i="2"/>
  <c r="U21" i="2"/>
  <c r="V21" i="2"/>
  <c r="W21" i="2"/>
  <c r="X21" i="2"/>
  <c r="Y21" i="2"/>
  <c r="Z21" i="2"/>
  <c r="AA21" i="2"/>
  <c r="AK21" i="2"/>
  <c r="AL21" i="2"/>
  <c r="AM21" i="2"/>
  <c r="AN21" i="2"/>
  <c r="AO21" i="2"/>
  <c r="AP21" i="2"/>
  <c r="AR27" i="2"/>
  <c r="AC46" i="2" s="1"/>
  <c r="AR28" i="2"/>
  <c r="X47" i="2" s="1"/>
  <c r="AR29" i="2"/>
  <c r="S48" i="2" s="1"/>
  <c r="AR30" i="2"/>
  <c r="AR31" i="2"/>
  <c r="N49" i="2" s="1"/>
  <c r="AR32" i="2"/>
  <c r="AR33" i="2"/>
  <c r="AG50" i="2" s="1"/>
  <c r="AR34" i="2"/>
  <c r="AB51" i="2" s="1"/>
  <c r="AR35" i="2"/>
  <c r="AR36" i="2"/>
  <c r="AR37" i="2"/>
  <c r="AR38" i="2"/>
  <c r="AR39" i="2"/>
  <c r="AR40" i="2"/>
  <c r="AR41" i="2"/>
  <c r="AR42" i="2"/>
  <c r="AR43" i="2"/>
  <c r="AR44" i="2"/>
  <c r="T46" i="2"/>
  <c r="U46" i="2"/>
  <c r="V46" i="2"/>
  <c r="W46" i="2"/>
  <c r="X46" i="2"/>
  <c r="Y46" i="2"/>
  <c r="Z46" i="2"/>
  <c r="AA46" i="2"/>
  <c r="AB46" i="2"/>
  <c r="Q47" i="2"/>
  <c r="R47" i="2"/>
  <c r="S47" i="2"/>
  <c r="T47" i="2"/>
  <c r="U47" i="2"/>
  <c r="V47" i="2"/>
  <c r="W47" i="2"/>
  <c r="AO47" i="2"/>
  <c r="AP47" i="2"/>
  <c r="N48" i="2"/>
  <c r="O48" i="2"/>
  <c r="P48" i="2"/>
  <c r="Q48" i="2"/>
  <c r="R48" i="2"/>
  <c r="AK48" i="2"/>
  <c r="AL48" i="2"/>
  <c r="AM48" i="2"/>
  <c r="AN48" i="2"/>
  <c r="AO48" i="2"/>
  <c r="AP48" i="2"/>
  <c r="AG49" i="2"/>
  <c r="AH49" i="2"/>
  <c r="AI49" i="2"/>
  <c r="AJ49" i="2"/>
  <c r="AK49" i="2"/>
  <c r="AD50" i="2"/>
  <c r="AE50" i="2"/>
  <c r="AF50" i="2"/>
  <c r="Z51" i="2"/>
  <c r="AA51" i="2"/>
  <c r="N52" i="2"/>
  <c r="O52" i="2"/>
  <c r="P52" i="2"/>
  <c r="Q52" i="2"/>
  <c r="R52" i="2"/>
  <c r="S52" i="2"/>
  <c r="T52" i="2"/>
  <c r="U52" i="2"/>
  <c r="V52" i="2"/>
  <c r="W52" i="2"/>
  <c r="X52" i="2"/>
  <c r="Y52" i="2"/>
  <c r="Z52" i="2"/>
  <c r="AA52" i="2"/>
  <c r="AB52" i="2"/>
  <c r="AC52" i="2"/>
  <c r="AD52" i="2"/>
  <c r="AE52" i="2"/>
  <c r="AF52" i="2"/>
  <c r="AG52" i="2"/>
  <c r="AH52" i="2"/>
  <c r="AI52" i="2"/>
  <c r="AJ52" i="2"/>
  <c r="AK52" i="2"/>
  <c r="AL52" i="2"/>
  <c r="AM52" i="2"/>
  <c r="AN52" i="2"/>
  <c r="AO52" i="2"/>
  <c r="AP52" i="2"/>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2" i="1"/>
  <c r="L85" i="1" l="1"/>
  <c r="L72" i="1"/>
  <c r="L84" i="1"/>
  <c r="L81" i="1"/>
  <c r="L66" i="1"/>
  <c r="L69" i="1"/>
  <c r="L90" i="1"/>
  <c r="L67" i="1"/>
  <c r="L80" i="1"/>
  <c r="L79" i="1"/>
  <c r="L71" i="1"/>
  <c r="L65" i="1"/>
  <c r="L78" i="1"/>
  <c r="L70" i="1"/>
  <c r="L82" i="1"/>
  <c r="L68" i="1"/>
  <c r="L77" i="1"/>
  <c r="L87" i="1"/>
  <c r="L73" i="1"/>
  <c r="L74" i="1"/>
  <c r="L83" i="1"/>
  <c r="L89" i="1"/>
  <c r="L75" i="1"/>
  <c r="L76" i="1"/>
  <c r="L88" i="1"/>
  <c r="L86" i="1"/>
  <c r="Y51" i="2"/>
  <c r="AC50" i="2"/>
  <c r="V51" i="2"/>
  <c r="AF48" i="2"/>
  <c r="X51" i="2"/>
  <c r="Z50" i="2"/>
  <c r="T51" i="2"/>
  <c r="AI48" i="2"/>
  <c r="P47" i="2"/>
  <c r="AP51" i="2"/>
  <c r="W50" i="2"/>
  <c r="AL47" i="2"/>
  <c r="N47" i="2"/>
  <c r="R46" i="2"/>
  <c r="AN51" i="2"/>
  <c r="Z49" i="2"/>
  <c r="Q46" i="2"/>
  <c r="AN46" i="2"/>
  <c r="W51" i="2"/>
  <c r="U51" i="2"/>
  <c r="AE49" i="2"/>
  <c r="Y50" i="2"/>
  <c r="S51" i="2"/>
  <c r="X50" i="2"/>
  <c r="AH48" i="2"/>
  <c r="O47" i="2"/>
  <c r="AB49" i="2"/>
  <c r="AA49" i="2"/>
  <c r="AP46" i="2"/>
  <c r="P51" i="2"/>
  <c r="AJ47" i="2"/>
  <c r="AM51" i="2"/>
  <c r="T50" i="2"/>
  <c r="AI47" i="2"/>
  <c r="P46" i="2"/>
  <c r="N51" i="2"/>
  <c r="X49" i="2"/>
  <c r="AH47" i="2"/>
  <c r="O46" i="2"/>
  <c r="W49" i="2"/>
  <c r="AF47" i="2"/>
  <c r="AJ21" i="2"/>
  <c r="AN50" i="2"/>
  <c r="U49" i="2"/>
  <c r="O50" i="2"/>
  <c r="AL50" i="2"/>
  <c r="S49" i="2"/>
  <c r="X48" i="2"/>
  <c r="AH46" i="2"/>
  <c r="AG21" i="2"/>
  <c r="AP49" i="2"/>
  <c r="AG46" i="2"/>
  <c r="AE51" i="2"/>
  <c r="AJ50" i="2"/>
  <c r="Q49" i="2"/>
  <c r="V48" i="2"/>
  <c r="AA47" i="2"/>
  <c r="AF46" i="2"/>
  <c r="AE21" i="2"/>
  <c r="AI50" i="2"/>
  <c r="AC51" i="2"/>
  <c r="AH50" i="2"/>
  <c r="AM49" i="2"/>
  <c r="O49" i="2"/>
  <c r="T48" i="2"/>
  <c r="Y47" i="2"/>
  <c r="AD46" i="2"/>
  <c r="AC21" i="2"/>
  <c r="AL17" i="2"/>
  <c r="AL18" i="2" s="1"/>
  <c r="AB50" i="2"/>
  <c r="AA50" i="2"/>
  <c r="AF49" i="2"/>
  <c r="AJ48" i="2"/>
  <c r="AD49" i="2"/>
  <c r="AN47" i="2"/>
  <c r="AC49" i="2"/>
  <c r="AM47" i="2"/>
  <c r="R51" i="2"/>
  <c r="AG48" i="2"/>
  <c r="S46" i="2"/>
  <c r="AO51" i="2"/>
  <c r="Q51" i="2"/>
  <c r="V50" i="2"/>
  <c r="AK47" i="2"/>
  <c r="U50" i="2"/>
  <c r="AE48" i="2"/>
  <c r="AO46" i="2"/>
  <c r="O51" i="2"/>
  <c r="Y49" i="2"/>
  <c r="AD48" i="2"/>
  <c r="AL51" i="2"/>
  <c r="S50" i="2"/>
  <c r="AC48" i="2"/>
  <c r="AM46" i="2"/>
  <c r="AK51" i="2"/>
  <c r="AP50" i="2"/>
  <c r="R50" i="2"/>
  <c r="AB48" i="2"/>
  <c r="AG47" i="2"/>
  <c r="AL46" i="2"/>
  <c r="N46" i="2"/>
  <c r="AJ51" i="2"/>
  <c r="AO50" i="2"/>
  <c r="Q50" i="2"/>
  <c r="V49" i="2"/>
  <c r="AA48" i="2"/>
  <c r="AK46" i="2"/>
  <c r="AI51" i="2"/>
  <c r="P50" i="2"/>
  <c r="Z48" i="2"/>
  <c r="AE47" i="2"/>
  <c r="AJ46" i="2"/>
  <c r="AI21" i="2"/>
  <c r="AH51" i="2"/>
  <c r="AM50" i="2"/>
  <c r="T49" i="2"/>
  <c r="Y48" i="2"/>
  <c r="AD47" i="2"/>
  <c r="AI46" i="2"/>
  <c r="AH21" i="2"/>
  <c r="AG51" i="2"/>
  <c r="N50" i="2"/>
  <c r="AC47" i="2"/>
  <c r="AF51" i="2"/>
  <c r="AK50" i="2"/>
  <c r="R49" i="2"/>
  <c r="W48" i="2"/>
  <c r="AB47" i="2"/>
  <c r="AF21" i="2"/>
  <c r="AO49" i="2"/>
  <c r="AD51" i="2"/>
  <c r="AN49" i="2"/>
  <c r="P49" i="2"/>
  <c r="U48" i="2"/>
  <c r="Z47" i="2"/>
  <c r="AE46" i="2"/>
  <c r="AD21" i="2"/>
  <c r="AL49"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2" i="1"/>
  <c r="K63" i="1" l="1"/>
  <c r="K62" i="1"/>
  <c r="K61" i="1"/>
  <c r="K60" i="1"/>
  <c r="K59" i="1"/>
  <c r="K58" i="1"/>
  <c r="K57" i="1"/>
  <c r="K56" i="1"/>
  <c r="AE58" i="1" l="1"/>
  <c r="AY58" i="1"/>
  <c r="AA58" i="1"/>
  <c r="X58" i="1"/>
  <c r="AK58" i="1"/>
  <c r="AD58" i="1"/>
  <c r="AX58" i="1"/>
  <c r="Z58" i="1"/>
  <c r="AQ58" i="1"/>
  <c r="AH58" i="1"/>
  <c r="AC58" i="1"/>
  <c r="AU58" i="1"/>
  <c r="AP58" i="1"/>
  <c r="AZ58" i="1"/>
  <c r="AB58" i="1"/>
  <c r="AV58" i="1"/>
  <c r="AS58" i="1"/>
  <c r="AM58" i="1"/>
  <c r="AF58" i="1"/>
  <c r="AN58" i="1"/>
  <c r="AW58" i="1"/>
  <c r="Y58" i="1"/>
  <c r="AO58" i="1"/>
  <c r="AL58" i="1"/>
  <c r="AJ58" i="1"/>
  <c r="AI58" i="1"/>
  <c r="AG58" i="1"/>
  <c r="AT58" i="1"/>
  <c r="AR58" i="1"/>
  <c r="AX59" i="1"/>
  <c r="Z59" i="1"/>
  <c r="AT59" i="1"/>
  <c r="AM59" i="1"/>
  <c r="AF59" i="1"/>
  <c r="AC59" i="1"/>
  <c r="AY59" i="1"/>
  <c r="AW59" i="1"/>
  <c r="Y59" i="1"/>
  <c r="AS59" i="1"/>
  <c r="AL59" i="1"/>
  <c r="AK59" i="1"/>
  <c r="AJ59" i="1"/>
  <c r="AE59" i="1"/>
  <c r="AD59" i="1"/>
  <c r="AB59" i="1"/>
  <c r="AA59" i="1"/>
  <c r="AV59" i="1"/>
  <c r="X59" i="1"/>
  <c r="AQ59" i="1"/>
  <c r="AH59" i="1"/>
  <c r="AU59" i="1"/>
  <c r="AN59" i="1"/>
  <c r="AG59" i="1"/>
  <c r="AR59" i="1"/>
  <c r="AP59" i="1"/>
  <c r="AI59" i="1"/>
  <c r="AZ59" i="1"/>
  <c r="AO59" i="1"/>
  <c r="AS60" i="1"/>
  <c r="AH60" i="1"/>
  <c r="Y60" i="1"/>
  <c r="AV60" i="1"/>
  <c r="AR60" i="1"/>
  <c r="AO60" i="1"/>
  <c r="AN60" i="1"/>
  <c r="AG60" i="1"/>
  <c r="AF60" i="1"/>
  <c r="AY60" i="1"/>
  <c r="AU60" i="1"/>
  <c r="AT60" i="1"/>
  <c r="AQ60" i="1"/>
  <c r="AL60" i="1"/>
  <c r="AK60" i="1"/>
  <c r="X60" i="1"/>
  <c r="AP60" i="1"/>
  <c r="AE60" i="1"/>
  <c r="AA60" i="1"/>
  <c r="AM60" i="1"/>
  <c r="AC60" i="1"/>
  <c r="AZ60" i="1"/>
  <c r="Z60" i="1"/>
  <c r="AX60" i="1"/>
  <c r="AW60" i="1"/>
  <c r="AJ60" i="1"/>
  <c r="AI60" i="1"/>
  <c r="AD60" i="1"/>
  <c r="AB60" i="1"/>
  <c r="AN61" i="1"/>
  <c r="AJ61" i="1"/>
  <c r="AC61" i="1"/>
  <c r="AT61" i="1"/>
  <c r="AP61" i="1"/>
  <c r="AM61" i="1"/>
  <c r="AI61" i="1"/>
  <c r="AZ61" i="1"/>
  <c r="AB61" i="1"/>
  <c r="AY61" i="1"/>
  <c r="AA61" i="1"/>
  <c r="AX61" i="1"/>
  <c r="Z61" i="1"/>
  <c r="AR61" i="1"/>
  <c r="AQ61" i="1"/>
  <c r="AO61" i="1"/>
  <c r="AL61" i="1"/>
  <c r="AV61" i="1"/>
  <c r="AK61" i="1"/>
  <c r="AD61" i="1"/>
  <c r="Y61" i="1"/>
  <c r="X61" i="1"/>
  <c r="AH61" i="1"/>
  <c r="AG61" i="1"/>
  <c r="AF61" i="1"/>
  <c r="AE61" i="1"/>
  <c r="AS61" i="1"/>
  <c r="AW61" i="1"/>
  <c r="AU61" i="1"/>
  <c r="AE62" i="1"/>
  <c r="AD62" i="1"/>
  <c r="AC62" i="1"/>
  <c r="AZ62" i="1"/>
  <c r="AB62" i="1"/>
  <c r="AY62" i="1"/>
  <c r="AA62" i="1"/>
  <c r="AX62" i="1"/>
  <c r="Z62" i="1"/>
  <c r="AW62" i="1"/>
  <c r="Y62" i="1"/>
  <c r="AV62" i="1"/>
  <c r="X62" i="1"/>
  <c r="AU62" i="1"/>
  <c r="AT62" i="1"/>
  <c r="AS62" i="1"/>
  <c r="AR62" i="1"/>
  <c r="AQ62" i="1"/>
  <c r="AP62" i="1"/>
  <c r="AO62" i="1"/>
  <c r="AN62" i="1"/>
  <c r="AM62" i="1"/>
  <c r="AL62" i="1"/>
  <c r="AK62" i="1"/>
  <c r="AJ62" i="1"/>
  <c r="AI62" i="1"/>
  <c r="AH62" i="1"/>
  <c r="AG62" i="1"/>
  <c r="AF62" i="1"/>
  <c r="AX63" i="1"/>
  <c r="Z63" i="1"/>
  <c r="AW63" i="1"/>
  <c r="Y63" i="1"/>
  <c r="AV63" i="1"/>
  <c r="X63" i="1"/>
  <c r="AU63" i="1"/>
  <c r="AT63" i="1"/>
  <c r="AS63" i="1"/>
  <c r="AR63" i="1"/>
  <c r="AQ63" i="1"/>
  <c r="AP63" i="1"/>
  <c r="AO63" i="1"/>
  <c r="AN63" i="1"/>
  <c r="AM63" i="1"/>
  <c r="AL63" i="1"/>
  <c r="AK63" i="1"/>
  <c r="AJ63" i="1"/>
  <c r="AI63" i="1"/>
  <c r="AH63" i="1"/>
  <c r="AG63" i="1"/>
  <c r="AF63" i="1"/>
  <c r="AE63" i="1"/>
  <c r="AD63" i="1"/>
  <c r="AC63" i="1"/>
  <c r="AZ63" i="1"/>
  <c r="AB63" i="1"/>
  <c r="AY63" i="1"/>
  <c r="AA63" i="1"/>
  <c r="AZ57" i="1"/>
  <c r="AB57" i="1"/>
  <c r="AY57" i="1"/>
  <c r="AA57" i="1"/>
  <c r="AX57" i="1"/>
  <c r="Z57" i="1"/>
  <c r="Y57" i="1"/>
  <c r="X57" i="1"/>
  <c r="AU57" i="1"/>
  <c r="AW57" i="1"/>
  <c r="AV57" i="1"/>
  <c r="AT57" i="1"/>
  <c r="AS57" i="1"/>
  <c r="AR57" i="1"/>
  <c r="AM57" i="1"/>
  <c r="AJ57" i="1"/>
  <c r="AI57" i="1"/>
  <c r="AG57" i="1"/>
  <c r="AF57" i="1"/>
  <c r="AQ57" i="1"/>
  <c r="AP57" i="1"/>
  <c r="AO57" i="1"/>
  <c r="AL57" i="1"/>
  <c r="AK57" i="1"/>
  <c r="AH57" i="1"/>
  <c r="AE57" i="1"/>
  <c r="AC57" i="1"/>
  <c r="AN57" i="1"/>
  <c r="AD57" i="1"/>
  <c r="AG56" i="1"/>
  <c r="AF56" i="1"/>
  <c r="AE56" i="1"/>
  <c r="AD56" i="1"/>
  <c r="AC56" i="1"/>
  <c r="AZ56" i="1"/>
  <c r="AB56" i="1"/>
  <c r="AS56" i="1"/>
  <c r="AR56" i="1"/>
  <c r="AQ56" i="1"/>
  <c r="AK56" i="1"/>
  <c r="AP56" i="1"/>
  <c r="AN56" i="1"/>
  <c r="AM56" i="1"/>
  <c r="AL56" i="1"/>
  <c r="Z56" i="1"/>
  <c r="AX56" i="1"/>
  <c r="AO56" i="1"/>
  <c r="AJ56" i="1"/>
  <c r="AI56" i="1"/>
  <c r="AH56" i="1"/>
  <c r="AA56" i="1"/>
  <c r="Y56" i="1"/>
  <c r="X56" i="1"/>
  <c r="AY56" i="1"/>
  <c r="AW56" i="1"/>
  <c r="AV56" i="1"/>
  <c r="AU56" i="1"/>
  <c r="AT56" i="1"/>
  <c r="AW151" i="1" l="1"/>
  <c r="AL151" i="1"/>
  <c r="AG151" i="1"/>
  <c r="AT151" i="1"/>
  <c r="AV151" i="1"/>
  <c r="AI151" i="1"/>
  <c r="AJ151" i="1"/>
  <c r="AS151" i="1"/>
  <c r="Y151" i="1"/>
  <c r="AA151" i="1"/>
  <c r="AF151" i="1"/>
  <c r="Z151" i="1"/>
  <c r="AX151" i="1"/>
  <c r="AM151" i="1"/>
  <c r="AU151" i="1"/>
  <c r="X151" i="1"/>
  <c r="AR151" i="1"/>
  <c r="AD151" i="1"/>
  <c r="AY151" i="1"/>
  <c r="AN151" i="1"/>
  <c r="AC151" i="1"/>
  <c r="AE151" i="1"/>
  <c r="AB151" i="1"/>
  <c r="AH151" i="1"/>
  <c r="AZ151" i="1"/>
  <c r="AK151" i="1"/>
  <c r="AO151" i="1"/>
  <c r="AP151" i="1"/>
  <c r="AQ151" i="1"/>
  <c r="L59" i="1"/>
  <c r="L58" i="1"/>
  <c r="L56" i="1"/>
  <c r="L63" i="1"/>
  <c r="L61" i="1"/>
  <c r="L60" i="1"/>
  <c r="L57" i="1"/>
  <c r="L62" i="1"/>
  <c r="M28" i="1"/>
  <c r="M29" i="1" l="1"/>
  <c r="M33" i="1" l="1"/>
  <c r="K33" i="1" s="1"/>
  <c r="M47" i="1"/>
  <c r="K47" i="1" s="1"/>
  <c r="M46" i="1"/>
  <c r="K46" i="1" s="1"/>
  <c r="M45" i="1"/>
  <c r="K45" i="1" s="1"/>
  <c r="M44" i="1"/>
  <c r="K44" i="1" s="1"/>
  <c r="M42" i="1"/>
  <c r="K42" i="1" s="1"/>
  <c r="M41" i="1"/>
  <c r="K41" i="1" s="1"/>
  <c r="M40" i="1"/>
  <c r="K40" i="1" s="1"/>
  <c r="M37" i="1"/>
  <c r="K37" i="1" s="1"/>
  <c r="K38" i="1"/>
  <c r="M39" i="1"/>
  <c r="K39" i="1" s="1"/>
  <c r="M36" i="1"/>
  <c r="K36" i="1" s="1"/>
  <c r="K35" i="1"/>
  <c r="M34" i="1"/>
  <c r="K34" i="1" s="1"/>
  <c r="M31" i="1"/>
  <c r="K31" i="1" s="1"/>
  <c r="K55" i="1"/>
  <c r="K54" i="1"/>
  <c r="K53" i="1"/>
  <c r="K52" i="1"/>
  <c r="K51" i="1"/>
  <c r="K50" i="1"/>
  <c r="K49" i="1"/>
  <c r="K48" i="1"/>
  <c r="K43" i="1"/>
  <c r="K30" i="1"/>
  <c r="K29" i="1"/>
  <c r="L29" i="1" s="1"/>
  <c r="K32" i="1" l="1"/>
  <c r="Y32" i="1" s="1"/>
  <c r="AI55" i="1"/>
  <c r="AI152" i="1" s="1"/>
  <c r="AG55" i="1"/>
  <c r="AG152" i="1" s="1"/>
  <c r="AF55" i="1"/>
  <c r="AF152" i="1" s="1"/>
  <c r="AE55" i="1"/>
  <c r="AE152" i="1" s="1"/>
  <c r="AH55" i="1"/>
  <c r="AH152" i="1" s="1"/>
  <c r="AD55" i="1"/>
  <c r="AD152" i="1" s="1"/>
  <c r="AC55" i="1"/>
  <c r="AC152" i="1" s="1"/>
  <c r="AZ55" i="1"/>
  <c r="AZ152" i="1" s="1"/>
  <c r="AB55" i="1"/>
  <c r="AB152" i="1" s="1"/>
  <c r="AY55" i="1"/>
  <c r="AY152" i="1" s="1"/>
  <c r="AA55" i="1"/>
  <c r="AA152" i="1" s="1"/>
  <c r="AX55" i="1"/>
  <c r="AX152" i="1" s="1"/>
  <c r="Z55" i="1"/>
  <c r="Z152" i="1" s="1"/>
  <c r="AW55" i="1"/>
  <c r="AW152" i="1" s="1"/>
  <c r="Y55" i="1"/>
  <c r="Y152" i="1" s="1"/>
  <c r="AV55" i="1"/>
  <c r="AV152" i="1" s="1"/>
  <c r="X55" i="1"/>
  <c r="X152" i="1" s="1"/>
  <c r="AU55" i="1"/>
  <c r="AU152" i="1" s="1"/>
  <c r="AQ55" i="1"/>
  <c r="AQ152" i="1" s="1"/>
  <c r="AP55" i="1"/>
  <c r="AP152" i="1" s="1"/>
  <c r="AN55" i="1"/>
  <c r="AN152" i="1" s="1"/>
  <c r="AM55" i="1"/>
  <c r="AM152" i="1" s="1"/>
  <c r="AL55" i="1"/>
  <c r="AL152" i="1" s="1"/>
  <c r="AJ55" i="1"/>
  <c r="AJ152" i="1" s="1"/>
  <c r="AT55" i="1"/>
  <c r="AT152" i="1" s="1"/>
  <c r="AS55" i="1"/>
  <c r="AS152" i="1" s="1"/>
  <c r="AR55" i="1"/>
  <c r="AR152" i="1" s="1"/>
  <c r="AO55" i="1"/>
  <c r="AO152" i="1" s="1"/>
  <c r="AK55" i="1"/>
  <c r="AK152" i="1" s="1"/>
  <c r="AE48" i="1"/>
  <c r="AD48" i="1"/>
  <c r="AC48" i="1"/>
  <c r="AB48" i="1"/>
  <c r="X48" i="1"/>
  <c r="AF48" i="1"/>
  <c r="AA48" i="1"/>
  <c r="Z48" i="1"/>
  <c r="Y48" i="1"/>
  <c r="AF39" i="1"/>
  <c r="AE39" i="1"/>
  <c r="AD39" i="1"/>
  <c r="AC39" i="1"/>
  <c r="AZ39" i="1"/>
  <c r="AB39" i="1"/>
  <c r="AU39" i="1"/>
  <c r="AS39" i="1"/>
  <c r="AQ39" i="1"/>
  <c r="AP39" i="1"/>
  <c r="AN39" i="1"/>
  <c r="AK39" i="1"/>
  <c r="AJ39" i="1"/>
  <c r="AT39" i="1"/>
  <c r="AR39" i="1"/>
  <c r="AO39" i="1"/>
  <c r="AM39" i="1"/>
  <c r="AL39" i="1"/>
  <c r="AY39" i="1"/>
  <c r="AX39" i="1"/>
  <c r="AW39" i="1"/>
  <c r="AV39" i="1"/>
  <c r="AI39" i="1"/>
  <c r="AH39" i="1"/>
  <c r="AG39" i="1"/>
  <c r="AA39" i="1"/>
  <c r="Z39" i="1"/>
  <c r="Y39" i="1"/>
  <c r="X39" i="1"/>
  <c r="AB44" i="1"/>
  <c r="Z44" i="1"/>
  <c r="AA44" i="1"/>
  <c r="AF44" i="1"/>
  <c r="AE44" i="1"/>
  <c r="AD44" i="1"/>
  <c r="AC44" i="1"/>
  <c r="Y44" i="1"/>
  <c r="X44" i="1"/>
  <c r="AK38" i="1"/>
  <c r="AJ38" i="1"/>
  <c r="AI38" i="1"/>
  <c r="AH38" i="1"/>
  <c r="AG38" i="1"/>
  <c r="AU38" i="1"/>
  <c r="AS38" i="1"/>
  <c r="AR38" i="1"/>
  <c r="AP38" i="1"/>
  <c r="AN38" i="1"/>
  <c r="AL38" i="1"/>
  <c r="AE38" i="1"/>
  <c r="AT38" i="1"/>
  <c r="AQ38" i="1"/>
  <c r="AO38" i="1"/>
  <c r="AM38" i="1"/>
  <c r="AF38" i="1"/>
  <c r="AC38" i="1"/>
  <c r="AB38" i="1"/>
  <c r="AA38" i="1"/>
  <c r="Z38" i="1"/>
  <c r="Y38" i="1"/>
  <c r="X38" i="1"/>
  <c r="AV38" i="1"/>
  <c r="AD38" i="1"/>
  <c r="AZ38" i="1"/>
  <c r="AY38" i="1"/>
  <c r="AX38" i="1"/>
  <c r="AW38" i="1"/>
  <c r="Z51" i="1"/>
  <c r="Y51" i="1"/>
  <c r="X51" i="1"/>
  <c r="AF51" i="1"/>
  <c r="AC51" i="1"/>
  <c r="AE51" i="1"/>
  <c r="AD51" i="1"/>
  <c r="AB51" i="1"/>
  <c r="AA51" i="1"/>
  <c r="AF52" i="1"/>
  <c r="AE52" i="1"/>
  <c r="AD52" i="1"/>
  <c r="AC52" i="1"/>
  <c r="Y52" i="1"/>
  <c r="X52" i="1"/>
  <c r="AB52" i="1"/>
  <c r="AA52" i="1"/>
  <c r="Z52" i="1"/>
  <c r="AA53" i="1"/>
  <c r="Z53" i="1"/>
  <c r="Y53" i="1"/>
  <c r="AF53" i="1"/>
  <c r="AE53" i="1"/>
  <c r="X53" i="1"/>
  <c r="AD53" i="1"/>
  <c r="AC53" i="1"/>
  <c r="AB53" i="1"/>
  <c r="Y42" i="1"/>
  <c r="Z42" i="1"/>
  <c r="X42" i="1"/>
  <c r="AA42" i="1"/>
  <c r="AB42" i="1"/>
  <c r="AC42" i="1"/>
  <c r="AD42" i="1"/>
  <c r="AE42" i="1"/>
  <c r="AF42" i="1"/>
  <c r="AC46" i="1"/>
  <c r="AB46" i="1"/>
  <c r="AA46" i="1"/>
  <c r="Y46" i="1"/>
  <c r="X46" i="1"/>
  <c r="Z46" i="1"/>
  <c r="AF46" i="1"/>
  <c r="AE46" i="1"/>
  <c r="AD46" i="1"/>
  <c r="Y47" i="1"/>
  <c r="X47" i="1"/>
  <c r="AF47" i="1"/>
  <c r="AE47" i="1"/>
  <c r="AD47" i="1"/>
  <c r="AC47" i="1"/>
  <c r="AB47" i="1"/>
  <c r="AA47" i="1"/>
  <c r="Z47" i="1"/>
  <c r="AC30" i="1"/>
  <c r="AZ30" i="1"/>
  <c r="AB30" i="1"/>
  <c r="AY30" i="1"/>
  <c r="AA30" i="1"/>
  <c r="AX30" i="1"/>
  <c r="Z30" i="1"/>
  <c r="AW30" i="1"/>
  <c r="Y30" i="1"/>
  <c r="AK30" i="1"/>
  <c r="AI30" i="1"/>
  <c r="AH30" i="1"/>
  <c r="AG30" i="1"/>
  <c r="AE30" i="1"/>
  <c r="X30" i="1"/>
  <c r="AJ30" i="1"/>
  <c r="AF30" i="1"/>
  <c r="AD30" i="1"/>
  <c r="AV30" i="1"/>
  <c r="AU30" i="1"/>
  <c r="AQ30" i="1"/>
  <c r="AT30" i="1"/>
  <c r="AS30" i="1"/>
  <c r="AR30" i="1"/>
  <c r="AP30" i="1"/>
  <c r="AO30" i="1"/>
  <c r="AN30" i="1"/>
  <c r="AM30" i="1"/>
  <c r="AL30" i="1"/>
  <c r="AG34" i="1"/>
  <c r="AF34" i="1"/>
  <c r="AE34" i="1"/>
  <c r="AD34" i="1"/>
  <c r="AC34" i="1"/>
  <c r="AP34" i="1"/>
  <c r="AN34" i="1"/>
  <c r="AM34" i="1"/>
  <c r="AL34" i="1"/>
  <c r="AK34" i="1"/>
  <c r="AJ34" i="1"/>
  <c r="AI34" i="1"/>
  <c r="AB34" i="1"/>
  <c r="AA34" i="1"/>
  <c r="Z34" i="1"/>
  <c r="AO34" i="1"/>
  <c r="AH34" i="1"/>
  <c r="X34" i="1"/>
  <c r="AZ34" i="1"/>
  <c r="AX34" i="1"/>
  <c r="Y34" i="1"/>
  <c r="AY34" i="1"/>
  <c r="AW34" i="1"/>
  <c r="AV34" i="1"/>
  <c r="AU34" i="1"/>
  <c r="AT34" i="1"/>
  <c r="AS34" i="1"/>
  <c r="AR34" i="1"/>
  <c r="AQ34" i="1"/>
  <c r="AZ35" i="1"/>
  <c r="AB35" i="1"/>
  <c r="AY35" i="1"/>
  <c r="AA35" i="1"/>
  <c r="AX35" i="1"/>
  <c r="Z35" i="1"/>
  <c r="AW35" i="1"/>
  <c r="Y35" i="1"/>
  <c r="AV35" i="1"/>
  <c r="X35" i="1"/>
  <c r="AP35" i="1"/>
  <c r="AN35" i="1"/>
  <c r="AK35" i="1"/>
  <c r="AI35" i="1"/>
  <c r="AG35" i="1"/>
  <c r="AE35" i="1"/>
  <c r="AO35" i="1"/>
  <c r="AM35" i="1"/>
  <c r="AL35" i="1"/>
  <c r="AJ35" i="1"/>
  <c r="AH35" i="1"/>
  <c r="AF35" i="1"/>
  <c r="AU35" i="1"/>
  <c r="AT35" i="1"/>
  <c r="AS35" i="1"/>
  <c r="AR35" i="1"/>
  <c r="AQ35" i="1"/>
  <c r="AD35" i="1"/>
  <c r="AC35" i="1"/>
  <c r="AU36" i="1"/>
  <c r="AT36" i="1"/>
  <c r="AS36" i="1"/>
  <c r="AR36" i="1"/>
  <c r="AQ36" i="1"/>
  <c r="AP36" i="1"/>
  <c r="AN36" i="1"/>
  <c r="AM36" i="1"/>
  <c r="AL36" i="1"/>
  <c r="AI36" i="1"/>
  <c r="AG36" i="1"/>
  <c r="AE36" i="1"/>
  <c r="AO36" i="1"/>
  <c r="AK36" i="1"/>
  <c r="AJ36" i="1"/>
  <c r="AH36" i="1"/>
  <c r="AF36" i="1"/>
  <c r="AC36" i="1"/>
  <c r="AB36" i="1"/>
  <c r="AA36" i="1"/>
  <c r="Z36" i="1"/>
  <c r="Y36" i="1"/>
  <c r="X36" i="1"/>
  <c r="AZ36" i="1"/>
  <c r="AY36" i="1"/>
  <c r="AX36" i="1"/>
  <c r="AW36" i="1"/>
  <c r="AD36" i="1"/>
  <c r="AV36" i="1"/>
  <c r="Y41" i="1"/>
  <c r="AA41" i="1"/>
  <c r="AB41" i="1"/>
  <c r="AC41" i="1"/>
  <c r="Z41" i="1"/>
  <c r="AD41" i="1"/>
  <c r="AE41" i="1"/>
  <c r="AF41" i="1"/>
  <c r="X41" i="1"/>
  <c r="X43" i="1"/>
  <c r="Y43" i="1"/>
  <c r="Z43" i="1"/>
  <c r="AA43" i="1"/>
  <c r="AB43" i="1"/>
  <c r="AC43" i="1"/>
  <c r="AD43" i="1"/>
  <c r="AF43" i="1"/>
  <c r="AE43" i="1"/>
  <c r="AF45" i="1"/>
  <c r="AE45" i="1"/>
  <c r="AA45" i="1"/>
  <c r="Z45" i="1"/>
  <c r="AD45" i="1"/>
  <c r="AC45" i="1"/>
  <c r="AB45" i="1"/>
  <c r="Y45" i="1"/>
  <c r="X45" i="1"/>
  <c r="AG49" i="1"/>
  <c r="AF49" i="1"/>
  <c r="AE49" i="1"/>
  <c r="AC49" i="1"/>
  <c r="AB49" i="1"/>
  <c r="AA49" i="1"/>
  <c r="Z49" i="1"/>
  <c r="AD49" i="1"/>
  <c r="Y49" i="1"/>
  <c r="X49" i="1"/>
  <c r="AI49" i="1"/>
  <c r="AH49" i="1"/>
  <c r="AF50" i="1"/>
  <c r="AG50" i="1"/>
  <c r="AH50" i="1"/>
  <c r="AI50" i="1"/>
  <c r="AA50" i="1"/>
  <c r="AE50" i="1"/>
  <c r="AD50" i="1"/>
  <c r="AC50" i="1"/>
  <c r="AB50" i="1"/>
  <c r="Z50" i="1"/>
  <c r="Y50" i="1"/>
  <c r="X50" i="1"/>
  <c r="AP37" i="1"/>
  <c r="AO37" i="1"/>
  <c r="AN37" i="1"/>
  <c r="AM37" i="1"/>
  <c r="AL37" i="1"/>
  <c r="AU37" i="1"/>
  <c r="AS37" i="1"/>
  <c r="AR37" i="1"/>
  <c r="AK37" i="1"/>
  <c r="AI37" i="1"/>
  <c r="AG37" i="1"/>
  <c r="AE37" i="1"/>
  <c r="AT37" i="1"/>
  <c r="AQ37" i="1"/>
  <c r="AJ37" i="1"/>
  <c r="AH37" i="1"/>
  <c r="AF37" i="1"/>
  <c r="AZ37" i="1"/>
  <c r="AY37" i="1"/>
  <c r="AX37" i="1"/>
  <c r="AW37" i="1"/>
  <c r="AV37" i="1"/>
  <c r="AC37" i="1"/>
  <c r="Y37" i="1"/>
  <c r="X37" i="1"/>
  <c r="AD37" i="1"/>
  <c r="AB37" i="1"/>
  <c r="AA37" i="1"/>
  <c r="Z37" i="1"/>
  <c r="AY40" i="1"/>
  <c r="AA40" i="1"/>
  <c r="AX40" i="1"/>
  <c r="Z40" i="1"/>
  <c r="AW40" i="1"/>
  <c r="Y40" i="1"/>
  <c r="AV40" i="1"/>
  <c r="X40" i="1"/>
  <c r="AU40" i="1"/>
  <c r="AZ40" i="1"/>
  <c r="AR40" i="1"/>
  <c r="AO40" i="1"/>
  <c r="AM40" i="1"/>
  <c r="AL40" i="1"/>
  <c r="AT40" i="1"/>
  <c r="AS40" i="1"/>
  <c r="AQ40" i="1"/>
  <c r="AP40" i="1"/>
  <c r="AN40" i="1"/>
  <c r="AK40" i="1"/>
  <c r="AJ40" i="1"/>
  <c r="AH40" i="1"/>
  <c r="AG40" i="1"/>
  <c r="AF40" i="1"/>
  <c r="AE40" i="1"/>
  <c r="AD40" i="1"/>
  <c r="AC40" i="1"/>
  <c r="AB40" i="1"/>
  <c r="AI40" i="1"/>
  <c r="AD54" i="1"/>
  <c r="AE54" i="1"/>
  <c r="AF54" i="1"/>
  <c r="AC54" i="1"/>
  <c r="Z54" i="1"/>
  <c r="Y54" i="1"/>
  <c r="AB54" i="1"/>
  <c r="AA54" i="1"/>
  <c r="X54" i="1"/>
  <c r="AL33" i="1"/>
  <c r="AK33" i="1"/>
  <c r="AJ33" i="1"/>
  <c r="AI33" i="1"/>
  <c r="AH33" i="1"/>
  <c r="AP33" i="1"/>
  <c r="AN33" i="1"/>
  <c r="AC33" i="1"/>
  <c r="Z33" i="1"/>
  <c r="AO33" i="1"/>
  <c r="AM33" i="1"/>
  <c r="AG33" i="1"/>
  <c r="AF33" i="1"/>
  <c r="AE33" i="1"/>
  <c r="AD33" i="1"/>
  <c r="AB33" i="1"/>
  <c r="AA33" i="1"/>
  <c r="AZ33" i="1"/>
  <c r="AY33" i="1"/>
  <c r="AX33" i="1"/>
  <c r="AW33" i="1"/>
  <c r="AV33" i="1"/>
  <c r="AU33" i="1"/>
  <c r="AT33" i="1"/>
  <c r="AS33" i="1"/>
  <c r="AR33" i="1"/>
  <c r="AQ33" i="1"/>
  <c r="Y33" i="1"/>
  <c r="X33" i="1"/>
  <c r="AV31" i="1"/>
  <c r="X31" i="1"/>
  <c r="AU31" i="1"/>
  <c r="AT31" i="1"/>
  <c r="AS31" i="1"/>
  <c r="AR31" i="1"/>
  <c r="AK31" i="1"/>
  <c r="AI31" i="1"/>
  <c r="AF31" i="1"/>
  <c r="AD31" i="1"/>
  <c r="AB31" i="1"/>
  <c r="AA31" i="1"/>
  <c r="Z31" i="1"/>
  <c r="AJ31" i="1"/>
  <c r="AH31" i="1"/>
  <c r="AG31" i="1"/>
  <c r="AE31" i="1"/>
  <c r="AC31" i="1"/>
  <c r="AZ31" i="1"/>
  <c r="AY31" i="1"/>
  <c r="AX31" i="1"/>
  <c r="AW31" i="1"/>
  <c r="AQ31" i="1"/>
  <c r="AP31" i="1"/>
  <c r="AO31" i="1"/>
  <c r="AN31" i="1"/>
  <c r="AM31" i="1"/>
  <c r="AL31" i="1"/>
  <c r="Y31" i="1"/>
  <c r="AL32" i="1" l="1"/>
  <c r="AU32" i="1"/>
  <c r="AA32" i="1"/>
  <c r="AB32" i="1"/>
  <c r="AD32" i="1"/>
  <c r="AC32" i="1"/>
  <c r="AE32" i="1"/>
  <c r="AJ32" i="1"/>
  <c r="AF32" i="1"/>
  <c r="AK32" i="1"/>
  <c r="AG32" i="1"/>
  <c r="AH32" i="1"/>
  <c r="AI32" i="1"/>
  <c r="AQ32" i="1"/>
  <c r="AM32" i="1"/>
  <c r="AN32" i="1"/>
  <c r="AO32" i="1"/>
  <c r="L51" i="1"/>
  <c r="AY32" i="1"/>
  <c r="AR32" i="1"/>
  <c r="Z32" i="1"/>
  <c r="L35" i="1"/>
  <c r="AS32" i="1"/>
  <c r="L49" i="1"/>
  <c r="L30" i="1"/>
  <c r="L40" i="1"/>
  <c r="L43" i="1"/>
  <c r="L39" i="1"/>
  <c r="L41" i="1"/>
  <c r="L42" i="1"/>
  <c r="L55" i="1"/>
  <c r="L48" i="1"/>
  <c r="L31" i="1"/>
  <c r="L37" i="1"/>
  <c r="L34" i="1"/>
  <c r="L33" i="1"/>
  <c r="L50" i="1"/>
  <c r="L36" i="1"/>
  <c r="L45" i="1"/>
  <c r="L47" i="1"/>
  <c r="L54" i="1"/>
  <c r="L38" i="1"/>
  <c r="L53" i="1"/>
  <c r="L44" i="1"/>
  <c r="L46" i="1"/>
  <c r="L52" i="1"/>
  <c r="AZ32" i="1"/>
  <c r="AP32" i="1"/>
  <c r="AT32" i="1"/>
  <c r="AV32" i="1"/>
  <c r="AW32" i="1"/>
  <c r="AX32" i="1"/>
  <c r="X32" i="1"/>
  <c r="BO7" i="2"/>
  <c r="K3" i="1"/>
  <c r="K4" i="1"/>
  <c r="K5" i="1"/>
  <c r="K6" i="1"/>
  <c r="K7" i="1"/>
  <c r="K8" i="1"/>
  <c r="K9" i="1"/>
  <c r="K10" i="1"/>
  <c r="K11" i="1"/>
  <c r="K12" i="1"/>
  <c r="K13" i="1"/>
  <c r="K14" i="1"/>
  <c r="K15" i="1"/>
  <c r="K16" i="1"/>
  <c r="K17" i="1"/>
  <c r="K18" i="1"/>
  <c r="K19" i="1"/>
  <c r="K20" i="1"/>
  <c r="K21" i="1"/>
  <c r="K22" i="1"/>
  <c r="K23" i="1"/>
  <c r="K24" i="1"/>
  <c r="K25" i="1"/>
  <c r="K26" i="1"/>
  <c r="K27" i="1"/>
  <c r="K28" i="1"/>
  <c r="K2" i="1"/>
  <c r="L32" i="1" l="1"/>
  <c r="AX23" i="1"/>
  <c r="AO23" i="6" s="1"/>
  <c r="AO111" i="6" s="1"/>
  <c r="AE15" i="1"/>
  <c r="V15" i="6" s="1"/>
  <c r="V103" i="6" s="1"/>
  <c r="AI14" i="1"/>
  <c r="Z14" i="6" s="1"/>
  <c r="Z102" i="6" s="1"/>
  <c r="X11" i="1"/>
  <c r="O11" i="6" s="1"/>
  <c r="O99" i="6" s="1"/>
  <c r="AS8" i="1"/>
  <c r="AJ8" i="6" s="1"/>
  <c r="AJ96" i="6" s="1"/>
  <c r="Y26" i="1"/>
  <c r="P26" i="6" s="1"/>
  <c r="P114" i="6" s="1"/>
  <c r="AC22" i="1"/>
  <c r="T22" i="6" s="1"/>
  <c r="T110" i="6" s="1"/>
  <c r="AQ21" i="1"/>
  <c r="AH21" i="6" s="1"/>
  <c r="AH109" i="6" s="1"/>
  <c r="AV17" i="1"/>
  <c r="AM17" i="6" s="1"/>
  <c r="AM105" i="6" s="1"/>
  <c r="AT13" i="1"/>
  <c r="AK13" i="6" s="1"/>
  <c r="AK101" i="6" s="1"/>
  <c r="AE9" i="1"/>
  <c r="V9" i="6" s="1"/>
  <c r="V97" i="6" s="1"/>
  <c r="AQ4" i="1"/>
  <c r="AH4" i="6" s="1"/>
  <c r="AH92" i="6" s="1"/>
  <c r="AE25" i="1"/>
  <c r="V25" i="6" s="1"/>
  <c r="V113" i="6" s="1"/>
  <c r="AX24" i="1"/>
  <c r="AO24" i="6" s="1"/>
  <c r="AO112" i="6" s="1"/>
  <c r="X20" i="1"/>
  <c r="O20" i="6" s="1"/>
  <c r="O108" i="6" s="1"/>
  <c r="AY19" i="1"/>
  <c r="AP19" i="6" s="1"/>
  <c r="AP107" i="6" s="1"/>
  <c r="AY18" i="1"/>
  <c r="AP18" i="6" s="1"/>
  <c r="AP106" i="6" s="1"/>
  <c r="AY16" i="1"/>
  <c r="AP16" i="6" s="1"/>
  <c r="AP104" i="6" s="1"/>
  <c r="X12" i="1"/>
  <c r="O12" i="6" s="1"/>
  <c r="O100" i="6" s="1"/>
  <c r="AX10" i="1"/>
  <c r="AO10" i="6" s="1"/>
  <c r="AO98" i="6" s="1"/>
  <c r="AS27" i="1"/>
  <c r="AJ27" i="6" s="1"/>
  <c r="AJ115" i="6" s="1"/>
  <c r="AA3" i="1"/>
  <c r="R3" i="6" s="1"/>
  <c r="R91" i="6" s="1"/>
  <c r="AD28" i="1"/>
  <c r="AB28" i="1"/>
  <c r="AY28" i="1"/>
  <c r="Z28" i="1"/>
  <c r="AW28" i="1"/>
  <c r="AC28" i="1"/>
  <c r="AZ28" i="1"/>
  <c r="AA28" i="1"/>
  <c r="AX28" i="1"/>
  <c r="Y28" i="1"/>
  <c r="AV28" i="1"/>
  <c r="X28" i="1"/>
  <c r="AU28" i="1"/>
  <c r="AT28" i="1"/>
  <c r="AS28" i="1"/>
  <c r="AR28" i="1"/>
  <c r="AQ28" i="1"/>
  <c r="AP28" i="1"/>
  <c r="AN28" i="1"/>
  <c r="AJ28" i="1"/>
  <c r="AH28" i="1"/>
  <c r="AF28" i="1"/>
  <c r="AO28" i="1"/>
  <c r="AM28" i="1"/>
  <c r="AL28" i="1"/>
  <c r="AK28" i="1"/>
  <c r="AI28" i="1"/>
  <c r="AG28" i="1"/>
  <c r="AE28" i="1"/>
  <c r="AM20" i="1"/>
  <c r="AL20" i="1"/>
  <c r="AA23" i="1"/>
  <c r="AN20" i="1"/>
  <c r="AO20" i="1"/>
  <c r="AH11" i="1"/>
  <c r="Y11" i="1"/>
  <c r="AA11" i="1"/>
  <c r="AD11" i="1"/>
  <c r="AP11" i="1"/>
  <c r="Z11" i="1"/>
  <c r="AF11" i="1"/>
  <c r="AT11" i="1"/>
  <c r="AG15" i="1"/>
  <c r="AQ20" i="1"/>
  <c r="AC11" i="1"/>
  <c r="AG11" i="1"/>
  <c r="AF15" i="1"/>
  <c r="AX11" i="1"/>
  <c r="AM15" i="1"/>
  <c r="AV11" i="1"/>
  <c r="AW11" i="1"/>
  <c r="AX12" i="1"/>
  <c r="AY12" i="1"/>
  <c r="AK13" i="1"/>
  <c r="AY11" i="1"/>
  <c r="AM13" i="1"/>
  <c r="AJ14" i="1"/>
  <c r="AB23" i="1"/>
  <c r="AR13" i="1"/>
  <c r="AK14" i="1"/>
  <c r="AO23" i="1"/>
  <c r="AS13" i="1"/>
  <c r="AR27" i="1"/>
  <c r="AL14" i="1"/>
  <c r="AQ23" i="1"/>
  <c r="X19" i="1"/>
  <c r="Y19" i="1"/>
  <c r="AA19" i="1"/>
  <c r="AQ14" i="1"/>
  <c r="AA10" i="1"/>
  <c r="AR14" i="1"/>
  <c r="AY10" i="1"/>
  <c r="AS14" i="1"/>
  <c r="AS20" i="1"/>
  <c r="AP21" i="1"/>
  <c r="AL18" i="1"/>
  <c r="Y3" i="1"/>
  <c r="AN18" i="1"/>
  <c r="Z3" i="1"/>
  <c r="AR18" i="1"/>
  <c r="AA26" i="1"/>
  <c r="AJ4" i="1"/>
  <c r="AA12" i="1"/>
  <c r="AK24" i="1"/>
  <c r="AO24" i="1"/>
  <c r="AR24" i="1"/>
  <c r="AS18" i="1"/>
  <c r="AK4" i="1"/>
  <c r="AF26" i="1"/>
  <c r="AL4" i="1"/>
  <c r="AU18" i="1"/>
  <c r="AG26" i="1"/>
  <c r="AN4" i="1"/>
  <c r="AQ12" i="1"/>
  <c r="AR23" i="1"/>
  <c r="AS23" i="1"/>
  <c r="AR20" i="1"/>
  <c r="AT20" i="1"/>
  <c r="AB16" i="1"/>
  <c r="AY25" i="1"/>
  <c r="AP25" i="6" s="1"/>
  <c r="AC26" i="1"/>
  <c r="AT18" i="1"/>
  <c r="AV18" i="1"/>
  <c r="AH26" i="1"/>
  <c r="AO4" i="1"/>
  <c r="AR12" i="1"/>
  <c r="AL24" i="1"/>
  <c r="AN24" i="1"/>
  <c r="AQ24" i="1"/>
  <c r="AS24" i="1"/>
  <c r="AT25" i="1"/>
  <c r="AK25" i="6" s="1"/>
  <c r="AV25" i="1"/>
  <c r="AM25" i="6" s="1"/>
  <c r="AO12" i="1"/>
  <c r="AP12" i="1"/>
  <c r="AW18" i="1"/>
  <c r="AN27" i="1"/>
  <c r="AG9" i="1"/>
  <c r="AS12" i="1"/>
  <c r="AM24" i="1"/>
  <c r="AP24" i="1"/>
  <c r="AM18" i="1"/>
  <c r="AP18" i="1"/>
  <c r="AQ27" i="1"/>
  <c r="AM9" i="1"/>
  <c r="AW12" i="1"/>
  <c r="AY5" i="1"/>
  <c r="AK5" i="1"/>
  <c r="AE5" i="1"/>
  <c r="AD5" i="1"/>
  <c r="AJ5" i="1"/>
  <c r="AI5" i="1"/>
  <c r="AF5" i="1"/>
  <c r="AC5" i="1"/>
  <c r="AB5" i="1"/>
  <c r="AZ5" i="1"/>
  <c r="AM5" i="1"/>
  <c r="AF4" i="1"/>
  <c r="AB4" i="1"/>
  <c r="AY4" i="1"/>
  <c r="AS4" i="1"/>
  <c r="AZ4" i="1"/>
  <c r="AI4" i="1"/>
  <c r="AA4" i="1"/>
  <c r="AH4" i="1"/>
  <c r="AG4" i="1"/>
  <c r="AC4" i="1"/>
  <c r="AE4" i="1"/>
  <c r="AP4" i="1"/>
  <c r="AV27" i="1"/>
  <c r="AI27" i="1"/>
  <c r="AH27" i="1"/>
  <c r="AD27" i="1"/>
  <c r="AY27" i="1"/>
  <c r="AX27" i="1"/>
  <c r="AW27" i="1"/>
  <c r="AU27" i="1"/>
  <c r="AL27" i="1"/>
  <c r="AF27" i="1"/>
  <c r="AE27" i="1"/>
  <c r="AA27" i="1"/>
  <c r="AK27" i="1"/>
  <c r="AJ27" i="1"/>
  <c r="AG27" i="1"/>
  <c r="AC27" i="1"/>
  <c r="AB27" i="1"/>
  <c r="Z27" i="1"/>
  <c r="Y27" i="1"/>
  <c r="AK3" i="1"/>
  <c r="X3" i="1"/>
  <c r="AW3" i="1"/>
  <c r="AV3" i="1"/>
  <c r="AR3" i="1"/>
  <c r="AT3" i="1"/>
  <c r="AS3" i="1"/>
  <c r="AQ3" i="1"/>
  <c r="AM3" i="1"/>
  <c r="AP3" i="1"/>
  <c r="AO3" i="1"/>
  <c r="AN3" i="1"/>
  <c r="AU3" i="1"/>
  <c r="AX3" i="1"/>
  <c r="AY3" i="1"/>
  <c r="AI3" i="1"/>
  <c r="AL3" i="1"/>
  <c r="AH3" i="1"/>
  <c r="AG3" i="1"/>
  <c r="AF3" i="1"/>
  <c r="AJ3" i="1"/>
  <c r="AB26" i="1"/>
  <c r="AE26" i="1"/>
  <c r="AD26" i="1"/>
  <c r="X26" i="1"/>
  <c r="AW26" i="1"/>
  <c r="AV26" i="1"/>
  <c r="AU26" i="1"/>
  <c r="AO26" i="1"/>
  <c r="AN26" i="1"/>
  <c r="AM26" i="1"/>
  <c r="AK26" i="1"/>
  <c r="AJ26" i="1"/>
  <c r="AY26" i="1"/>
  <c r="AL26" i="1"/>
  <c r="AT27" i="1"/>
  <c r="AR4" i="1"/>
  <c r="AT6" i="1"/>
  <c r="AX6" i="1"/>
  <c r="AF6" i="1"/>
  <c r="AG6" i="1"/>
  <c r="AE6" i="1"/>
  <c r="Y6" i="1"/>
  <c r="AW6" i="1"/>
  <c r="AU6" i="1"/>
  <c r="X6" i="1"/>
  <c r="AV6" i="1"/>
  <c r="AD6" i="1"/>
  <c r="Z6" i="1"/>
  <c r="AO7" i="1"/>
  <c r="AX7" i="1"/>
  <c r="AR7" i="1"/>
  <c r="AQ7" i="1"/>
  <c r="Y7" i="1"/>
  <c r="AY7" i="1"/>
  <c r="AW7" i="1"/>
  <c r="AA7" i="1"/>
  <c r="Z7" i="1"/>
  <c r="AL5" i="1"/>
  <c r="AP7" i="1"/>
  <c r="AD2" i="1"/>
  <c r="AP2" i="1"/>
  <c r="AL2" i="1"/>
  <c r="AO2" i="1"/>
  <c r="AN2" i="1"/>
  <c r="AM2" i="1"/>
  <c r="AG2" i="1"/>
  <c r="AE2" i="1"/>
  <c r="AI2" i="1"/>
  <c r="AH2" i="1"/>
  <c r="AF2" i="1"/>
  <c r="AE21" i="1"/>
  <c r="AI21" i="1"/>
  <c r="AH21" i="1"/>
  <c r="AO21" i="1"/>
  <c r="AN21" i="1"/>
  <c r="AM21" i="1"/>
  <c r="AJ21" i="1"/>
  <c r="AG21" i="1"/>
  <c r="AF21" i="1"/>
  <c r="Z19" i="1"/>
  <c r="AQ18" i="1"/>
  <c r="AD18" i="1"/>
  <c r="AC18" i="1"/>
  <c r="AB18" i="1"/>
  <c r="AA18" i="1"/>
  <c r="Y18" i="1"/>
  <c r="X18" i="1"/>
  <c r="AJ24" i="1"/>
  <c r="Z24" i="1"/>
  <c r="Y24" i="1"/>
  <c r="AW24" i="1"/>
  <c r="AI24" i="1"/>
  <c r="AH24" i="1"/>
  <c r="AG24" i="1"/>
  <c r="AF24" i="1"/>
  <c r="X24" i="1"/>
  <c r="AE24" i="1"/>
  <c r="AB24" i="1"/>
  <c r="AT24" i="1"/>
  <c r="AN23" i="1"/>
  <c r="AW23" i="1"/>
  <c r="AV23" i="1"/>
  <c r="AP23" i="1"/>
  <c r="Z23" i="1"/>
  <c r="Y23" i="1"/>
  <c r="X23" i="1"/>
  <c r="AZ23" i="1"/>
  <c r="AA25" i="1"/>
  <c r="R25" i="6" s="1"/>
  <c r="AF25" i="1"/>
  <c r="W25" i="6" s="1"/>
  <c r="AC25" i="1"/>
  <c r="T25" i="6" s="1"/>
  <c r="AB25" i="1"/>
  <c r="S25" i="6" s="1"/>
  <c r="AM25" i="1"/>
  <c r="AD25" i="6" s="1"/>
  <c r="AL25" i="1"/>
  <c r="AC25" i="6" s="1"/>
  <c r="AK25" i="1"/>
  <c r="AG25" i="1"/>
  <c r="X25" i="6" s="1"/>
  <c r="AJ25" i="1"/>
  <c r="AI25" i="1"/>
  <c r="Z25" i="6" s="1"/>
  <c r="AH25" i="1"/>
  <c r="Y25" i="6" s="1"/>
  <c r="AN25" i="1"/>
  <c r="AE25" i="6" s="1"/>
  <c r="X25" i="1"/>
  <c r="O25" i="6" s="1"/>
  <c r="AD20" i="1"/>
  <c r="X17" i="1"/>
  <c r="AP25" i="1"/>
  <c r="AG25" i="6" s="1"/>
  <c r="AU24" i="1"/>
  <c r="AE18" i="1"/>
  <c r="AY23" i="1"/>
  <c r="AI20" i="1"/>
  <c r="AU20" i="1"/>
  <c r="AV20" i="1"/>
  <c r="AD25" i="1"/>
  <c r="U25" i="6" s="1"/>
  <c r="AO25" i="1"/>
  <c r="AF25" i="6" s="1"/>
  <c r="AF20" i="1"/>
  <c r="AH20" i="1"/>
  <c r="AQ25" i="1"/>
  <c r="AH25" i="6" s="1"/>
  <c r="AF18" i="1"/>
  <c r="AJ20" i="1"/>
  <c r="AR25" i="1"/>
  <c r="AI25" i="6" s="1"/>
  <c r="AV24" i="1"/>
  <c r="AM19" i="1"/>
  <c r="AV19" i="1"/>
  <c r="AU19" i="1"/>
  <c r="AW19" i="1"/>
  <c r="AR19" i="1"/>
  <c r="AQ19" i="1"/>
  <c r="AP19" i="1"/>
  <c r="AO19" i="1"/>
  <c r="AN19" i="1"/>
  <c r="AX19" i="1"/>
  <c r="AE20" i="1"/>
  <c r="AG18" i="1"/>
  <c r="AK20" i="1"/>
  <c r="AS25" i="1"/>
  <c r="AJ25" i="6" s="1"/>
  <c r="AI13" i="1"/>
  <c r="AQ13" i="1"/>
  <c r="AL13" i="1"/>
  <c r="AJ13" i="1"/>
  <c r="AL8" i="1"/>
  <c r="AN12" i="1"/>
  <c r="AZ12" i="1"/>
  <c r="AV12" i="1"/>
  <c r="Y12" i="1"/>
  <c r="AS11" i="1"/>
  <c r="AU11" i="1"/>
  <c r="AR11" i="1"/>
  <c r="AO11" i="1"/>
  <c r="AN11" i="1"/>
  <c r="AE11" i="1"/>
  <c r="AR8" i="1"/>
  <c r="Z12" i="1"/>
  <c r="AF9" i="1"/>
  <c r="AB12" i="1"/>
  <c r="AJ8" i="1"/>
  <c r="AK8" i="1"/>
  <c r="X22" i="1"/>
  <c r="AD22" i="1"/>
  <c r="AS22" i="1"/>
  <c r="AT22" i="1"/>
  <c r="AV22" i="1"/>
  <c r="AW22" i="1"/>
  <c r="AZ22" i="1"/>
  <c r="Y22" i="1"/>
  <c r="AB22" i="1"/>
  <c r="AU22" i="1"/>
  <c r="AE22" i="1"/>
  <c r="AF22" i="1"/>
  <c r="AU17" i="1"/>
  <c r="AT17" i="1"/>
  <c r="AF17" i="1"/>
  <c r="AS17" i="1"/>
  <c r="AR17" i="1"/>
  <c r="AQ17" i="1"/>
  <c r="AP17" i="1"/>
  <c r="AG17" i="1"/>
  <c r="AE17" i="1"/>
  <c r="AO17" i="1"/>
  <c r="AN17" i="1"/>
  <c r="AM17" i="1"/>
  <c r="AH17" i="1"/>
  <c r="AL17" i="1"/>
  <c r="AK17" i="1"/>
  <c r="AJ17" i="1"/>
  <c r="AI17" i="1"/>
  <c r="AD17" i="1"/>
  <c r="AC17" i="1"/>
  <c r="AB17" i="1"/>
  <c r="AY17" i="1"/>
  <c r="AA17" i="1"/>
  <c r="AX17" i="1"/>
  <c r="Z17" i="1"/>
  <c r="AW17" i="1"/>
  <c r="Y17" i="1"/>
  <c r="AC16" i="1"/>
  <c r="AB10" i="1"/>
  <c r="AZ10" i="1"/>
  <c r="AH15" i="1"/>
  <c r="AD16" i="1"/>
  <c r="AM8" i="1"/>
  <c r="AH9" i="1"/>
  <c r="AC10" i="1"/>
  <c r="AM14" i="1"/>
  <c r="AI15" i="1"/>
  <c r="AE16" i="1"/>
  <c r="AS7" i="1"/>
  <c r="AN8" i="1"/>
  <c r="AI9" i="1"/>
  <c r="AD10" i="1"/>
  <c r="AN14" i="1"/>
  <c r="AJ15" i="1"/>
  <c r="AF16" i="1"/>
  <c r="AA6" i="1"/>
  <c r="AY6" i="1"/>
  <c r="AT7" i="1"/>
  <c r="AO8" i="1"/>
  <c r="AJ9" i="1"/>
  <c r="AE10" i="1"/>
  <c r="AN13" i="1"/>
  <c r="AO14" i="1"/>
  <c r="AK15" i="1"/>
  <c r="AG16" i="1"/>
  <c r="AS19" i="1"/>
  <c r="AK21" i="1"/>
  <c r="Z22" i="1"/>
  <c r="AX22" i="1"/>
  <c r="AT23" i="1"/>
  <c r="AG5" i="1"/>
  <c r="AB6" i="1"/>
  <c r="AZ6" i="1"/>
  <c r="AU7" i="1"/>
  <c r="AP8" i="1"/>
  <c r="AK9" i="1"/>
  <c r="AF10" i="1"/>
  <c r="AT12" i="1"/>
  <c r="AO13" i="1"/>
  <c r="AJ2" i="1"/>
  <c r="AP14" i="1"/>
  <c r="AL15" i="1"/>
  <c r="AH16" i="1"/>
  <c r="Z18" i="1"/>
  <c r="AX18" i="1"/>
  <c r="AT19" i="1"/>
  <c r="AP20" i="1"/>
  <c r="AL21" i="1"/>
  <c r="AI26" i="1"/>
  <c r="AA22" i="1"/>
  <c r="AY22" i="1"/>
  <c r="AU23" i="1"/>
  <c r="AM4" i="1"/>
  <c r="AH5" i="1"/>
  <c r="AC6" i="1"/>
  <c r="X7" i="1"/>
  <c r="AV7" i="1"/>
  <c r="AQ8" i="1"/>
  <c r="AL9" i="1"/>
  <c r="AG10" i="1"/>
  <c r="AB11" i="1"/>
  <c r="AZ11" i="1"/>
  <c r="AU12" i="1"/>
  <c r="AP13" i="1"/>
  <c r="AK2" i="1"/>
  <c r="AJ16" i="1"/>
  <c r="AP15" i="1"/>
  <c r="AB7" i="1"/>
  <c r="AQ15" i="1"/>
  <c r="AH6" i="1"/>
  <c r="AC7" i="1"/>
  <c r="X8" i="1"/>
  <c r="AV8" i="1"/>
  <c r="AQ9" i="1"/>
  <c r="AL10" i="1"/>
  <c r="AC23" i="1"/>
  <c r="AI6" i="1"/>
  <c r="Y8" i="1"/>
  <c r="AW8" i="1"/>
  <c r="AR9" i="1"/>
  <c r="AM10" i="1"/>
  <c r="AC12" i="1"/>
  <c r="Y14" i="1"/>
  <c r="AS15" i="1"/>
  <c r="AO16" i="1"/>
  <c r="AC19" i="1"/>
  <c r="Y20" i="1"/>
  <c r="AW20" i="1"/>
  <c r="AS21" i="1"/>
  <c r="AP26" i="1"/>
  <c r="AH22" i="1"/>
  <c r="AD23" i="1"/>
  <c r="AT4" i="1"/>
  <c r="AO5" i="1"/>
  <c r="AJ6" i="1"/>
  <c r="AE7" i="1"/>
  <c r="Z8" i="1"/>
  <c r="AX8" i="1"/>
  <c r="AS9" i="1"/>
  <c r="AN10" i="1"/>
  <c r="AI11" i="1"/>
  <c r="AD12" i="1"/>
  <c r="Y13" i="1"/>
  <c r="AW13" i="1"/>
  <c r="AR2" i="1"/>
  <c r="Z14" i="1"/>
  <c r="AX14" i="1"/>
  <c r="AT15" i="1"/>
  <c r="AP16" i="1"/>
  <c r="AH18" i="1"/>
  <c r="AD19" i="1"/>
  <c r="Z20" i="1"/>
  <c r="AX20" i="1"/>
  <c r="AT21" i="1"/>
  <c r="AA24" i="1"/>
  <c r="AY24" i="1"/>
  <c r="AU25" i="1"/>
  <c r="AL25" i="6" s="1"/>
  <c r="AQ26" i="1"/>
  <c r="AM27" i="1"/>
  <c r="AI22" i="1"/>
  <c r="AE23" i="1"/>
  <c r="AB3" i="1"/>
  <c r="AZ3" i="1"/>
  <c r="AU4" i="1"/>
  <c r="AP5" i="1"/>
  <c r="AK6" i="1"/>
  <c r="AF7" i="1"/>
  <c r="AA8" i="1"/>
  <c r="AY8" i="1"/>
  <c r="AT9" i="1"/>
  <c r="AO10" i="1"/>
  <c r="AJ11" i="1"/>
  <c r="AE12" i="1"/>
  <c r="Z13" i="1"/>
  <c r="AX13" i="1"/>
  <c r="AS2" i="1"/>
  <c r="AU14" i="1"/>
  <c r="AU13" i="1"/>
  <c r="AR15" i="1"/>
  <c r="X13" i="1"/>
  <c r="AW14" i="1"/>
  <c r="AA14" i="1"/>
  <c r="AY14" i="1"/>
  <c r="AU15" i="1"/>
  <c r="AQ16" i="1"/>
  <c r="AI18" i="1"/>
  <c r="AE19" i="1"/>
  <c r="AA20" i="1"/>
  <c r="AY20" i="1"/>
  <c r="AU21" i="1"/>
  <c r="AJ22" i="1"/>
  <c r="AF23" i="1"/>
  <c r="AC3" i="1"/>
  <c r="X4" i="1"/>
  <c r="AV4" i="1"/>
  <c r="AQ5" i="1"/>
  <c r="AL6" i="1"/>
  <c r="AG7" i="1"/>
  <c r="AB8" i="1"/>
  <c r="AZ8" i="1"/>
  <c r="AU9" i="1"/>
  <c r="AP10" i="1"/>
  <c r="AK11" i="1"/>
  <c r="AF12" i="1"/>
  <c r="AA13" i="1"/>
  <c r="AY13" i="1"/>
  <c r="AT2" i="1"/>
  <c r="X14" i="1"/>
  <c r="AV14" i="1"/>
  <c r="AN16" i="1"/>
  <c r="AB19" i="1"/>
  <c r="AR21" i="1"/>
  <c r="AG22" i="1"/>
  <c r="AN5" i="1"/>
  <c r="AD7" i="1"/>
  <c r="AQ2" i="1"/>
  <c r="AB14" i="1"/>
  <c r="X15" i="1"/>
  <c r="AV15" i="1"/>
  <c r="AR16" i="1"/>
  <c r="AJ18" i="1"/>
  <c r="AF19" i="1"/>
  <c r="AB20" i="1"/>
  <c r="X21" i="1"/>
  <c r="AV21" i="1"/>
  <c r="AC24" i="1"/>
  <c r="Y25" i="1"/>
  <c r="P25" i="6" s="1"/>
  <c r="AW25" i="1"/>
  <c r="AN25" i="6" s="1"/>
  <c r="AS26" i="1"/>
  <c r="AO27" i="1"/>
  <c r="AK22" i="1"/>
  <c r="AG23" i="1"/>
  <c r="AD3" i="1"/>
  <c r="Y4" i="1"/>
  <c r="AW4" i="1"/>
  <c r="AR5" i="1"/>
  <c r="AM6" i="1"/>
  <c r="AH7" i="1"/>
  <c r="AC8" i="1"/>
  <c r="X9" i="1"/>
  <c r="AV9" i="1"/>
  <c r="AQ10" i="1"/>
  <c r="AL11" i="1"/>
  <c r="AG12" i="1"/>
  <c r="AB13" i="1"/>
  <c r="AZ13" i="1"/>
  <c r="AU2" i="1"/>
  <c r="AN9" i="1"/>
  <c r="AO9" i="1"/>
  <c r="AT14" i="1"/>
  <c r="AV13" i="1"/>
  <c r="AR26" i="1"/>
  <c r="AC14" i="1"/>
  <c r="Y15" i="1"/>
  <c r="AW15" i="1"/>
  <c r="AS16" i="1"/>
  <c r="AK18" i="1"/>
  <c r="AG19" i="1"/>
  <c r="AC20" i="1"/>
  <c r="Y21" i="1"/>
  <c r="AW21" i="1"/>
  <c r="AD24" i="1"/>
  <c r="Z25" i="1"/>
  <c r="Q25" i="6" s="1"/>
  <c r="AX25" i="1"/>
  <c r="AO25" i="6" s="1"/>
  <c r="AT26" i="1"/>
  <c r="AP27" i="1"/>
  <c r="AL22" i="1"/>
  <c r="AH23" i="1"/>
  <c r="AE3" i="1"/>
  <c r="Z4" i="1"/>
  <c r="AX4" i="1"/>
  <c r="AS5" i="1"/>
  <c r="AN6" i="1"/>
  <c r="AI7" i="1"/>
  <c r="AD8" i="1"/>
  <c r="Y9" i="1"/>
  <c r="AW9" i="1"/>
  <c r="AR10" i="1"/>
  <c r="AM11" i="1"/>
  <c r="AH12" i="1"/>
  <c r="AC13" i="1"/>
  <c r="X2" i="1"/>
  <c r="AV2" i="1"/>
  <c r="AN15" i="1"/>
  <c r="AM16" i="1"/>
  <c r="AD14" i="1"/>
  <c r="Z15" i="1"/>
  <c r="AX15" i="1"/>
  <c r="AT16" i="1"/>
  <c r="AH19" i="1"/>
  <c r="Z21" i="1"/>
  <c r="AX21" i="1"/>
  <c r="AM22" i="1"/>
  <c r="AI23" i="1"/>
  <c r="AT5" i="1"/>
  <c r="AO6" i="1"/>
  <c r="AJ7" i="1"/>
  <c r="AE8" i="1"/>
  <c r="Z9" i="1"/>
  <c r="AX9" i="1"/>
  <c r="AS10" i="1"/>
  <c r="AI12" i="1"/>
  <c r="AD13" i="1"/>
  <c r="Y2" i="1"/>
  <c r="AW2" i="1"/>
  <c r="AL16" i="1"/>
  <c r="AK10" i="1"/>
  <c r="AE14" i="1"/>
  <c r="AA15" i="1"/>
  <c r="AY15" i="1"/>
  <c r="AU16" i="1"/>
  <c r="AI19" i="1"/>
  <c r="AA21" i="1"/>
  <c r="AY21" i="1"/>
  <c r="AN22" i="1"/>
  <c r="AJ23" i="1"/>
  <c r="AU5" i="1"/>
  <c r="AP6" i="1"/>
  <c r="AK7" i="1"/>
  <c r="AF8" i="1"/>
  <c r="AA9" i="1"/>
  <c r="AY9" i="1"/>
  <c r="AT10" i="1"/>
  <c r="AJ12" i="1"/>
  <c r="AE13" i="1"/>
  <c r="Z2" i="1"/>
  <c r="AX2" i="1"/>
  <c r="AF14" i="1"/>
  <c r="AB15" i="1"/>
  <c r="X16" i="1"/>
  <c r="AJ19" i="1"/>
  <c r="AB21" i="1"/>
  <c r="AO22" i="1"/>
  <c r="AV5" i="1"/>
  <c r="AL7" i="1"/>
  <c r="AZ9" i="1"/>
  <c r="AK12" i="1"/>
  <c r="AF13" i="1"/>
  <c r="AA2" i="1"/>
  <c r="AI10" i="1"/>
  <c r="AZ7" i="1"/>
  <c r="AV16" i="1"/>
  <c r="AK23" i="1"/>
  <c r="X5" i="1"/>
  <c r="AQ6" i="1"/>
  <c r="AG8" i="1"/>
  <c r="AB9" i="1"/>
  <c r="AU10" i="1"/>
  <c r="AY2" i="1"/>
  <c r="AG14" i="1"/>
  <c r="AC15" i="1"/>
  <c r="Y16" i="1"/>
  <c r="AW16" i="1"/>
  <c r="AO18" i="1"/>
  <c r="AK19" i="1"/>
  <c r="AG20" i="1"/>
  <c r="AC21" i="1"/>
  <c r="Z26" i="1"/>
  <c r="AX26" i="1"/>
  <c r="AP22" i="1"/>
  <c r="AL23" i="1"/>
  <c r="AD4" i="1"/>
  <c r="Y5" i="1"/>
  <c r="AW5" i="1"/>
  <c r="AR6" i="1"/>
  <c r="AM7" i="1"/>
  <c r="AH8" i="1"/>
  <c r="AC9" i="1"/>
  <c r="X10" i="1"/>
  <c r="AV10" i="1"/>
  <c r="AQ11" i="1"/>
  <c r="AL12" i="1"/>
  <c r="AG13" i="1"/>
  <c r="AB2" i="1"/>
  <c r="AI16" i="1"/>
  <c r="AO15" i="1"/>
  <c r="AJ10" i="1"/>
  <c r="AP9" i="1"/>
  <c r="Z16" i="1"/>
  <c r="AI8" i="1"/>
  <c r="Y10" i="1"/>
  <c r="AH13" i="1"/>
  <c r="AC2" i="1"/>
  <c r="AH10" i="1"/>
  <c r="AK16" i="1"/>
  <c r="AT8" i="1"/>
  <c r="AU8" i="1"/>
  <c r="AH14" i="1"/>
  <c r="AD15" i="1"/>
  <c r="AX16" i="1"/>
  <c r="AL19" i="1"/>
  <c r="AD21" i="1"/>
  <c r="AQ22" i="1"/>
  <c r="AM23" i="1"/>
  <c r="Z5" i="1"/>
  <c r="AX5" i="1"/>
  <c r="AS6" i="1"/>
  <c r="AN7" i="1"/>
  <c r="AD9" i="1"/>
  <c r="AW10" i="1"/>
  <c r="AM12" i="1"/>
  <c r="AA16" i="1"/>
  <c r="X27" i="1"/>
  <c r="AR22" i="1"/>
  <c r="AA5" i="1"/>
  <c r="Z10" i="1"/>
  <c r="AN8" i="2"/>
  <c r="P8" i="2"/>
  <c r="AK8" i="2"/>
  <c r="BE8" i="2"/>
  <c r="AG8" i="2"/>
  <c r="BD8" i="2"/>
  <c r="AF8" i="2"/>
  <c r="BC8" i="2"/>
  <c r="AE8" i="2"/>
  <c r="AZ8" i="2"/>
  <c r="AB8" i="2"/>
  <c r="AY8" i="2"/>
  <c r="AA8" i="2"/>
  <c r="X8" i="2"/>
  <c r="AJ8" i="2"/>
  <c r="W8" i="2"/>
  <c r="T8" i="2"/>
  <c r="V8" i="2"/>
  <c r="BB8" i="2"/>
  <c r="U8" i="2"/>
  <c r="BA8" i="2"/>
  <c r="AX8" i="2"/>
  <c r="S8" i="2"/>
  <c r="AW8" i="2"/>
  <c r="R8" i="2"/>
  <c r="AV8" i="2"/>
  <c r="Q8" i="2"/>
  <c r="AU8" i="2"/>
  <c r="O8" i="2"/>
  <c r="AT8" i="2"/>
  <c r="N8" i="2"/>
  <c r="AQ8" i="2"/>
  <c r="AS8" i="2"/>
  <c r="AR8" i="2"/>
  <c r="AP8" i="2"/>
  <c r="AO8" i="2"/>
  <c r="AL8" i="2"/>
  <c r="AD8" i="2"/>
  <c r="AC8" i="2"/>
  <c r="Z8" i="2"/>
  <c r="Y8" i="2"/>
  <c r="AM8" i="2"/>
  <c r="AI8" i="2"/>
  <c r="AH8" i="2"/>
  <c r="AP150" i="1" l="1"/>
  <c r="AQ150" i="1"/>
  <c r="AN150" i="1"/>
  <c r="AK150" i="1"/>
  <c r="AL150" i="1"/>
  <c r="AD150" i="1"/>
  <c r="AO150" i="1"/>
  <c r="AM150" i="1"/>
  <c r="AJ150" i="1"/>
  <c r="L17" i="1"/>
  <c r="X2" i="6"/>
  <c r="X90" i="6" s="1"/>
  <c r="L6" i="1"/>
  <c r="AD2" i="6"/>
  <c r="AD90" i="6" s="1"/>
  <c r="L10" i="1"/>
  <c r="L13" i="1"/>
  <c r="L19" i="1"/>
  <c r="AV150" i="1"/>
  <c r="L16" i="1"/>
  <c r="AT150" i="1"/>
  <c r="AK2" i="6" s="1"/>
  <c r="AK90" i="6" s="1"/>
  <c r="L23" i="1"/>
  <c r="L28" i="1"/>
  <c r="Y150" i="1"/>
  <c r="AX150" i="1"/>
  <c r="P2" i="6"/>
  <c r="P90" i="6" s="1"/>
  <c r="L8" i="1"/>
  <c r="X150" i="1"/>
  <c r="L15" i="1"/>
  <c r="L4" i="1"/>
  <c r="L12" i="1"/>
  <c r="AA150" i="1"/>
  <c r="R2" i="6" s="1"/>
  <c r="R90" i="6" s="1"/>
  <c r="AU150" i="1"/>
  <c r="AL2" i="6" s="1"/>
  <c r="AL90" i="6" s="1"/>
  <c r="L9" i="1"/>
  <c r="L7" i="1"/>
  <c r="L22" i="1"/>
  <c r="AC150" i="1"/>
  <c r="T2" i="6" s="1"/>
  <c r="T90" i="6" s="1"/>
  <c r="AE150" i="1"/>
  <c r="AW150" i="1"/>
  <c r="AI2" i="6"/>
  <c r="AI90" i="6" s="1"/>
  <c r="AQ2" i="6"/>
  <c r="AQ90" i="6" s="1"/>
  <c r="AZ150" i="1"/>
  <c r="L26" i="1"/>
  <c r="AG150" i="1"/>
  <c r="Z150" i="1"/>
  <c r="L20" i="1"/>
  <c r="AN2" i="6"/>
  <c r="AN90" i="6" s="1"/>
  <c r="AO2" i="6"/>
  <c r="AO90" i="6" s="1"/>
  <c r="AI150" i="1"/>
  <c r="AY150" i="1"/>
  <c r="AB150" i="1"/>
  <c r="O2" i="6"/>
  <c r="O90" i="6" s="1"/>
  <c r="AP2" i="6"/>
  <c r="L27" i="1"/>
  <c r="AM2" i="6"/>
  <c r="AM90" i="6" s="1"/>
  <c r="L3" i="1"/>
  <c r="L24" i="1"/>
  <c r="AF150" i="1"/>
  <c r="W2" i="6" s="1"/>
  <c r="W90" i="6" s="1"/>
  <c r="L14" i="1"/>
  <c r="Y2" i="6"/>
  <c r="Y90" i="6" s="1"/>
  <c r="AH150" i="1"/>
  <c r="Q2" i="6"/>
  <c r="Q90" i="6" s="1"/>
  <c r="Z2" i="6"/>
  <c r="Z90" i="6" s="1"/>
  <c r="V2" i="6"/>
  <c r="V90" i="6" s="1"/>
  <c r="L11" i="1"/>
  <c r="AR150" i="1"/>
  <c r="AS150" i="1"/>
  <c r="L18" i="1"/>
  <c r="L5" i="1"/>
  <c r="L21" i="1"/>
  <c r="AG2" i="6"/>
  <c r="AG90" i="6" s="1"/>
  <c r="L2" i="1"/>
  <c r="AA2" i="6"/>
  <c r="AA90" i="6" s="1"/>
  <c r="L25" i="1"/>
  <c r="S2" i="6"/>
  <c r="S90" i="6" s="1"/>
  <c r="AB2" i="6"/>
  <c r="AB90" i="6" s="1"/>
  <c r="AD23" i="6"/>
  <c r="AD111" i="6" s="1"/>
  <c r="V8" i="6"/>
  <c r="V96" i="6" s="1"/>
  <c r="AG10" i="6"/>
  <c r="AG98" i="6" s="1"/>
  <c r="AA20" i="6"/>
  <c r="AA108" i="6" s="1"/>
  <c r="T8" i="6"/>
  <c r="T96" i="6" s="1"/>
  <c r="U7" i="6"/>
  <c r="U95" i="6" s="1"/>
  <c r="AA22" i="6"/>
  <c r="AA110" i="6" s="1"/>
  <c r="W7" i="6"/>
  <c r="W95" i="6" s="1"/>
  <c r="P13" i="6"/>
  <c r="P101" i="6" s="1"/>
  <c r="AN8" i="6"/>
  <c r="AN96" i="6" s="1"/>
  <c r="T6" i="6"/>
  <c r="T94" i="6" s="1"/>
  <c r="X5" i="6"/>
  <c r="X93" i="6" s="1"/>
  <c r="Z15" i="6"/>
  <c r="Z103" i="6" s="1"/>
  <c r="AD17" i="6"/>
  <c r="AD105" i="6" s="1"/>
  <c r="AB8" i="6"/>
  <c r="AB96" i="6" s="1"/>
  <c r="V20" i="6"/>
  <c r="V108" i="6" s="1"/>
  <c r="V18" i="6"/>
  <c r="V106" i="6" s="1"/>
  <c r="AN23" i="6"/>
  <c r="AN111" i="6" s="1"/>
  <c r="AA21" i="6"/>
  <c r="AA109" i="6" s="1"/>
  <c r="P7" i="6"/>
  <c r="P95" i="6" s="1"/>
  <c r="AE26" i="6"/>
  <c r="AE114" i="6" s="1"/>
  <c r="AK3" i="6"/>
  <c r="AK91" i="6" s="1"/>
  <c r="AM27" i="6"/>
  <c r="AM115" i="6" s="1"/>
  <c r="AN12" i="6"/>
  <c r="AN100" i="6" s="1"/>
  <c r="T26" i="6"/>
  <c r="T114" i="6" s="1"/>
  <c r="P3" i="6"/>
  <c r="P91" i="6" s="1"/>
  <c r="AP12" i="6"/>
  <c r="AP100" i="6" s="1"/>
  <c r="AF11" i="6"/>
  <c r="AF99" i="6" s="1"/>
  <c r="AD10" i="6"/>
  <c r="AD98" i="6" s="1"/>
  <c r="AM7" i="6"/>
  <c r="AM95" i="6" s="1"/>
  <c r="AQ6" i="6"/>
  <c r="AQ94" i="6" s="1"/>
  <c r="AJ7" i="6"/>
  <c r="AJ95" i="6" s="1"/>
  <c r="AC17" i="6"/>
  <c r="AC105" i="6" s="1"/>
  <c r="U22" i="6"/>
  <c r="U110" i="6" s="1"/>
  <c r="AB20" i="6"/>
  <c r="AB108" i="6" s="1"/>
  <c r="Z20" i="6"/>
  <c r="Z108" i="6" s="1"/>
  <c r="AG23" i="6"/>
  <c r="AG111" i="6" s="1"/>
  <c r="W21" i="6"/>
  <c r="W109" i="6" s="1"/>
  <c r="AN7" i="6"/>
  <c r="AN95" i="6" s="1"/>
  <c r="AB26" i="6"/>
  <c r="AB114" i="6" s="1"/>
  <c r="AH3" i="6"/>
  <c r="AH91" i="6" s="1"/>
  <c r="Y27" i="6"/>
  <c r="Y115" i="6" s="1"/>
  <c r="AB5" i="6"/>
  <c r="AB93" i="6" s="1"/>
  <c r="AM18" i="6"/>
  <c r="AM106" i="6" s="1"/>
  <c r="Q3" i="6"/>
  <c r="Q91" i="6" s="1"/>
  <c r="AC20" i="6"/>
  <c r="AC108" i="6" s="1"/>
  <c r="Q15" i="6"/>
  <c r="Q103" i="6" s="1"/>
  <c r="Q10" i="6"/>
  <c r="Q98" i="6" s="1"/>
  <c r="Y13" i="6"/>
  <c r="Y101" i="6" s="1"/>
  <c r="Q26" i="6"/>
  <c r="Q114" i="6" s="1"/>
  <c r="AM5" i="6"/>
  <c r="AM93" i="6" s="1"/>
  <c r="AP15" i="6"/>
  <c r="AP103" i="6" s="1"/>
  <c r="U14" i="6"/>
  <c r="U102" i="6" s="1"/>
  <c r="U24" i="6"/>
  <c r="U112" i="6" s="1"/>
  <c r="Y7" i="6"/>
  <c r="Y95" i="6" s="1"/>
  <c r="AE5" i="6"/>
  <c r="AE93" i="6" s="1"/>
  <c r="AL21" i="6"/>
  <c r="AL109" i="6" s="1"/>
  <c r="AB6" i="6"/>
  <c r="AB94" i="6" s="1"/>
  <c r="U12" i="6"/>
  <c r="U100" i="6" s="1"/>
  <c r="P8" i="6"/>
  <c r="P96" i="6" s="1"/>
  <c r="Y5" i="6"/>
  <c r="Y93" i="6" s="1"/>
  <c r="AK23" i="6"/>
  <c r="AK111" i="6" s="1"/>
  <c r="AD14" i="6"/>
  <c r="AD102" i="6" s="1"/>
  <c r="AE17" i="6"/>
  <c r="AE105" i="6" s="1"/>
  <c r="AA8" i="6"/>
  <c r="AA96" i="6" s="1"/>
  <c r="AO19" i="6"/>
  <c r="AO107" i="6" s="1"/>
  <c r="AL24" i="6"/>
  <c r="AL112" i="6" s="1"/>
  <c r="AE23" i="6"/>
  <c r="AE111" i="6" s="1"/>
  <c r="AD21" i="6"/>
  <c r="AD109" i="6" s="1"/>
  <c r="AH7" i="6"/>
  <c r="AH95" i="6" s="1"/>
  <c r="AF26" i="6"/>
  <c r="AF114" i="6" s="1"/>
  <c r="AI3" i="6"/>
  <c r="AI91" i="6" s="1"/>
  <c r="AG4" i="6"/>
  <c r="AG92" i="6" s="1"/>
  <c r="AD9" i="6"/>
  <c r="AD97" i="6" s="1"/>
  <c r="AC18" i="6"/>
  <c r="AC106" i="6" s="1"/>
  <c r="AO12" i="6"/>
  <c r="AO100" i="6" s="1"/>
  <c r="U13" i="6"/>
  <c r="U101" i="6" s="1"/>
  <c r="AN15" i="6"/>
  <c r="AN103" i="6" s="1"/>
  <c r="AB22" i="6"/>
  <c r="AB110" i="6" s="1"/>
  <c r="AD27" i="6"/>
  <c r="AD115" i="6" s="1"/>
  <c r="AA6" i="6"/>
  <c r="AA94" i="6" s="1"/>
  <c r="T7" i="6"/>
  <c r="T95" i="6" s="1"/>
  <c r="AF14" i="6"/>
  <c r="AF102" i="6" s="1"/>
  <c r="S10" i="6"/>
  <c r="S98" i="6" s="1"/>
  <c r="AJ17" i="6"/>
  <c r="AJ105" i="6" s="1"/>
  <c r="Y24" i="6"/>
  <c r="Y112" i="6" s="1"/>
  <c r="AJ6" i="6"/>
  <c r="AJ94" i="6" s="1"/>
  <c r="V13" i="6"/>
  <c r="V101" i="6" s="1"/>
  <c r="AK17" i="6"/>
  <c r="AK105" i="6" s="1"/>
  <c r="U8" i="6"/>
  <c r="U96" i="6" s="1"/>
  <c r="AO26" i="6"/>
  <c r="AO114" i="6" s="1"/>
  <c r="AC7" i="6"/>
  <c r="AC95" i="6" s="1"/>
  <c r="AL16" i="6"/>
  <c r="AL104" i="6" s="1"/>
  <c r="R5" i="6"/>
  <c r="R93" i="6" s="1"/>
  <c r="P10" i="6"/>
  <c r="P98" i="6" s="1"/>
  <c r="AF22" i="6"/>
  <c r="AF110" i="6" s="1"/>
  <c r="R15" i="6"/>
  <c r="R103" i="6" s="1"/>
  <c r="AD16" i="6"/>
  <c r="AD104" i="6" s="1"/>
  <c r="AN21" i="6"/>
  <c r="AN109" i="6" s="1"/>
  <c r="AD6" i="6"/>
  <c r="AD94" i="6" s="1"/>
  <c r="X22" i="6"/>
  <c r="X110" i="6" s="1"/>
  <c r="AP20" i="6"/>
  <c r="AP108" i="6" s="1"/>
  <c r="AG5" i="6"/>
  <c r="AG93" i="6" s="1"/>
  <c r="Z11" i="6"/>
  <c r="Z99" i="6" s="1"/>
  <c r="Z6" i="6"/>
  <c r="Z94" i="6" s="1"/>
  <c r="AD4" i="6"/>
  <c r="AD92" i="6" s="1"/>
  <c r="AO22" i="6"/>
  <c r="AO110" i="6" s="1"/>
  <c r="T10" i="6"/>
  <c r="T98" i="6" s="1"/>
  <c r="AF17" i="6"/>
  <c r="AF105" i="6" s="1"/>
  <c r="S12" i="6"/>
  <c r="S100" i="6" s="1"/>
  <c r="AE19" i="6"/>
  <c r="AE107" i="6" s="1"/>
  <c r="AA10" i="6"/>
  <c r="AA98" i="6" s="1"/>
  <c r="AN16" i="6"/>
  <c r="AN104" i="6" s="1"/>
  <c r="S15" i="6"/>
  <c r="S103" i="6" s="1"/>
  <c r="R18" i="6"/>
  <c r="R106" i="6" s="1"/>
  <c r="U15" i="6"/>
  <c r="U103" i="6" s="1"/>
  <c r="AI6" i="6"/>
  <c r="AI94" i="6" s="1"/>
  <c r="AQ7" i="6"/>
  <c r="AQ95" i="6" s="1"/>
  <c r="AL5" i="6"/>
  <c r="AL93" i="6" s="1"/>
  <c r="AD22" i="6"/>
  <c r="AD110" i="6" s="1"/>
  <c r="V3" i="6"/>
  <c r="V91" i="6" s="1"/>
  <c r="S13" i="6"/>
  <c r="S101" i="6" s="1"/>
  <c r="AA18" i="6"/>
  <c r="AA106" i="6" s="1"/>
  <c r="AC6" i="6"/>
  <c r="AC94" i="6" s="1"/>
  <c r="V12" i="6"/>
  <c r="V100" i="6" s="1"/>
  <c r="AG16" i="6"/>
  <c r="AG104" i="6" s="1"/>
  <c r="AF16" i="6"/>
  <c r="AF104" i="6" s="1"/>
  <c r="S11" i="6"/>
  <c r="S99" i="6" s="1"/>
  <c r="W10" i="6"/>
  <c r="W98" i="6" s="1"/>
  <c r="AE14" i="6"/>
  <c r="AE102" i="6" s="1"/>
  <c r="U17" i="6"/>
  <c r="U105" i="6" s="1"/>
  <c r="AN22" i="6"/>
  <c r="AN110" i="6" s="1"/>
  <c r="AC13" i="6"/>
  <c r="AC101" i="6" s="1"/>
  <c r="AL8" i="6"/>
  <c r="AL96" i="6" s="1"/>
  <c r="P5" i="6"/>
  <c r="P93" i="6" s="1"/>
  <c r="AB16" i="6"/>
  <c r="AB104" i="6" s="1"/>
  <c r="AC23" i="6"/>
  <c r="AC111" i="6" s="1"/>
  <c r="AB12" i="6"/>
  <c r="AB100" i="6" s="1"/>
  <c r="R21" i="6"/>
  <c r="R109" i="6" s="1"/>
  <c r="AK16" i="6"/>
  <c r="AK104" i="6" s="1"/>
  <c r="AK26" i="6"/>
  <c r="AK114" i="6" s="1"/>
  <c r="AM9" i="6"/>
  <c r="AM97" i="6" s="1"/>
  <c r="S14" i="6"/>
  <c r="S102" i="6" s="1"/>
  <c r="T3" i="6"/>
  <c r="T91" i="6" s="1"/>
  <c r="AP8" i="6"/>
  <c r="AP96" i="6" s="1"/>
  <c r="AP11" i="6"/>
  <c r="AP99" i="6" s="1"/>
  <c r="T21" i="6"/>
  <c r="T109" i="6" s="1"/>
  <c r="AK24" i="6"/>
  <c r="AK112" i="6" s="1"/>
  <c r="AE21" i="6"/>
  <c r="AE109" i="6" s="1"/>
  <c r="AI7" i="6"/>
  <c r="AI95" i="6" s="1"/>
  <c r="AL26" i="6"/>
  <c r="AL114" i="6" s="1"/>
  <c r="AM3" i="6"/>
  <c r="AM91" i="6" s="1"/>
  <c r="V4" i="6"/>
  <c r="V92" i="6" s="1"/>
  <c r="AH27" i="6"/>
  <c r="AH115" i="6" s="1"/>
  <c r="S16" i="6"/>
  <c r="S104" i="6" s="1"/>
  <c r="AG21" i="6"/>
  <c r="AG109" i="6" s="1"/>
  <c r="AN11" i="6"/>
  <c r="AN99" i="6" s="1"/>
  <c r="AI22" i="6"/>
  <c r="AI110" i="6" s="1"/>
  <c r="Z8" i="6"/>
  <c r="Z96" i="6" s="1"/>
  <c r="X20" i="6"/>
  <c r="X108" i="6" s="1"/>
  <c r="S21" i="6"/>
  <c r="S109" i="6" s="1"/>
  <c r="V14" i="6"/>
  <c r="V102" i="6" s="1"/>
  <c r="AE15" i="6"/>
  <c r="AE103" i="6" s="1"/>
  <c r="P21" i="6"/>
  <c r="P109" i="6" s="1"/>
  <c r="AI5" i="6"/>
  <c r="AI93" i="6" s="1"/>
  <c r="AI21" i="6"/>
  <c r="AI109" i="6" s="1"/>
  <c r="R20" i="6"/>
  <c r="R108" i="6" s="1"/>
  <c r="AL4" i="6"/>
  <c r="AL92" i="6" s="1"/>
  <c r="AE10" i="6"/>
  <c r="AE98" i="6" s="1"/>
  <c r="T23" i="6"/>
  <c r="T111" i="6" s="1"/>
  <c r="AL23" i="6"/>
  <c r="AL111" i="6" s="1"/>
  <c r="Q22" i="6"/>
  <c r="Q110" i="6" s="1"/>
  <c r="Y9" i="6"/>
  <c r="Y97" i="6" s="1"/>
  <c r="V17" i="6"/>
  <c r="V105" i="6" s="1"/>
  <c r="W9" i="6"/>
  <c r="W97" i="6" s="1"/>
  <c r="AF19" i="6"/>
  <c r="AF107" i="6" s="1"/>
  <c r="O17" i="6"/>
  <c r="O105" i="6" s="1"/>
  <c r="S24" i="6"/>
  <c r="S112" i="6" s="1"/>
  <c r="AF21" i="6"/>
  <c r="AF109" i="6" s="1"/>
  <c r="AO7" i="6"/>
  <c r="AO95" i="6" s="1"/>
  <c r="AM26" i="6"/>
  <c r="AM114" i="6" s="1"/>
  <c r="AN3" i="6"/>
  <c r="AN91" i="6" s="1"/>
  <c r="T4" i="6"/>
  <c r="T92" i="6" s="1"/>
  <c r="AG18" i="6"/>
  <c r="AG106" i="6" s="1"/>
  <c r="AK20" i="6"/>
  <c r="AK108" i="6" s="1"/>
  <c r="AJ20" i="6"/>
  <c r="AJ108" i="6" s="1"/>
  <c r="AM11" i="6"/>
  <c r="AM99" i="6" s="1"/>
  <c r="AM10" i="6"/>
  <c r="AM98" i="6" s="1"/>
  <c r="AK21" i="6"/>
  <c r="AK109" i="6" s="1"/>
  <c r="O27" i="6"/>
  <c r="O115" i="6" s="1"/>
  <c r="Q16" i="6"/>
  <c r="Q104" i="6" s="1"/>
  <c r="AB19" i="6"/>
  <c r="AB107" i="6" s="1"/>
  <c r="AA19" i="6"/>
  <c r="AA107" i="6" s="1"/>
  <c r="AB10" i="6"/>
  <c r="AB98" i="6" s="1"/>
  <c r="T20" i="6"/>
  <c r="T108" i="6" s="1"/>
  <c r="AN4" i="6"/>
  <c r="AN92" i="6" s="1"/>
  <c r="S19" i="6"/>
  <c r="S107" i="6" s="1"/>
  <c r="V19" i="6"/>
  <c r="V107" i="6" s="1"/>
  <c r="AQ3" i="6"/>
  <c r="AQ91" i="6" s="1"/>
  <c r="AJ9" i="6"/>
  <c r="AJ97" i="6" s="1"/>
  <c r="AC10" i="6"/>
  <c r="AC98" i="6" s="1"/>
  <c r="AP22" i="6"/>
  <c r="AP110" i="6" s="1"/>
  <c r="AB21" i="6"/>
  <c r="AB109" i="6" s="1"/>
  <c r="AD8" i="6"/>
  <c r="AD96" i="6" s="1"/>
  <c r="X17" i="6"/>
  <c r="X105" i="6" s="1"/>
  <c r="Q12" i="6"/>
  <c r="Q100" i="6" s="1"/>
  <c r="AG19" i="6"/>
  <c r="AG107" i="6" s="1"/>
  <c r="U20" i="6"/>
  <c r="U108" i="6" s="1"/>
  <c r="V24" i="6"/>
  <c r="V112" i="6" s="1"/>
  <c r="Y21" i="6"/>
  <c r="Y109" i="6" s="1"/>
  <c r="AF7" i="6"/>
  <c r="AF95" i="6" s="1"/>
  <c r="AN26" i="6"/>
  <c r="AN114" i="6" s="1"/>
  <c r="O3" i="6"/>
  <c r="O91" i="6" s="1"/>
  <c r="X4" i="6"/>
  <c r="X92" i="6" s="1"/>
  <c r="AD18" i="6"/>
  <c r="AD106" i="6" s="1"/>
  <c r="AI20" i="6"/>
  <c r="AI108" i="6" s="1"/>
  <c r="AJ14" i="6"/>
  <c r="AJ102" i="6" s="1"/>
  <c r="AD15" i="6"/>
  <c r="AD103" i="6" s="1"/>
  <c r="AJ10" i="6"/>
  <c r="AJ98" i="6" s="1"/>
  <c r="AN9" i="6"/>
  <c r="AN97" i="6" s="1"/>
  <c r="AJ26" i="6"/>
  <c r="AJ114" i="6" s="1"/>
  <c r="R13" i="6"/>
  <c r="R101" i="6" s="1"/>
  <c r="AN14" i="6"/>
  <c r="AN102" i="6" s="1"/>
  <c r="AK4" i="6"/>
  <c r="AK92" i="6" s="1"/>
  <c r="AH15" i="6"/>
  <c r="AH103" i="6" s="1"/>
  <c r="V10" i="6"/>
  <c r="V98" i="6" s="1"/>
  <c r="AL11" i="6"/>
  <c r="AL99" i="6" s="1"/>
  <c r="S9" i="6"/>
  <c r="S97" i="6" s="1"/>
  <c r="AI15" i="6"/>
  <c r="AI103" i="6" s="1"/>
  <c r="R16" i="6"/>
  <c r="R104" i="6" s="1"/>
  <c r="AG9" i="6"/>
  <c r="AG97" i="6" s="1"/>
  <c r="AF18" i="6"/>
  <c r="AF106" i="6" s="1"/>
  <c r="O16" i="6"/>
  <c r="O104" i="6" s="1"/>
  <c r="AC16" i="6"/>
  <c r="AC104" i="6" s="1"/>
  <c r="X19" i="6"/>
  <c r="X107" i="6" s="1"/>
  <c r="P4" i="6"/>
  <c r="P92" i="6" s="1"/>
  <c r="AE16" i="6"/>
  <c r="AE104" i="6" s="1"/>
  <c r="Z18" i="6"/>
  <c r="Z106" i="6" s="1"/>
  <c r="S3" i="6"/>
  <c r="S91" i="6" s="1"/>
  <c r="AO8" i="6"/>
  <c r="AO96" i="6" s="1"/>
  <c r="AH9" i="6"/>
  <c r="AH97" i="6" s="1"/>
  <c r="R22" i="6"/>
  <c r="R110" i="6" s="1"/>
  <c r="AJ19" i="6"/>
  <c r="AJ107" i="6" s="1"/>
  <c r="U16" i="6"/>
  <c r="U104" i="6" s="1"/>
  <c r="AG17" i="6"/>
  <c r="AG105" i="6" s="1"/>
  <c r="AI8" i="6"/>
  <c r="AI96" i="6" s="1"/>
  <c r="AH19" i="6"/>
  <c r="AH107" i="6" s="1"/>
  <c r="O24" i="6"/>
  <c r="O112" i="6" s="1"/>
  <c r="Z21" i="6"/>
  <c r="Z109" i="6" s="1"/>
  <c r="Q6" i="6"/>
  <c r="Q94" i="6" s="1"/>
  <c r="O26" i="6"/>
  <c r="O114" i="6" s="1"/>
  <c r="AB3" i="6"/>
  <c r="AB91" i="6" s="1"/>
  <c r="Y4" i="6"/>
  <c r="Y92" i="6" s="1"/>
  <c r="AG24" i="6"/>
  <c r="AG112" i="6" s="1"/>
  <c r="AJ23" i="6"/>
  <c r="AJ111" i="6" s="1"/>
  <c r="AP10" i="6"/>
  <c r="AP98" i="6" s="1"/>
  <c r="AO11" i="6"/>
  <c r="AO99" i="6" s="1"/>
  <c r="Y12" i="6"/>
  <c r="Y100" i="6" s="1"/>
  <c r="AJ16" i="6"/>
  <c r="AJ104" i="6" s="1"/>
  <c r="X23" i="6"/>
  <c r="X111" i="6" s="1"/>
  <c r="O14" i="6"/>
  <c r="O102" i="6" s="1"/>
  <c r="AL15" i="6"/>
  <c r="AL103" i="6" s="1"/>
  <c r="Z22" i="6"/>
  <c r="Z110" i="6" s="1"/>
  <c r="V7" i="6"/>
  <c r="V95" i="6" s="1"/>
  <c r="O8" i="6"/>
  <c r="O96" i="6" s="1"/>
  <c r="AC21" i="6"/>
  <c r="AC109" i="6" s="1"/>
  <c r="AB15" i="6"/>
  <c r="AB103" i="6" s="1"/>
  <c r="AQ10" i="6"/>
  <c r="AQ98" i="6" s="1"/>
  <c r="AI17" i="6"/>
  <c r="AI105" i="6" s="1"/>
  <c r="AE11" i="6"/>
  <c r="AE99" i="6" s="1"/>
  <c r="AN19" i="6"/>
  <c r="AN107" i="6" s="1"/>
  <c r="X24" i="6"/>
  <c r="X112" i="6" s="1"/>
  <c r="AM6" i="6"/>
  <c r="AM94" i="6" s="1"/>
  <c r="V26" i="6"/>
  <c r="V114" i="6" s="1"/>
  <c r="Q27" i="6"/>
  <c r="Q115" i="6" s="1"/>
  <c r="Z4" i="6"/>
  <c r="Z92" i="6" s="1"/>
  <c r="AJ12" i="6"/>
  <c r="AJ100" i="6" s="1"/>
  <c r="AH12" i="6"/>
  <c r="AH100" i="6" s="1"/>
  <c r="R10" i="6"/>
  <c r="R98" i="6" s="1"/>
  <c r="X11" i="6"/>
  <c r="X99" i="6" s="1"/>
  <c r="O6" i="6"/>
  <c r="O94" i="6" s="1"/>
  <c r="S26" i="6"/>
  <c r="S114" i="6" s="1"/>
  <c r="S27" i="6"/>
  <c r="S115" i="6" s="1"/>
  <c r="AQ4" i="6"/>
  <c r="AQ92" i="6" s="1"/>
  <c r="X9" i="6"/>
  <c r="X97" i="6" s="1"/>
  <c r="AE4" i="6"/>
  <c r="AE92" i="6" s="1"/>
  <c r="AH14" i="6"/>
  <c r="AH102" i="6" s="1"/>
  <c r="T11" i="6"/>
  <c r="T99" i="6" s="1"/>
  <c r="X14" i="6"/>
  <c r="X102" i="6" s="1"/>
  <c r="Z12" i="6"/>
  <c r="Z100" i="6" s="1"/>
  <c r="AI10" i="6"/>
  <c r="AI98" i="6" s="1"/>
  <c r="P15" i="6"/>
  <c r="P103" i="6" s="1"/>
  <c r="AF27" i="6"/>
  <c r="AF115" i="6" s="1"/>
  <c r="AP13" i="6"/>
  <c r="AP101" i="6" s="1"/>
  <c r="R14" i="6"/>
  <c r="R102" i="6" s="1"/>
  <c r="AH26" i="6"/>
  <c r="AH114" i="6" s="1"/>
  <c r="AF5" i="6"/>
  <c r="AF93" i="6" s="1"/>
  <c r="Y6" i="6"/>
  <c r="Y94" i="6" s="1"/>
  <c r="AK19" i="6"/>
  <c r="AK107" i="6" s="1"/>
  <c r="AE13" i="6"/>
  <c r="AE101" i="6" s="1"/>
  <c r="T16" i="6"/>
  <c r="T104" i="6" s="1"/>
  <c r="W17" i="6"/>
  <c r="W105" i="6" s="1"/>
  <c r="AI11" i="6"/>
  <c r="AI99" i="6" s="1"/>
  <c r="AM19" i="6"/>
  <c r="AM107" i="6" s="1"/>
  <c r="AA25" i="6"/>
  <c r="AA113" i="6" s="1"/>
  <c r="Z24" i="6"/>
  <c r="Z112" i="6" s="1"/>
  <c r="AL6" i="6"/>
  <c r="AL94" i="6" s="1"/>
  <c r="AA3" i="6"/>
  <c r="AA91" i="6" s="1"/>
  <c r="T27" i="6"/>
  <c r="T115" i="6" s="1"/>
  <c r="AJ4" i="6"/>
  <c r="AJ92" i="6" s="1"/>
  <c r="AE27" i="6"/>
  <c r="AE115" i="6" s="1"/>
  <c r="X26" i="6"/>
  <c r="X114" i="6" s="1"/>
  <c r="R19" i="6"/>
  <c r="R107" i="6" s="1"/>
  <c r="AH20" i="6"/>
  <c r="AH108" i="6" s="1"/>
  <c r="AN6" i="6"/>
  <c r="AN94" i="6" s="1"/>
  <c r="W3" i="6"/>
  <c r="W91" i="6" s="1"/>
  <c r="X27" i="6"/>
  <c r="X115" i="6" s="1"/>
  <c r="AP4" i="6"/>
  <c r="AP92" i="6" s="1"/>
  <c r="AN18" i="6"/>
  <c r="AN106" i="6" s="1"/>
  <c r="AL18" i="6"/>
  <c r="AL106" i="6" s="1"/>
  <c r="P19" i="6"/>
  <c r="P107" i="6" s="1"/>
  <c r="X15" i="6"/>
  <c r="X103" i="6" s="1"/>
  <c r="AN24" i="6"/>
  <c r="AN112" i="6" s="1"/>
  <c r="AO5" i="6"/>
  <c r="AO93" i="6" s="1"/>
  <c r="AC12" i="6"/>
  <c r="AC100" i="6" s="1"/>
  <c r="AL10" i="6"/>
  <c r="AL98" i="6" s="1"/>
  <c r="AA12" i="6"/>
  <c r="AA100" i="6" s="1"/>
  <c r="AO9" i="6"/>
  <c r="AO97" i="6" s="1"/>
  <c r="P9" i="6"/>
  <c r="P97" i="6" s="1"/>
  <c r="AI26" i="6"/>
  <c r="AI114" i="6" s="1"/>
  <c r="W12" i="6"/>
  <c r="W100" i="6" s="1"/>
  <c r="O13" i="6"/>
  <c r="O101" i="6" s="1"/>
  <c r="AP24" i="6"/>
  <c r="AP112" i="6" s="1"/>
  <c r="U23" i="6"/>
  <c r="U111" i="6" s="1"/>
  <c r="S7" i="6"/>
  <c r="S95" i="6" s="1"/>
  <c r="Q18" i="6"/>
  <c r="Q106" i="6" s="1"/>
  <c r="AA9" i="6"/>
  <c r="AA97" i="6" s="1"/>
  <c r="AN17" i="6"/>
  <c r="AN105" i="6" s="1"/>
  <c r="AL17" i="6"/>
  <c r="AL105" i="6" s="1"/>
  <c r="AJ11" i="6"/>
  <c r="AJ99" i="6" s="1"/>
  <c r="AM24" i="6"/>
  <c r="AM112" i="6" s="1"/>
  <c r="AB25" i="6"/>
  <c r="AB113" i="6" s="1"/>
  <c r="P24" i="6"/>
  <c r="P112" i="6" s="1"/>
  <c r="P6" i="6"/>
  <c r="P94" i="6" s="1"/>
  <c r="X3" i="6"/>
  <c r="X91" i="6" s="1"/>
  <c r="AA27" i="6"/>
  <c r="AA115" i="6" s="1"/>
  <c r="S4" i="6"/>
  <c r="S92" i="6" s="1"/>
  <c r="AG12" i="6"/>
  <c r="AG100" i="6" s="1"/>
  <c r="AC4" i="6"/>
  <c r="AC92" i="6" s="1"/>
  <c r="O19" i="6"/>
  <c r="O107" i="6" s="1"/>
  <c r="AK11" i="6"/>
  <c r="AK99" i="6" s="1"/>
  <c r="V6" i="6"/>
  <c r="V94" i="6" s="1"/>
  <c r="Y3" i="6"/>
  <c r="Y91" i="6" s="1"/>
  <c r="AB27" i="6"/>
  <c r="AB115" i="6" s="1"/>
  <c r="W4" i="6"/>
  <c r="W92" i="6" s="1"/>
  <c r="AF12" i="6"/>
  <c r="AF100" i="6" s="1"/>
  <c r="W26" i="6"/>
  <c r="W114" i="6" s="1"/>
  <c r="AH23" i="6"/>
  <c r="AH111" i="6" s="1"/>
  <c r="W11" i="6"/>
  <c r="W99" i="6" s="1"/>
  <c r="W24" i="6"/>
  <c r="W112" i="6" s="1"/>
  <c r="V21" i="6"/>
  <c r="V109" i="6" s="1"/>
  <c r="U6" i="6"/>
  <c r="U94" i="6" s="1"/>
  <c r="U26" i="6"/>
  <c r="U114" i="6" s="1"/>
  <c r="P27" i="6"/>
  <c r="P115" i="6" s="1"/>
  <c r="R4" i="6"/>
  <c r="R92" i="6" s="1"/>
  <c r="AD24" i="6"/>
  <c r="AD112" i="6" s="1"/>
  <c r="AI23" i="6"/>
  <c r="AI111" i="6" s="1"/>
  <c r="AI14" i="6"/>
  <c r="AI102" i="6" s="1"/>
  <c r="W15" i="6"/>
  <c r="W103" i="6" s="1"/>
  <c r="AN10" i="6"/>
  <c r="AN98" i="6" s="1"/>
  <c r="AF15" i="6"/>
  <c r="AF103" i="6" s="1"/>
  <c r="P16" i="6"/>
  <c r="P104" i="6" s="1"/>
  <c r="W14" i="6"/>
  <c r="W102" i="6" s="1"/>
  <c r="U9" i="6"/>
  <c r="U97" i="6" s="1"/>
  <c r="Z16" i="6"/>
  <c r="Z104" i="6" s="1"/>
  <c r="T15" i="6"/>
  <c r="T103" i="6" s="1"/>
  <c r="AD11" i="6"/>
  <c r="AD99" i="6" s="1"/>
  <c r="AP14" i="6"/>
  <c r="AP102" i="6" s="1"/>
  <c r="AG20" i="6"/>
  <c r="AG108" i="6" s="1"/>
  <c r="AL19" i="6"/>
  <c r="AL107" i="6" s="1"/>
  <c r="AA24" i="6"/>
  <c r="AA112" i="6" s="1"/>
  <c r="AE2" i="6"/>
  <c r="AE90" i="6" s="1"/>
  <c r="X6" i="6"/>
  <c r="X94" i="6" s="1"/>
  <c r="AC3" i="6"/>
  <c r="AC91" i="6" s="1"/>
  <c r="R27" i="6"/>
  <c r="R115" i="6" s="1"/>
  <c r="AD5" i="6"/>
  <c r="AD93" i="6" s="1"/>
  <c r="AB4" i="6"/>
  <c r="AB92" i="6" s="1"/>
  <c r="AC14" i="6"/>
  <c r="AC102" i="6" s="1"/>
  <c r="Q11" i="6"/>
  <c r="Q99" i="6" s="1"/>
  <c r="AF2" i="6"/>
  <c r="AF90" i="6" s="1"/>
  <c r="Z3" i="6"/>
  <c r="Z91" i="6" s="1"/>
  <c r="V27" i="6"/>
  <c r="V115" i="6" s="1"/>
  <c r="AQ5" i="6"/>
  <c r="AQ93" i="6" s="1"/>
  <c r="AJ18" i="6"/>
  <c r="AJ106" i="6" s="1"/>
  <c r="AG11" i="6"/>
  <c r="AG99" i="6" s="1"/>
  <c r="T13" i="6"/>
  <c r="T101" i="6" s="1"/>
  <c r="AB18" i="6"/>
  <c r="AB106" i="6" s="1"/>
  <c r="U3" i="6"/>
  <c r="U91" i="6" s="1"/>
  <c r="AM14" i="6"/>
  <c r="AM102" i="6" s="1"/>
  <c r="AH16" i="6"/>
  <c r="AH104" i="6" s="1"/>
  <c r="V23" i="6"/>
  <c r="V111" i="6" s="1"/>
  <c r="Q8" i="6"/>
  <c r="Q96" i="6" s="1"/>
  <c r="AM8" i="6"/>
  <c r="AM96" i="6" s="1"/>
  <c r="Z26" i="6"/>
  <c r="Z114" i="6" s="1"/>
  <c r="X16" i="6"/>
  <c r="X104" i="6" s="1"/>
  <c r="Y15" i="6"/>
  <c r="Y103" i="6" s="1"/>
  <c r="AH17" i="6"/>
  <c r="AH105" i="6" s="1"/>
  <c r="V11" i="6"/>
  <c r="V99" i="6" s="1"/>
  <c r="AI19" i="6"/>
  <c r="AI107" i="6" s="1"/>
  <c r="P18" i="6"/>
  <c r="P106" i="6" s="1"/>
  <c r="AC2" i="6"/>
  <c r="AC90" i="6" s="1"/>
  <c r="AO6" i="6"/>
  <c r="AO94" i="6" s="1"/>
  <c r="AP3" i="6"/>
  <c r="AP91" i="6" s="1"/>
  <c r="W27" i="6"/>
  <c r="W115" i="6" s="1"/>
  <c r="S5" i="6"/>
  <c r="S93" i="6" s="1"/>
  <c r="AJ24" i="6"/>
  <c r="AJ112" i="6" s="1"/>
  <c r="AI24" i="6"/>
  <c r="AI112" i="6" s="1"/>
  <c r="AJ13" i="6"/>
  <c r="AJ101" i="6" s="1"/>
  <c r="U11" i="6"/>
  <c r="U99" i="6" s="1"/>
  <c r="O18" i="6"/>
  <c r="O106" i="6" s="1"/>
  <c r="W6" i="6"/>
  <c r="W94" i="6" s="1"/>
  <c r="AI27" i="6"/>
  <c r="AI115" i="6" s="1"/>
  <c r="O5" i="6"/>
  <c r="O93" i="6" s="1"/>
  <c r="AO18" i="6"/>
  <c r="AO106" i="6" s="1"/>
  <c r="AD19" i="6"/>
  <c r="AD107" i="6" s="1"/>
  <c r="Q5" i="6"/>
  <c r="Q93" i="6" s="1"/>
  <c r="AH11" i="6"/>
  <c r="AH99" i="6" s="1"/>
  <c r="AK10" i="6"/>
  <c r="AK98" i="6" s="1"/>
  <c r="AM13" i="6"/>
  <c r="AM101" i="6" s="1"/>
  <c r="AB11" i="6"/>
  <c r="AB99" i="6" s="1"/>
  <c r="R24" i="6"/>
  <c r="R112" i="6" s="1"/>
  <c r="Y16" i="6"/>
  <c r="Y104" i="6" s="1"/>
  <c r="AF8" i="6"/>
  <c r="AF96" i="6" s="1"/>
  <c r="Q17" i="6"/>
  <c r="Q105" i="6" s="1"/>
  <c r="P12" i="6"/>
  <c r="P100" i="6" s="1"/>
  <c r="AP9" i="6"/>
  <c r="AP97" i="6" s="1"/>
  <c r="AK14" i="6"/>
  <c r="AK102" i="6" s="1"/>
  <c r="AG26" i="6"/>
  <c r="AG114" i="6" s="1"/>
  <c r="AM12" i="6"/>
  <c r="AM100" i="6" s="1"/>
  <c r="AH22" i="6"/>
  <c r="AH110" i="6" s="1"/>
  <c r="O10" i="6"/>
  <c r="O98" i="6" s="1"/>
  <c r="R9" i="6"/>
  <c r="R97" i="6" s="1"/>
  <c r="AA7" i="6"/>
  <c r="AA95" i="6" s="1"/>
  <c r="AE6" i="6"/>
  <c r="AE94" i="6" s="1"/>
  <c r="AM21" i="6"/>
  <c r="AM109" i="6" s="1"/>
  <c r="AL9" i="6"/>
  <c r="AL97" i="6" s="1"/>
  <c r="AL14" i="6"/>
  <c r="AL102" i="6" s="1"/>
  <c r="AJ21" i="6"/>
  <c r="AJ109" i="6" s="1"/>
  <c r="AK6" i="6"/>
  <c r="AK94" i="6" s="1"/>
  <c r="AO3" i="6"/>
  <c r="AO91" i="6" s="1"/>
  <c r="AC27" i="6"/>
  <c r="AC115" i="6" s="1"/>
  <c r="T5" i="6"/>
  <c r="T93" i="6" s="1"/>
  <c r="AH24" i="6"/>
  <c r="AH112" i="6" s="1"/>
  <c r="AF24" i="6"/>
  <c r="AF112" i="6" s="1"/>
  <c r="AF23" i="6"/>
  <c r="AF111" i="6" s="1"/>
  <c r="R11" i="6"/>
  <c r="R99" i="6" s="1"/>
  <c r="AO16" i="6"/>
  <c r="AO104" i="6" s="1"/>
  <c r="AD7" i="6"/>
  <c r="AD95" i="6" s="1"/>
  <c r="AM16" i="6"/>
  <c r="AM104" i="6" s="1"/>
  <c r="AG6" i="6"/>
  <c r="AG94" i="6" s="1"/>
  <c r="Z23" i="6"/>
  <c r="Z111" i="6" s="1"/>
  <c r="Q4" i="6"/>
  <c r="Q92" i="6" s="1"/>
  <c r="AQ13" i="6"/>
  <c r="AQ101" i="6" s="1"/>
  <c r="W19" i="6"/>
  <c r="W107" i="6" s="1"/>
  <c r="X7" i="6"/>
  <c r="X95" i="6" s="1"/>
  <c r="Q13" i="6"/>
  <c r="Q101" i="6" s="1"/>
  <c r="Y18" i="6"/>
  <c r="Y106" i="6" s="1"/>
  <c r="T19" i="6"/>
  <c r="T107" i="6" s="1"/>
  <c r="AQ11" i="6"/>
  <c r="AQ99" i="6" s="1"/>
  <c r="AK12" i="6"/>
  <c r="AK100" i="6" s="1"/>
  <c r="AA15" i="6"/>
  <c r="AA103" i="6" s="1"/>
  <c r="T17" i="6"/>
  <c r="T105" i="6" s="1"/>
  <c r="AQ22" i="6"/>
  <c r="AQ110" i="6" s="1"/>
  <c r="AA13" i="6"/>
  <c r="AA101" i="6" s="1"/>
  <c r="W20" i="6"/>
  <c r="W108" i="6" s="1"/>
  <c r="S18" i="6"/>
  <c r="S106" i="6" s="1"/>
  <c r="U2" i="6"/>
  <c r="U90" i="6" s="1"/>
  <c r="AI4" i="6"/>
  <c r="AI92" i="6" s="1"/>
  <c r="AL3" i="6"/>
  <c r="AL91" i="6" s="1"/>
  <c r="AL27" i="6"/>
  <c r="AL115" i="6" s="1"/>
  <c r="W5" i="6"/>
  <c r="W93" i="6" s="1"/>
  <c r="AE24" i="6"/>
  <c r="AE112" i="6" s="1"/>
  <c r="AB24" i="6"/>
  <c r="AB112" i="6" s="1"/>
  <c r="AB14" i="6"/>
  <c r="AB102" i="6" s="1"/>
  <c r="P11" i="6"/>
  <c r="P99" i="6" s="1"/>
  <c r="U21" i="6"/>
  <c r="U109" i="6" s="1"/>
  <c r="T9" i="6"/>
  <c r="T97" i="6" s="1"/>
  <c r="W8" i="6"/>
  <c r="W96" i="6" s="1"/>
  <c r="AF6" i="6"/>
  <c r="AF94" i="6" s="1"/>
  <c r="AJ5" i="6"/>
  <c r="AJ93" i="6" s="1"/>
  <c r="AE9" i="6"/>
  <c r="AE97" i="6" s="1"/>
  <c r="O21" i="6"/>
  <c r="O109" i="6" s="1"/>
  <c r="AQ8" i="6"/>
  <c r="AQ96" i="6" s="1"/>
  <c r="AJ2" i="6"/>
  <c r="AJ90" i="6" s="1"/>
  <c r="Q20" i="6"/>
  <c r="Q108" i="6" s="1"/>
  <c r="AN20" i="6"/>
  <c r="AN108" i="6" s="1"/>
  <c r="AG13" i="6"/>
  <c r="AG101" i="6" s="1"/>
  <c r="S22" i="6"/>
  <c r="S110" i="6" s="1"/>
  <c r="AG15" i="6"/>
  <c r="AG103" i="6" s="1"/>
  <c r="W22" i="6"/>
  <c r="W110" i="6" s="1"/>
  <c r="AQ23" i="6"/>
  <c r="AQ111" i="6" s="1"/>
  <c r="T18" i="6"/>
  <c r="T106" i="6" s="1"/>
  <c r="AG7" i="6"/>
  <c r="AG95" i="6" s="1"/>
  <c r="AK27" i="6"/>
  <c r="AK115" i="6" s="1"/>
  <c r="AE3" i="6"/>
  <c r="AE91" i="6" s="1"/>
  <c r="AN27" i="6"/>
  <c r="AN115" i="6" s="1"/>
  <c r="Z5" i="6"/>
  <c r="Z93" i="6" s="1"/>
  <c r="AC24" i="6"/>
  <c r="AC112" i="6" s="1"/>
  <c r="R12" i="6"/>
  <c r="R100" i="6" s="1"/>
  <c r="AI13" i="6"/>
  <c r="AI101" i="6" s="1"/>
  <c r="Y11" i="6"/>
  <c r="Y99" i="6" s="1"/>
  <c r="Y14" i="6"/>
  <c r="Y102" i="6" s="1"/>
  <c r="AN5" i="6"/>
  <c r="AN93" i="6" s="1"/>
  <c r="Z10" i="6"/>
  <c r="Z98" i="6" s="1"/>
  <c r="AA23" i="6"/>
  <c r="AA111" i="6" s="1"/>
  <c r="AO21" i="6"/>
  <c r="AO109" i="6" s="1"/>
  <c r="Y23" i="6"/>
  <c r="Y111" i="6" s="1"/>
  <c r="X12" i="6"/>
  <c r="X100" i="6" s="1"/>
  <c r="AI16" i="6"/>
  <c r="AI104" i="6" s="1"/>
  <c r="AH5" i="6"/>
  <c r="AH93" i="6" s="1"/>
  <c r="AA11" i="6"/>
  <c r="AA99" i="6" s="1"/>
  <c r="AK15" i="6"/>
  <c r="AK103" i="6" s="1"/>
  <c r="AJ15" i="6"/>
  <c r="AJ103" i="6" s="1"/>
  <c r="X10" i="6"/>
  <c r="X98" i="6" s="1"/>
  <c r="AB9" i="6"/>
  <c r="AB97" i="6" s="1"/>
  <c r="U10" i="6"/>
  <c r="U98" i="6" s="1"/>
  <c r="Z17" i="6"/>
  <c r="Z105" i="6" s="1"/>
  <c r="AM22" i="6"/>
  <c r="AM110" i="6" s="1"/>
  <c r="AH13" i="6"/>
  <c r="AH101" i="6" s="1"/>
  <c r="O23" i="6"/>
  <c r="O111" i="6" s="1"/>
  <c r="U18" i="6"/>
  <c r="U106" i="6" s="1"/>
  <c r="AC5" i="6"/>
  <c r="AC93" i="6" s="1"/>
  <c r="AC26" i="6"/>
  <c r="AC114" i="6" s="1"/>
  <c r="AF3" i="6"/>
  <c r="AF91" i="6" s="1"/>
  <c r="AO27" i="6"/>
  <c r="AO115" i="6" s="1"/>
  <c r="AA5" i="6"/>
  <c r="AA93" i="6" s="1"/>
  <c r="AI12" i="6"/>
  <c r="AI100" i="6" s="1"/>
  <c r="AA4" i="6"/>
  <c r="AA92" i="6" s="1"/>
  <c r="S23" i="6"/>
  <c r="S111" i="6" s="1"/>
  <c r="AF20" i="6"/>
  <c r="AF108" i="6" s="1"/>
  <c r="R6" i="6"/>
  <c r="R94" i="6" s="1"/>
  <c r="AP17" i="6"/>
  <c r="AP105" i="6" s="1"/>
  <c r="AE12" i="6"/>
  <c r="AE100" i="6" s="1"/>
  <c r="AC19" i="6"/>
  <c r="AC107" i="6" s="1"/>
  <c r="Y8" i="6"/>
  <c r="Y96" i="6" s="1"/>
  <c r="AB23" i="6"/>
  <c r="AB111" i="6" s="1"/>
  <c r="AB7" i="6"/>
  <c r="AB95" i="6" s="1"/>
  <c r="AK5" i="6"/>
  <c r="AK93" i="6" s="1"/>
  <c r="AO4" i="6"/>
  <c r="AO92" i="6" s="1"/>
  <c r="AD12" i="6"/>
  <c r="AD100" i="6" s="1"/>
  <c r="AG14" i="6"/>
  <c r="AG102" i="6" s="1"/>
  <c r="AP6" i="6"/>
  <c r="AP94" i="6" s="1"/>
  <c r="R17" i="6"/>
  <c r="R105" i="6" s="1"/>
  <c r="AL22" i="6"/>
  <c r="AL110" i="6" s="1"/>
  <c r="AQ12" i="6"/>
  <c r="AQ100" i="6" s="1"/>
  <c r="W18" i="6"/>
  <c r="W106" i="6" s="1"/>
  <c r="AE22" i="6"/>
  <c r="AE110" i="6" s="1"/>
  <c r="Q21" i="6"/>
  <c r="Q109" i="6" s="1"/>
  <c r="AC22" i="6"/>
  <c r="AC110" i="6" s="1"/>
  <c r="AC11" i="6"/>
  <c r="AC99" i="6" s="1"/>
  <c r="AM15" i="6"/>
  <c r="AM103" i="6" s="1"/>
  <c r="AM4" i="6"/>
  <c r="AM92" i="6" s="1"/>
  <c r="AF10" i="6"/>
  <c r="AF98" i="6" s="1"/>
  <c r="AO14" i="6"/>
  <c r="AO102" i="6" s="1"/>
  <c r="P14" i="6"/>
  <c r="P102" i="6" s="1"/>
  <c r="AC9" i="6"/>
  <c r="AC97" i="6" s="1"/>
  <c r="AG8" i="6"/>
  <c r="AG96" i="6" s="1"/>
  <c r="Z9" i="6"/>
  <c r="Z97" i="6" s="1"/>
  <c r="AA17" i="6"/>
  <c r="AA105" i="6" s="1"/>
  <c r="AK22" i="6"/>
  <c r="AK110" i="6" s="1"/>
  <c r="Z13" i="6"/>
  <c r="Z101" i="6" s="1"/>
  <c r="AM20" i="6"/>
  <c r="AM108" i="6" s="1"/>
  <c r="P23" i="6"/>
  <c r="P111" i="6" s="1"/>
  <c r="AH18" i="6"/>
  <c r="AH106" i="6" s="1"/>
  <c r="Q7" i="6"/>
  <c r="Q95" i="6" s="1"/>
  <c r="AP26" i="6"/>
  <c r="AP114" i="6" s="1"/>
  <c r="AG3" i="6"/>
  <c r="AG91" i="6" s="1"/>
  <c r="AP27" i="6"/>
  <c r="AP115" i="6" s="1"/>
  <c r="U5" i="6"/>
  <c r="U93" i="6" s="1"/>
  <c r="AF4" i="6"/>
  <c r="AF92" i="6" s="1"/>
  <c r="R26" i="6"/>
  <c r="R114" i="6" s="1"/>
  <c r="AA14" i="6"/>
  <c r="AA102" i="6" s="1"/>
  <c r="AE20" i="6"/>
  <c r="AE108" i="6" s="1"/>
  <c r="AK8" i="6"/>
  <c r="AK96" i="6" s="1"/>
  <c r="U4" i="6"/>
  <c r="U92" i="6" s="1"/>
  <c r="W13" i="6"/>
  <c r="W101" i="6" s="1"/>
  <c r="AP21" i="6"/>
  <c r="AP109" i="6" s="1"/>
  <c r="Y19" i="6"/>
  <c r="Y107" i="6" s="1"/>
  <c r="AG27" i="6"/>
  <c r="AG115" i="6" s="1"/>
  <c r="AH10" i="6"/>
  <c r="AH98" i="6" s="1"/>
  <c r="O15" i="6"/>
  <c r="O103" i="6" s="1"/>
  <c r="O4" i="6"/>
  <c r="O92" i="6" s="1"/>
  <c r="AK9" i="6"/>
  <c r="AK97" i="6" s="1"/>
  <c r="Q14" i="6"/>
  <c r="Q102" i="6" s="1"/>
  <c r="T12" i="6"/>
  <c r="T100" i="6" s="1"/>
  <c r="AH8" i="6"/>
  <c r="AH96" i="6" s="1"/>
  <c r="AL7" i="6"/>
  <c r="AL95" i="6" s="1"/>
  <c r="AE8" i="6"/>
  <c r="AE96" i="6" s="1"/>
  <c r="AB17" i="6"/>
  <c r="AB105" i="6" s="1"/>
  <c r="AJ22" i="6"/>
  <c r="AJ110" i="6" s="1"/>
  <c r="AL20" i="6"/>
  <c r="AL108" i="6" s="1"/>
  <c r="Q23" i="6"/>
  <c r="Q111" i="6" s="1"/>
  <c r="Q19" i="6"/>
  <c r="Q107" i="6" s="1"/>
  <c r="R7" i="6"/>
  <c r="R95" i="6" s="1"/>
  <c r="AA26" i="6"/>
  <c r="AA114" i="6" s="1"/>
  <c r="AD3" i="6"/>
  <c r="AD91" i="6" s="1"/>
  <c r="U27" i="6"/>
  <c r="U115" i="6" s="1"/>
  <c r="V5" i="6"/>
  <c r="V93" i="6" s="1"/>
  <c r="Y26" i="6"/>
  <c r="Y114" i="6" s="1"/>
  <c r="AI18" i="6"/>
  <c r="AI106" i="6" s="1"/>
  <c r="AD13" i="6"/>
  <c r="AD101" i="6" s="1"/>
  <c r="R23" i="6"/>
  <c r="R111" i="6" s="1"/>
  <c r="S20" i="6"/>
  <c r="S108" i="6" s="1"/>
  <c r="S8" i="6"/>
  <c r="S96" i="6" s="1"/>
  <c r="AO13" i="6"/>
  <c r="AO101" i="6" s="1"/>
  <c r="U19" i="6"/>
  <c r="U107" i="6" s="1"/>
  <c r="P20" i="6"/>
  <c r="P108" i="6" s="1"/>
  <c r="AL12" i="6"/>
  <c r="AL100" i="6" s="1"/>
  <c r="AF13" i="6"/>
  <c r="AF101" i="6" s="1"/>
  <c r="W16" i="6"/>
  <c r="W104" i="6" s="1"/>
  <c r="S17" i="6"/>
  <c r="S105" i="6" s="1"/>
  <c r="P22" i="6"/>
  <c r="P110" i="6" s="1"/>
  <c r="AC8" i="6"/>
  <c r="AC96" i="6" s="1"/>
  <c r="Y20" i="6"/>
  <c r="Y108" i="6" s="1"/>
  <c r="AE7" i="6"/>
  <c r="AE95" i="6" s="1"/>
  <c r="X13" i="6"/>
  <c r="X101" i="6" s="1"/>
  <c r="T14" i="6"/>
  <c r="T102" i="6" s="1"/>
  <c r="P17" i="6"/>
  <c r="P105" i="6" s="1"/>
  <c r="Q9" i="6"/>
  <c r="Q97" i="6" s="1"/>
  <c r="Y22" i="6"/>
  <c r="Y110" i="6" s="1"/>
  <c r="Q24" i="6"/>
  <c r="Q112" i="6" s="1"/>
  <c r="X8" i="6"/>
  <c r="X96" i="6" s="1"/>
  <c r="Z7" i="6"/>
  <c r="Z95" i="6" s="1"/>
  <c r="T24" i="6"/>
  <c r="T112" i="6" s="1"/>
  <c r="AL13" i="6"/>
  <c r="AL101" i="6" s="1"/>
  <c r="AA16" i="6"/>
  <c r="AA104" i="6" s="1"/>
  <c r="AC15" i="6"/>
  <c r="AC103" i="6" s="1"/>
  <c r="AK7" i="6"/>
  <c r="AK95" i="6" s="1"/>
  <c r="AO17" i="6"/>
  <c r="AO105" i="6" s="1"/>
  <c r="V22" i="6"/>
  <c r="V110" i="6" s="1"/>
  <c r="AH6" i="6"/>
  <c r="AH94" i="6" s="1"/>
  <c r="AF9" i="6"/>
  <c r="AF97" i="6" s="1"/>
  <c r="AO20" i="6"/>
  <c r="AO108" i="6" s="1"/>
  <c r="Y10" i="6"/>
  <c r="Y98" i="6" s="1"/>
  <c r="AG22" i="6"/>
  <c r="AG110" i="6" s="1"/>
  <c r="AQ9" i="6"/>
  <c r="AQ97" i="6" s="1"/>
  <c r="Z19" i="6"/>
  <c r="Z107" i="6" s="1"/>
  <c r="AO15" i="6"/>
  <c r="AO103" i="6" s="1"/>
  <c r="O9" i="6"/>
  <c r="O97" i="6" s="1"/>
  <c r="AH2" i="6"/>
  <c r="AH90" i="6" s="1"/>
  <c r="W23" i="6"/>
  <c r="W111" i="6" s="1"/>
  <c r="R8" i="6"/>
  <c r="R96" i="6" s="1"/>
  <c r="AN13" i="6"/>
  <c r="AN101" i="6" s="1"/>
  <c r="AI9" i="6"/>
  <c r="AI97" i="6" s="1"/>
  <c r="O7" i="6"/>
  <c r="O95" i="6" s="1"/>
  <c r="S6" i="6"/>
  <c r="S94" i="6" s="1"/>
  <c r="V16" i="6"/>
  <c r="V104" i="6" s="1"/>
  <c r="Y17" i="6"/>
  <c r="Y105" i="6" s="1"/>
  <c r="O22" i="6"/>
  <c r="O110" i="6" s="1"/>
  <c r="X18" i="6"/>
  <c r="X106" i="6" s="1"/>
  <c r="AP23" i="6"/>
  <c r="AP111" i="6" s="1"/>
  <c r="AM23" i="6"/>
  <c r="AM111" i="6" s="1"/>
  <c r="X21" i="6"/>
  <c r="X109" i="6" s="1"/>
  <c r="AP7" i="6"/>
  <c r="AP95" i="6" s="1"/>
  <c r="AD26" i="6"/>
  <c r="AD114" i="6" s="1"/>
  <c r="AJ3" i="6"/>
  <c r="AJ91" i="6" s="1"/>
  <c r="Z27" i="6"/>
  <c r="Z115" i="6" s="1"/>
  <c r="AP5" i="6"/>
  <c r="AP93" i="6" s="1"/>
  <c r="AK18" i="6"/>
  <c r="AK106" i="6" s="1"/>
  <c r="AE18" i="6"/>
  <c r="AE106" i="6" s="1"/>
  <c r="AB13" i="6"/>
  <c r="AB101" i="6" s="1"/>
  <c r="AD20" i="6"/>
  <c r="AD108" i="6" s="1"/>
  <c r="AP90" i="6"/>
  <c r="P113" i="6"/>
  <c r="AI113" i="6"/>
  <c r="AC113" i="6"/>
  <c r="AD113" i="6"/>
  <c r="AM113" i="6"/>
  <c r="AK113" i="6"/>
  <c r="AH113" i="6"/>
  <c r="T113" i="6"/>
  <c r="Z113" i="6"/>
  <c r="W113" i="6"/>
  <c r="R113" i="6"/>
  <c r="AN113" i="6"/>
  <c r="AF113" i="6"/>
  <c r="U113" i="6"/>
  <c r="AL113" i="6"/>
  <c r="AJ113" i="6"/>
  <c r="X113" i="6"/>
  <c r="Y113" i="6"/>
  <c r="AO113" i="6"/>
  <c r="AP113" i="6"/>
  <c r="S113" i="6"/>
  <c r="AG113" i="6"/>
  <c r="O113" i="6"/>
  <c r="Q113" i="6"/>
  <c r="AE113" i="6"/>
  <c r="AW133" i="6" l="1"/>
  <c r="O120" i="6"/>
  <c r="Y138" i="6"/>
  <c r="Q137" i="6"/>
  <c r="AP139" i="6"/>
  <c r="W140" i="6"/>
  <c r="BJ127" i="6"/>
  <c r="C96" i="6"/>
  <c r="A96" i="6" s="1"/>
  <c r="W124" i="6" s="1"/>
  <c r="BA135" i="6"/>
  <c r="AV120" i="6"/>
  <c r="T119" i="6"/>
  <c r="Q126" i="6"/>
  <c r="AZ126" i="6"/>
  <c r="W127" i="6"/>
  <c r="AW138" i="6"/>
  <c r="AP120" i="6"/>
  <c r="AU119" i="6"/>
  <c r="AF128" i="6"/>
  <c r="BD137" i="6"/>
  <c r="R128" i="6"/>
  <c r="Y128" i="6"/>
  <c r="W137" i="6"/>
  <c r="Y120" i="6"/>
  <c r="AL133" i="6"/>
  <c r="AP133" i="6"/>
  <c r="BI132" i="6"/>
  <c r="AG128" i="6"/>
  <c r="BH131" i="6"/>
  <c r="AM138" i="6"/>
  <c r="U128" i="6"/>
  <c r="BE132" i="6"/>
  <c r="AL137" i="6"/>
  <c r="AD137" i="6"/>
  <c r="BI120" i="6"/>
  <c r="BG132" i="6"/>
  <c r="S122" i="6"/>
  <c r="AZ138" i="6"/>
  <c r="P138" i="6"/>
  <c r="AS128" i="6"/>
  <c r="AI120" i="6"/>
  <c r="AK126" i="6"/>
  <c r="BI126" i="6"/>
  <c r="AY138" i="6"/>
  <c r="BJ138" i="6"/>
  <c r="AA130" i="6"/>
  <c r="Y140" i="6"/>
  <c r="AI119" i="6"/>
  <c r="AF136" i="6"/>
  <c r="BH138" i="6"/>
  <c r="X131" i="6"/>
  <c r="AN120" i="6"/>
  <c r="AB138" i="6"/>
  <c r="AF138" i="6"/>
  <c r="BE126" i="6"/>
  <c r="BE138" i="6"/>
  <c r="BF126" i="6"/>
  <c r="AU138" i="6"/>
  <c r="BD133" i="6"/>
  <c r="BB126" i="6"/>
  <c r="BB119" i="6"/>
  <c r="AO136" i="6"/>
  <c r="AL128" i="6"/>
  <c r="BJ126" i="6"/>
  <c r="AK125" i="6"/>
  <c r="AV126" i="6"/>
  <c r="BC133" i="6"/>
  <c r="BA126" i="6"/>
  <c r="BF119" i="6"/>
  <c r="AE125" i="6"/>
  <c r="AB126" i="6"/>
  <c r="BC132" i="6"/>
  <c r="AH122" i="6"/>
  <c r="AA127" i="6"/>
  <c r="AX132" i="6"/>
  <c r="AA120" i="6"/>
  <c r="S131" i="6"/>
  <c r="BA120" i="6"/>
  <c r="BC120" i="6"/>
  <c r="BJ137" i="6"/>
  <c r="AA126" i="6"/>
  <c r="BJ120" i="6"/>
  <c r="Q125" i="6"/>
  <c r="AT128" i="6"/>
  <c r="AB120" i="6"/>
  <c r="U135" i="6"/>
  <c r="AM140" i="6"/>
  <c r="AV133" i="6"/>
  <c r="AV119" i="6"/>
  <c r="AL140" i="6"/>
  <c r="BF134" i="6"/>
  <c r="AR119" i="6"/>
  <c r="AB127" i="6"/>
  <c r="Q132" i="6"/>
  <c r="AX127" i="6"/>
  <c r="W119" i="6"/>
  <c r="AK132" i="6"/>
  <c r="C99" i="6"/>
  <c r="A99" i="6" s="1"/>
  <c r="AI130" i="6"/>
  <c r="X133" i="6"/>
  <c r="BI128" i="6"/>
  <c r="BA128" i="6"/>
  <c r="T128" i="6"/>
  <c r="AC127" i="6"/>
  <c r="R126" i="6"/>
  <c r="AD140" i="6"/>
  <c r="BJ128" i="6"/>
  <c r="AM133" i="6"/>
  <c r="X128" i="6"/>
  <c r="AE128" i="6"/>
  <c r="AK127" i="6"/>
  <c r="AA132" i="6"/>
  <c r="Y135" i="6"/>
  <c r="AO137" i="6"/>
  <c r="AL130" i="6"/>
  <c r="AJ135" i="6"/>
  <c r="Y133" i="6"/>
  <c r="BE133" i="6"/>
  <c r="Q130" i="6"/>
  <c r="AE132" i="6"/>
  <c r="AI135" i="6"/>
  <c r="BD128" i="6"/>
  <c r="C93" i="6"/>
  <c r="A93" i="6" s="1"/>
  <c r="AR121" i="6" s="1"/>
  <c r="AC119" i="6"/>
  <c r="BE135" i="6"/>
  <c r="AM135" i="6"/>
  <c r="AP130" i="6"/>
  <c r="AS130" i="6"/>
  <c r="BI140" i="6"/>
  <c r="AT127" i="6"/>
  <c r="AP137" i="6"/>
  <c r="AO126" i="6"/>
  <c r="AL135" i="6"/>
  <c r="AJ128" i="6"/>
  <c r="AP135" i="6"/>
  <c r="AK133" i="6"/>
  <c r="X140" i="6"/>
  <c r="AU127" i="6"/>
  <c r="W126" i="6"/>
  <c r="AD136" i="6"/>
  <c r="AJ130" i="6"/>
  <c r="Q128" i="6"/>
  <c r="BI127" i="6"/>
  <c r="AN130" i="6"/>
  <c r="AE127" i="6"/>
  <c r="BI130" i="6"/>
  <c r="AE134" i="6"/>
  <c r="AV128" i="6"/>
  <c r="AS135" i="6"/>
  <c r="AT140" i="6"/>
  <c r="AF119" i="6"/>
  <c r="AK128" i="6"/>
  <c r="AG127" i="6"/>
  <c r="AU135" i="6"/>
  <c r="Z128" i="6"/>
  <c r="AU130" i="6"/>
  <c r="BA140" i="6"/>
  <c r="AE135" i="6"/>
  <c r="AF140" i="6"/>
  <c r="Z143" i="6"/>
  <c r="BF137" i="6"/>
  <c r="W130" i="6"/>
  <c r="AX133" i="6"/>
  <c r="AM130" i="6"/>
  <c r="AI140" i="6"/>
  <c r="P130" i="6"/>
  <c r="R140" i="6"/>
  <c r="BJ133" i="6"/>
  <c r="V140" i="6"/>
  <c r="AE140" i="6"/>
  <c r="AB132" i="6"/>
  <c r="AO127" i="6"/>
  <c r="AE126" i="6"/>
  <c r="AN129" i="6"/>
  <c r="Y127" i="6"/>
  <c r="AQ128" i="6"/>
  <c r="AH130" i="6"/>
  <c r="AH140" i="6"/>
  <c r="AS127" i="6"/>
  <c r="BJ140" i="6"/>
  <c r="AB128" i="6"/>
  <c r="U137" i="6"/>
  <c r="AA140" i="6"/>
  <c r="W133" i="6"/>
  <c r="O130" i="6"/>
  <c r="AM119" i="6"/>
  <c r="AM128" i="6"/>
  <c r="Z119" i="6"/>
  <c r="AO133" i="6"/>
  <c r="AZ135" i="6"/>
  <c r="AD127" i="6"/>
  <c r="C102" i="6"/>
  <c r="A102" i="6" s="1"/>
  <c r="BF140" i="6"/>
  <c r="BF127" i="6"/>
  <c r="Q140" i="6"/>
  <c r="AP123" i="6"/>
  <c r="AC140" i="6"/>
  <c r="AC128" i="6"/>
  <c r="S126" i="6"/>
  <c r="AQ119" i="6"/>
  <c r="AK137" i="6"/>
  <c r="BC135" i="6"/>
  <c r="AV130" i="6"/>
  <c r="AR140" i="6"/>
  <c r="P126" i="6"/>
  <c r="BE137" i="6"/>
  <c r="AD130" i="6"/>
  <c r="Z135" i="6"/>
  <c r="AF133" i="6"/>
  <c r="AP140" i="6"/>
  <c r="AK119" i="6"/>
  <c r="AC135" i="6"/>
  <c r="AH127" i="6"/>
  <c r="AQ127" i="6"/>
  <c r="AG135" i="6"/>
  <c r="AW127" i="6"/>
  <c r="AN126" i="6"/>
  <c r="BG135" i="6"/>
  <c r="AG126" i="6"/>
  <c r="AQ135" i="6"/>
  <c r="Y137" i="6"/>
  <c r="AD128" i="6"/>
  <c r="BF130" i="6"/>
  <c r="BE140" i="6"/>
  <c r="Y126" i="6"/>
  <c r="C109" i="6"/>
  <c r="A109" i="6" s="1"/>
  <c r="AI128" i="6"/>
  <c r="BB133" i="6"/>
  <c r="Q135" i="6"/>
  <c r="AU128" i="6"/>
  <c r="AF127" i="6"/>
  <c r="AX140" i="6"/>
  <c r="U127" i="6"/>
  <c r="AX126" i="6"/>
  <c r="BH126" i="6"/>
  <c r="AK130" i="6"/>
  <c r="BD135" i="6"/>
  <c r="AH135" i="6"/>
  <c r="AY130" i="6"/>
  <c r="C112" i="6"/>
  <c r="A112" i="6" s="1"/>
  <c r="AF132" i="6"/>
  <c r="BI137" i="6"/>
  <c r="BA133" i="6"/>
  <c r="AF135" i="6"/>
  <c r="AG132" i="6"/>
  <c r="U140" i="6"/>
  <c r="AB130" i="6"/>
  <c r="AJ140" i="6"/>
  <c r="AD135" i="6"/>
  <c r="V137" i="6"/>
  <c r="AO140" i="6"/>
  <c r="AY119" i="6"/>
  <c r="BD130" i="6"/>
  <c r="BE139" i="6"/>
  <c r="AL143" i="6"/>
  <c r="Q134" i="6"/>
  <c r="T127" i="6"/>
  <c r="V123" i="6"/>
  <c r="AI136" i="6"/>
  <c r="AB135" i="6"/>
  <c r="AL120" i="6"/>
  <c r="AN128" i="6"/>
  <c r="AE136" i="6"/>
  <c r="Z129" i="6"/>
  <c r="AB123" i="6"/>
  <c r="AJ131" i="6"/>
  <c r="AG131" i="6"/>
  <c r="Q129" i="6"/>
  <c r="R125" i="6"/>
  <c r="AJ129" i="6"/>
  <c r="AH132" i="6"/>
  <c r="X122" i="6"/>
  <c r="Z138" i="6"/>
  <c r="S119" i="6"/>
  <c r="AD134" i="6"/>
  <c r="R136" i="6"/>
  <c r="S130" i="6"/>
  <c r="O126" i="6"/>
  <c r="Q131" i="6"/>
  <c r="AM143" i="6"/>
  <c r="O138" i="6"/>
  <c r="AT138" i="6"/>
  <c r="AS138" i="6"/>
  <c r="BA138" i="6"/>
  <c r="AV138" i="6"/>
  <c r="BF138" i="6"/>
  <c r="BI138" i="6"/>
  <c r="BD138" i="6"/>
  <c r="AR138" i="6"/>
  <c r="BC138" i="6"/>
  <c r="T138" i="6"/>
  <c r="AX138" i="6"/>
  <c r="BG138" i="6"/>
  <c r="BB138" i="6"/>
  <c r="AH139" i="6"/>
  <c r="U139" i="6"/>
  <c r="AJ120" i="6"/>
  <c r="AE120" i="6"/>
  <c r="AL131" i="6"/>
  <c r="X120" i="6"/>
  <c r="AR143" i="6"/>
  <c r="AX143" i="6"/>
  <c r="BB143" i="6"/>
  <c r="BD143" i="6"/>
  <c r="BA143" i="6"/>
  <c r="BF143" i="6"/>
  <c r="AQ143" i="6"/>
  <c r="BJ143" i="6"/>
  <c r="AS143" i="6"/>
  <c r="AV143" i="6"/>
  <c r="AJ143" i="6"/>
  <c r="AW143" i="6"/>
  <c r="AT143" i="6"/>
  <c r="AI137" i="6"/>
  <c r="AQ123" i="6"/>
  <c r="AH123" i="6"/>
  <c r="AC136" i="6"/>
  <c r="AN143" i="6"/>
  <c r="AL134" i="6"/>
  <c r="Z122" i="6"/>
  <c r="P143" i="6"/>
  <c r="R122" i="6"/>
  <c r="AV129" i="6"/>
  <c r="AV122" i="6"/>
  <c r="BA131" i="6"/>
  <c r="AD123" i="6"/>
  <c r="AO139" i="6"/>
  <c r="R129" i="6"/>
  <c r="BD122" i="6"/>
  <c r="BJ131" i="6"/>
  <c r="AJ139" i="6"/>
  <c r="Z131" i="6"/>
  <c r="BB136" i="6"/>
  <c r="X129" i="6"/>
  <c r="AY143" i="6"/>
  <c r="BA122" i="6"/>
  <c r="BC131" i="6"/>
  <c r="P129" i="6"/>
  <c r="AD119" i="6"/>
  <c r="AI129" i="6"/>
  <c r="AM129" i="6"/>
  <c r="U119" i="6"/>
  <c r="T143" i="6"/>
  <c r="BJ130" i="6"/>
  <c r="BH130" i="6"/>
  <c r="Z130" i="6"/>
  <c r="AQ130" i="6"/>
  <c r="BG130" i="6"/>
  <c r="AO130" i="6"/>
  <c r="AW130" i="6"/>
  <c r="BE130" i="6"/>
  <c r="AX130" i="6"/>
  <c r="AZ130" i="6"/>
  <c r="AT130" i="6"/>
  <c r="BC130" i="6"/>
  <c r="AR130" i="6"/>
  <c r="BB130" i="6"/>
  <c r="BA130" i="6"/>
  <c r="AZ119" i="6"/>
  <c r="BE119" i="6"/>
  <c r="BH119" i="6"/>
  <c r="BI119" i="6"/>
  <c r="R119" i="6"/>
  <c r="O119" i="6"/>
  <c r="AX119" i="6"/>
  <c r="BD119" i="6"/>
  <c r="BC119" i="6"/>
  <c r="BG119" i="6"/>
  <c r="BA119" i="6"/>
  <c r="AT119" i="6"/>
  <c r="C91" i="6"/>
  <c r="A91" i="6" s="1"/>
  <c r="AS119" i="6"/>
  <c r="BJ119" i="6"/>
  <c r="AI122" i="6"/>
  <c r="AL132" i="6"/>
  <c r="Q119" i="6"/>
  <c r="AU143" i="6"/>
  <c r="AK136" i="6"/>
  <c r="BE143" i="6"/>
  <c r="AZ122" i="6"/>
  <c r="U136" i="6"/>
  <c r="BB131" i="6"/>
  <c r="AS136" i="6"/>
  <c r="AF139" i="6"/>
  <c r="AB134" i="6"/>
  <c r="AW129" i="6"/>
  <c r="BH129" i="6"/>
  <c r="BC129" i="6"/>
  <c r="AZ129" i="6"/>
  <c r="BJ129" i="6"/>
  <c r="AY129" i="6"/>
  <c r="BD129" i="6"/>
  <c r="BE129" i="6"/>
  <c r="AX129" i="6"/>
  <c r="BG129" i="6"/>
  <c r="BI129" i="6"/>
  <c r="AA119" i="6"/>
  <c r="AQ120" i="6"/>
  <c r="X139" i="6"/>
  <c r="Q120" i="6"/>
  <c r="AT120" i="6"/>
  <c r="P120" i="6"/>
  <c r="AO120" i="6"/>
  <c r="AR120" i="6"/>
  <c r="AM126" i="6"/>
  <c r="P137" i="6"/>
  <c r="U131" i="6"/>
  <c r="AE139" i="6"/>
  <c r="AM134" i="6"/>
  <c r="P123" i="6"/>
  <c r="V139" i="6"/>
  <c r="Y134" i="6"/>
  <c r="BB129" i="6"/>
  <c r="AT122" i="6"/>
  <c r="AA133" i="6"/>
  <c r="AE138" i="6"/>
  <c r="AG129" i="6"/>
  <c r="S134" i="6"/>
  <c r="T129" i="6"/>
  <c r="W120" i="6"/>
  <c r="W128" i="6"/>
  <c r="AL122" i="6"/>
  <c r="AJ132" i="6"/>
  <c r="X135" i="6"/>
  <c r="AF123" i="6"/>
  <c r="AM127" i="6"/>
  <c r="AE131" i="6"/>
  <c r="R137" i="6"/>
  <c r="R134" i="6"/>
  <c r="BA123" i="6"/>
  <c r="BJ123" i="6"/>
  <c r="AV123" i="6"/>
  <c r="AR123" i="6"/>
  <c r="AT123" i="6"/>
  <c r="BH123" i="6"/>
  <c r="O123" i="6"/>
  <c r="X123" i="6"/>
  <c r="AG123" i="6"/>
  <c r="BC123" i="6"/>
  <c r="AS123" i="6"/>
  <c r="BF123" i="6"/>
  <c r="BI123" i="6"/>
  <c r="C95" i="6"/>
  <c r="A95" i="6" s="1"/>
  <c r="Z140" i="6"/>
  <c r="AC132" i="6"/>
  <c r="AJ136" i="6"/>
  <c r="V130" i="6"/>
  <c r="AO135" i="6"/>
  <c r="Y143" i="6"/>
  <c r="AN139" i="6"/>
  <c r="AJ134" i="6"/>
  <c r="C115" i="6"/>
  <c r="A115" i="6" s="1"/>
  <c r="BG122" i="6"/>
  <c r="AW131" i="6"/>
  <c r="BD134" i="6"/>
  <c r="BH143" i="6"/>
  <c r="W125" i="6"/>
  <c r="X136" i="6"/>
  <c r="BI131" i="6"/>
  <c r="AA139" i="6"/>
  <c r="BA125" i="6"/>
  <c r="Z136" i="6"/>
  <c r="V138" i="6"/>
  <c r="P133" i="6"/>
  <c r="R123" i="6"/>
  <c r="AW120" i="6"/>
  <c r="AN136" i="6"/>
  <c r="AQ129" i="6"/>
  <c r="Y119" i="6"/>
  <c r="P125" i="6"/>
  <c r="BF122" i="6"/>
  <c r="AS122" i="6"/>
  <c r="BH122" i="6"/>
  <c r="O122" i="6"/>
  <c r="AW122" i="6"/>
  <c r="BE122" i="6"/>
  <c r="AX122" i="6"/>
  <c r="BI122" i="6"/>
  <c r="BJ122" i="6"/>
  <c r="C94" i="6"/>
  <c r="A94" i="6" s="1"/>
  <c r="BC122" i="6"/>
  <c r="AY122" i="6"/>
  <c r="BB122" i="6"/>
  <c r="AU122" i="6"/>
  <c r="BH132" i="6"/>
  <c r="AS132" i="6"/>
  <c r="BJ132" i="6"/>
  <c r="AZ132" i="6"/>
  <c r="AW132" i="6"/>
  <c r="AI132" i="6"/>
  <c r="C104" i="6"/>
  <c r="A104" i="6" s="1"/>
  <c r="O132" i="6"/>
  <c r="W132" i="6"/>
  <c r="BA132" i="6"/>
  <c r="AU132" i="6"/>
  <c r="AP132" i="6"/>
  <c r="BB132" i="6"/>
  <c r="BF132" i="6"/>
  <c r="AR132" i="6"/>
  <c r="AY132" i="6"/>
  <c r="S137" i="6"/>
  <c r="AC139" i="6"/>
  <c r="AN132" i="6"/>
  <c r="AH119" i="6"/>
  <c r="V134" i="6"/>
  <c r="T131" i="6"/>
  <c r="AO125" i="6"/>
  <c r="X127" i="6"/>
  <c r="AP126" i="6"/>
  <c r="V129" i="6"/>
  <c r="AE133" i="6"/>
  <c r="AG143" i="6"/>
  <c r="AZ143" i="6"/>
  <c r="AG134" i="6"/>
  <c r="AC138" i="6"/>
  <c r="S139" i="6"/>
  <c r="BC125" i="6"/>
  <c r="AJ123" i="6"/>
  <c r="T130" i="6"/>
  <c r="AO129" i="6"/>
  <c r="AR131" i="6"/>
  <c r="U134" i="6"/>
  <c r="Q136" i="6"/>
  <c r="AA129" i="6"/>
  <c r="V143" i="6"/>
  <c r="Z132" i="6"/>
  <c r="AA128" i="6"/>
  <c r="AI127" i="6"/>
  <c r="T120" i="6"/>
  <c r="AN123" i="6"/>
  <c r="P136" i="6"/>
  <c r="BD136" i="6"/>
  <c r="BC136" i="6"/>
  <c r="AZ136" i="6"/>
  <c r="BH136" i="6"/>
  <c r="AV136" i="6"/>
  <c r="AQ136" i="6"/>
  <c r="BG136" i="6"/>
  <c r="AT136" i="6"/>
  <c r="BA136" i="6"/>
  <c r="BJ136" i="6"/>
  <c r="BI136" i="6"/>
  <c r="AY136" i="6"/>
  <c r="BF136" i="6"/>
  <c r="O136" i="6"/>
  <c r="P122" i="6"/>
  <c r="AX131" i="6"/>
  <c r="AO143" i="6"/>
  <c r="AY134" i="6"/>
  <c r="U143" i="6"/>
  <c r="BC143" i="6"/>
  <c r="X134" i="6"/>
  <c r="AF131" i="6"/>
  <c r="AV131" i="6"/>
  <c r="AU136" i="6"/>
  <c r="BB125" i="6"/>
  <c r="U138" i="6"/>
  <c r="AX134" i="6"/>
  <c r="AC131" i="6"/>
  <c r="AV134" i="6"/>
  <c r="AH138" i="6"/>
  <c r="AK138" i="6"/>
  <c r="O143" i="6"/>
  <c r="AK143" i="6"/>
  <c r="AG136" i="6"/>
  <c r="BG139" i="6"/>
  <c r="O125" i="6"/>
  <c r="AM123" i="6"/>
  <c r="W143" i="6"/>
  <c r="W139" i="6"/>
  <c r="U125" i="6"/>
  <c r="BI135" i="6"/>
  <c r="BJ135" i="6"/>
  <c r="BB135" i="6"/>
  <c r="O135" i="6"/>
  <c r="AY135" i="6"/>
  <c r="AR135" i="6"/>
  <c r="AV135" i="6"/>
  <c r="W135" i="6"/>
  <c r="AW135" i="6"/>
  <c r="AT135" i="6"/>
  <c r="AX135" i="6"/>
  <c r="BH135" i="6"/>
  <c r="BF135" i="6"/>
  <c r="C107" i="6"/>
  <c r="A107" i="6" s="1"/>
  <c r="AL126" i="6"/>
  <c r="AH128" i="6"/>
  <c r="AG140" i="6"/>
  <c r="R132" i="6"/>
  <c r="AR128" i="6"/>
  <c r="AZ128" i="6"/>
  <c r="BH128" i="6"/>
  <c r="AY128" i="6"/>
  <c r="O128" i="6"/>
  <c r="AN119" i="6"/>
  <c r="AI138" i="6"/>
  <c r="S128" i="6"/>
  <c r="AK139" i="6"/>
  <c r="AD133" i="6"/>
  <c r="AK123" i="6"/>
  <c r="Q139" i="6"/>
  <c r="AH126" i="6"/>
  <c r="AP143" i="6"/>
  <c r="BD139" i="6"/>
  <c r="Z139" i="6"/>
  <c r="AK122" i="6"/>
  <c r="AP119" i="6"/>
  <c r="AC120" i="6"/>
  <c r="T132" i="6"/>
  <c r="AI131" i="6"/>
  <c r="AN127" i="6"/>
  <c r="AC129" i="6"/>
  <c r="AJ133" i="6"/>
  <c r="AG139" i="6"/>
  <c r="C108" i="6"/>
  <c r="A108" i="6" s="1"/>
  <c r="BG143" i="6"/>
  <c r="AJ122" i="6"/>
  <c r="AR122" i="6"/>
  <c r="C97" i="6"/>
  <c r="A97" i="6" s="1"/>
  <c r="AW134" i="6"/>
  <c r="BI143" i="6"/>
  <c r="AW136" i="6"/>
  <c r="AA122" i="6"/>
  <c r="AX139" i="6"/>
  <c r="AT125" i="6"/>
  <c r="P134" i="6"/>
  <c r="AT134" i="6"/>
  <c r="V132" i="6"/>
  <c r="AY120" i="6"/>
  <c r="AC143" i="6"/>
  <c r="AF134" i="6"/>
  <c r="BB139" i="6"/>
  <c r="AQ132" i="6"/>
  <c r="AZ125" i="6"/>
  <c r="AM125" i="6"/>
  <c r="S138" i="6"/>
  <c r="O137" i="6"/>
  <c r="AU137" i="6"/>
  <c r="BG137" i="6"/>
  <c r="AV137" i="6"/>
  <c r="BA137" i="6"/>
  <c r="AS137" i="6"/>
  <c r="BC137" i="6"/>
  <c r="AR137" i="6"/>
  <c r="AW137" i="6"/>
  <c r="AZ137" i="6"/>
  <c r="AT137" i="6"/>
  <c r="BH137" i="6"/>
  <c r="AH137" i="6"/>
  <c r="AQ137" i="6"/>
  <c r="AY137" i="6"/>
  <c r="P132" i="6"/>
  <c r="Z120" i="6"/>
  <c r="AB119" i="6"/>
  <c r="S125" i="6"/>
  <c r="AO123" i="6"/>
  <c r="T126" i="6"/>
  <c r="C106" i="6"/>
  <c r="A106" i="6" s="1"/>
  <c r="AP125" i="6"/>
  <c r="AH136" i="6"/>
  <c r="AL123" i="6"/>
  <c r="S136" i="6"/>
  <c r="AL136" i="6"/>
  <c r="AG119" i="6"/>
  <c r="R133" i="6"/>
  <c r="AE119" i="6"/>
  <c r="T133" i="6"/>
  <c r="AJ137" i="6"/>
  <c r="AO134" i="6"/>
  <c r="AO122" i="6"/>
  <c r="S120" i="6"/>
  <c r="AN140" i="6"/>
  <c r="AK135" i="6"/>
  <c r="C114" i="6"/>
  <c r="A114" i="6" s="1"/>
  <c r="AS142" i="6" s="1"/>
  <c r="AL127" i="6"/>
  <c r="AB137" i="6"/>
  <c r="AF137" i="6"/>
  <c r="S132" i="6"/>
  <c r="U133" i="6"/>
  <c r="AF130" i="6"/>
  <c r="AB136" i="6"/>
  <c r="T122" i="6"/>
  <c r="AB129" i="6"/>
  <c r="Q122" i="6"/>
  <c r="V126" i="6"/>
  <c r="AP138" i="6"/>
  <c r="S140" i="6"/>
  <c r="AE130" i="6"/>
  <c r="AD120" i="6"/>
  <c r="T123" i="6"/>
  <c r="AB122" i="6"/>
  <c r="AX136" i="6"/>
  <c r="AJ138" i="6"/>
  <c r="AF122" i="6"/>
  <c r="AM132" i="6"/>
  <c r="BG134" i="6"/>
  <c r="AC130" i="6"/>
  <c r="W131" i="6"/>
  <c r="X119" i="6"/>
  <c r="P135" i="6"/>
  <c r="AM122" i="6"/>
  <c r="Z137" i="6"/>
  <c r="AH131" i="6"/>
  <c r="AC126" i="6"/>
  <c r="C105" i="6"/>
  <c r="A105" i="6" s="1"/>
  <c r="BG133" i="6"/>
  <c r="O133" i="6"/>
  <c r="AT133" i="6"/>
  <c r="AQ133" i="6"/>
  <c r="BF133" i="6"/>
  <c r="AZ133" i="6"/>
  <c r="BI133" i="6"/>
  <c r="BH133" i="6"/>
  <c r="AR133" i="6"/>
  <c r="AS133" i="6"/>
  <c r="AY133" i="6"/>
  <c r="AU133" i="6"/>
  <c r="V120" i="6"/>
  <c r="AC133" i="6"/>
  <c r="AG122" i="6"/>
  <c r="T139" i="6"/>
  <c r="AA143" i="6"/>
  <c r="AK134" i="6"/>
  <c r="AU140" i="6"/>
  <c r="BG140" i="6"/>
  <c r="BB140" i="6"/>
  <c r="AQ140" i="6"/>
  <c r="BH140" i="6"/>
  <c r="AW140" i="6"/>
  <c r="AV140" i="6"/>
  <c r="BD140" i="6"/>
  <c r="AY140" i="6"/>
  <c r="BC140" i="6"/>
  <c r="AZ140" i="6"/>
  <c r="O140" i="6"/>
  <c r="AS140" i="6"/>
  <c r="AK120" i="6"/>
  <c r="AJ125" i="6"/>
  <c r="S127" i="6"/>
  <c r="Z127" i="6"/>
  <c r="AD143" i="6"/>
  <c r="AS129" i="6"/>
  <c r="S143" i="6"/>
  <c r="BH139" i="6"/>
  <c r="AO131" i="6"/>
  <c r="Y136" i="6"/>
  <c r="R139" i="6"/>
  <c r="AP122" i="6"/>
  <c r="BI134" i="6"/>
  <c r="AR129" i="6"/>
  <c r="AD138" i="6"/>
  <c r="AB133" i="6"/>
  <c r="BG123" i="6"/>
  <c r="BC139" i="6"/>
  <c r="BD132" i="6"/>
  <c r="AG137" i="6"/>
  <c r="AP131" i="6"/>
  <c r="AK129" i="6"/>
  <c r="W134" i="6"/>
  <c r="AC123" i="6"/>
  <c r="BA129" i="6"/>
  <c r="BG120" i="6"/>
  <c r="AE129" i="6"/>
  <c r="AF120" i="6"/>
  <c r="Q143" i="6"/>
  <c r="BB123" i="6"/>
  <c r="AR139" i="6"/>
  <c r="AT132" i="6"/>
  <c r="AH143" i="6"/>
  <c r="T134" i="6"/>
  <c r="AL119" i="6"/>
  <c r="AL129" i="6"/>
  <c r="AD129" i="6"/>
  <c r="Q123" i="6"/>
  <c r="AF126" i="6"/>
  <c r="AG130" i="6"/>
  <c r="Z133" i="6"/>
  <c r="T125" i="6"/>
  <c r="Q133" i="6"/>
  <c r="AI143" i="6"/>
  <c r="V127" i="6"/>
  <c r="AI139" i="6"/>
  <c r="P140" i="6"/>
  <c r="AN134" i="6"/>
  <c r="R130" i="6"/>
  <c r="AN135" i="6"/>
  <c r="Y123" i="6"/>
  <c r="AQ122" i="6"/>
  <c r="AA138" i="6"/>
  <c r="AH133" i="6"/>
  <c r="V135" i="6"/>
  <c r="V133" i="6"/>
  <c r="AI123" i="6"/>
  <c r="AP136" i="6"/>
  <c r="AN131" i="6"/>
  <c r="U123" i="6"/>
  <c r="AX123" i="6"/>
  <c r="AE123" i="6"/>
  <c r="AI134" i="6"/>
  <c r="C101" i="6"/>
  <c r="A101" i="6" s="1"/>
  <c r="V122" i="6"/>
  <c r="AH134" i="6"/>
  <c r="AP129" i="6"/>
  <c r="Y139" i="6"/>
  <c r="Z134" i="6"/>
  <c r="BE123" i="6"/>
  <c r="AO119" i="6"/>
  <c r="AV132" i="6"/>
  <c r="AE137" i="6"/>
  <c r="AA137" i="6"/>
  <c r="W136" i="6"/>
  <c r="AJ119" i="6"/>
  <c r="T140" i="6"/>
  <c r="U126" i="6"/>
  <c r="Z126" i="6"/>
  <c r="AV127" i="6"/>
  <c r="AR127" i="6"/>
  <c r="P127" i="6"/>
  <c r="BD127" i="6"/>
  <c r="O127" i="6"/>
  <c r="AZ127" i="6"/>
  <c r="BB127" i="6"/>
  <c r="Q127" i="6"/>
  <c r="BH127" i="6"/>
  <c r="BC127" i="6"/>
  <c r="BA127" i="6"/>
  <c r="BE127" i="6"/>
  <c r="BG127" i="6"/>
  <c r="AY127" i="6"/>
  <c r="AO132" i="6"/>
  <c r="AM137" i="6"/>
  <c r="W122" i="6"/>
  <c r="Y131" i="6"/>
  <c r="R120" i="6"/>
  <c r="X143" i="6"/>
  <c r="AF143" i="6"/>
  <c r="AI133" i="6"/>
  <c r="AG133" i="6"/>
  <c r="S135" i="6"/>
  <c r="Y125" i="6"/>
  <c r="V128" i="6"/>
  <c r="X138" i="6"/>
  <c r="U129" i="6"/>
  <c r="U130" i="6"/>
  <c r="AD126" i="6"/>
  <c r="X132" i="6"/>
  <c r="AJ127" i="6"/>
  <c r="C103" i="6"/>
  <c r="A103" i="6" s="1"/>
  <c r="AZ131" i="6"/>
  <c r="AK131" i="6"/>
  <c r="AQ126" i="6"/>
  <c r="U132" i="6"/>
  <c r="AN125" i="6"/>
  <c r="Q138" i="6"/>
  <c r="AK140" i="6"/>
  <c r="AC122" i="6"/>
  <c r="AD122" i="6"/>
  <c r="AO128" i="6"/>
  <c r="AA136" i="6"/>
  <c r="AA123" i="6"/>
  <c r="AV125" i="6"/>
  <c r="BI125" i="6"/>
  <c r="BF125" i="6"/>
  <c r="BH125" i="6"/>
  <c r="AU125" i="6"/>
  <c r="AW125" i="6"/>
  <c r="AR125" i="6"/>
  <c r="BJ125" i="6"/>
  <c r="AC125" i="6"/>
  <c r="BG125" i="6"/>
  <c r="AQ125" i="6"/>
  <c r="AY125" i="6"/>
  <c r="BD125" i="6"/>
  <c r="AX125" i="6"/>
  <c r="BE125" i="6"/>
  <c r="AS125" i="6"/>
  <c r="V125" i="6"/>
  <c r="AE143" i="6"/>
  <c r="W129" i="6"/>
  <c r="O134" i="6"/>
  <c r="V131" i="6"/>
  <c r="AZ123" i="6"/>
  <c r="AL138" i="6"/>
  <c r="BF129" i="6"/>
  <c r="Y122" i="6"/>
  <c r="AN138" i="6"/>
  <c r="AT129" i="6"/>
  <c r="AQ139" i="6"/>
  <c r="P131" i="6"/>
  <c r="AF129" i="6"/>
  <c r="AG125" i="6"/>
  <c r="AW123" i="6"/>
  <c r="BE136" i="6"/>
  <c r="V136" i="6"/>
  <c r="AX137" i="6"/>
  <c r="AQ138" i="6"/>
  <c r="AL125" i="6"/>
  <c r="AM120" i="6"/>
  <c r="AU129" i="6"/>
  <c r="AR136" i="6"/>
  <c r="AW119" i="6"/>
  <c r="BD123" i="6"/>
  <c r="W123" i="6"/>
  <c r="BB137" i="6"/>
  <c r="AA131" i="6"/>
  <c r="AG138" i="6"/>
  <c r="Z123" i="6"/>
  <c r="S133" i="6"/>
  <c r="U120" i="6"/>
  <c r="P139" i="6"/>
  <c r="AM131" i="6"/>
  <c r="AB125" i="6"/>
  <c r="AB140" i="6"/>
  <c r="T135" i="6"/>
  <c r="R127" i="6"/>
  <c r="AE122" i="6"/>
  <c r="Y132" i="6"/>
  <c r="BJ134" i="6"/>
  <c r="R143" i="6"/>
  <c r="AN122" i="6"/>
  <c r="AI126" i="6"/>
  <c r="AB131" i="6"/>
  <c r="AJ126" i="6"/>
  <c r="T136" i="6"/>
  <c r="AL139" i="6"/>
  <c r="T137" i="6"/>
  <c r="AA134" i="6"/>
  <c r="AN137" i="6"/>
  <c r="AC134" i="6"/>
  <c r="AP128" i="6"/>
  <c r="AD139" i="6"/>
  <c r="AV139" i="6"/>
  <c r="S123" i="6"/>
  <c r="Z125" i="6"/>
  <c r="AI125" i="6"/>
  <c r="AB143" i="6"/>
  <c r="AY123" i="6"/>
  <c r="AF125" i="6"/>
  <c r="AH129" i="6"/>
  <c r="O129" i="6"/>
  <c r="W138" i="6"/>
  <c r="X125" i="6"/>
  <c r="AU123" i="6"/>
  <c r="AO138" i="6"/>
  <c r="C110" i="6"/>
  <c r="A110" i="6" s="1"/>
  <c r="X137" i="6"/>
  <c r="U122" i="6"/>
  <c r="AN133" i="6"/>
  <c r="AC137" i="6"/>
  <c r="R138" i="6"/>
  <c r="AD131" i="6"/>
  <c r="AP127" i="6"/>
  <c r="S129" i="6"/>
  <c r="AD132" i="6"/>
  <c r="AD125" i="6"/>
  <c r="P119" i="6"/>
  <c r="AM139" i="6"/>
  <c r="AM136" i="6"/>
  <c r="X126" i="6"/>
  <c r="Y130" i="6"/>
  <c r="AA125" i="6"/>
  <c r="R135" i="6"/>
  <c r="X130" i="6"/>
  <c r="AH125" i="6"/>
  <c r="AA135" i="6"/>
  <c r="V119" i="6"/>
  <c r="R131" i="6"/>
  <c r="AG120" i="6"/>
  <c r="Y129" i="6"/>
  <c r="BE134" i="6"/>
  <c r="AY126" i="6"/>
  <c r="AU120" i="6"/>
  <c r="BF131" i="6"/>
  <c r="AT139" i="6"/>
  <c r="AR134" i="6"/>
  <c r="AS126" i="6"/>
  <c r="BH120" i="6"/>
  <c r="AT131" i="6"/>
  <c r="AS139" i="6"/>
  <c r="AP134" i="6"/>
  <c r="AZ134" i="6"/>
  <c r="BC126" i="6"/>
  <c r="P128" i="6"/>
  <c r="AS120" i="6"/>
  <c r="BE131" i="6"/>
  <c r="BF139" i="6"/>
  <c r="AH120" i="6"/>
  <c r="BC128" i="6"/>
  <c r="BB134" i="6"/>
  <c r="BD126" i="6"/>
  <c r="BE120" i="6"/>
  <c r="O131" i="6"/>
  <c r="AY139" i="6"/>
  <c r="BE128" i="6"/>
  <c r="AW126" i="6"/>
  <c r="BD120" i="6"/>
  <c r="AS131" i="6"/>
  <c r="O139" i="6"/>
  <c r="BJ139" i="6"/>
  <c r="AS134" i="6"/>
  <c r="AR126" i="6"/>
  <c r="BB120" i="6"/>
  <c r="BA139" i="6"/>
  <c r="BI139" i="6"/>
  <c r="BH134" i="6"/>
  <c r="BG126" i="6"/>
  <c r="AX120" i="6"/>
  <c r="BD131" i="6"/>
  <c r="AW139" i="6"/>
  <c r="AX128" i="6"/>
  <c r="AB139" i="6"/>
  <c r="BC134" i="6"/>
  <c r="AU126" i="6"/>
  <c r="AZ120" i="6"/>
  <c r="BG131" i="6"/>
  <c r="BG128" i="6"/>
  <c r="AQ134" i="6"/>
  <c r="C98" i="6"/>
  <c r="A98" i="6" s="1"/>
  <c r="AU131" i="6"/>
  <c r="AZ139" i="6"/>
  <c r="BA134" i="6"/>
  <c r="AT126" i="6"/>
  <c r="AW128" i="6"/>
  <c r="C92" i="6"/>
  <c r="A92" i="6" s="1"/>
  <c r="AQ131" i="6"/>
  <c r="C111" i="6"/>
  <c r="A111" i="6" s="1"/>
  <c r="AU134" i="6"/>
  <c r="BF120" i="6"/>
  <c r="C100" i="6"/>
  <c r="A100" i="6" s="1"/>
  <c r="AY131" i="6"/>
  <c r="AU139" i="6"/>
  <c r="BB128" i="6"/>
  <c r="BF128" i="6"/>
  <c r="AL141" i="6"/>
  <c r="X141" i="6"/>
  <c r="AJ141" i="6"/>
  <c r="R141" i="6"/>
  <c r="AN141" i="6"/>
  <c r="AE141" i="6"/>
  <c r="W141" i="6"/>
  <c r="Z141" i="6"/>
  <c r="T141" i="6"/>
  <c r="BB141" i="6"/>
  <c r="AF141" i="6"/>
  <c r="AK141" i="6"/>
  <c r="AM141" i="6"/>
  <c r="AG141" i="6"/>
  <c r="AD141" i="6"/>
  <c r="Q141" i="6"/>
  <c r="AP141" i="6"/>
  <c r="AI141" i="6"/>
  <c r="S141" i="6"/>
  <c r="Y141" i="6"/>
  <c r="P141" i="6"/>
  <c r="AT141" i="6"/>
  <c r="BE141" i="6"/>
  <c r="C113" i="6"/>
  <c r="A113" i="6" s="1"/>
  <c r="AZ141" i="6"/>
  <c r="BH141" i="6"/>
  <c r="AH141" i="6"/>
  <c r="BJ141" i="6"/>
  <c r="AU141" i="6"/>
  <c r="O141" i="6"/>
  <c r="AR141" i="6"/>
  <c r="BG141" i="6"/>
  <c r="BF141" i="6"/>
  <c r="AW141" i="6"/>
  <c r="AO141" i="6"/>
  <c r="AC141" i="6"/>
  <c r="BC141" i="6"/>
  <c r="AX141" i="6"/>
  <c r="AA141" i="6"/>
  <c r="BA141" i="6"/>
  <c r="AY141" i="6"/>
  <c r="U141" i="6"/>
  <c r="BD141" i="6"/>
  <c r="AB141" i="6"/>
  <c r="AS141" i="6"/>
  <c r="BI141" i="6"/>
  <c r="AV141" i="6"/>
  <c r="V141" i="6"/>
  <c r="AQ141" i="6"/>
  <c r="AC118" i="6"/>
  <c r="AB118" i="6"/>
  <c r="AS118" i="6"/>
  <c r="AN118" i="6"/>
  <c r="AK118" i="6"/>
  <c r="BI118" i="6"/>
  <c r="AO118" i="6"/>
  <c r="AA118" i="6"/>
  <c r="C90" i="6"/>
  <c r="A90" i="6" s="1"/>
  <c r="AM118" i="6"/>
  <c r="BD118" i="6"/>
  <c r="AV118" i="6"/>
  <c r="BF118" i="6"/>
  <c r="BA118" i="6"/>
  <c r="AE118" i="6"/>
  <c r="T118" i="6"/>
  <c r="AP118" i="6"/>
  <c r="AR118" i="6"/>
  <c r="AW118" i="6"/>
  <c r="AH118" i="6"/>
  <c r="BE118" i="6"/>
  <c r="Q118" i="6"/>
  <c r="AT118" i="6"/>
  <c r="AY118" i="6"/>
  <c r="P118" i="6"/>
  <c r="W118" i="6"/>
  <c r="AD118" i="6"/>
  <c r="BH118" i="6"/>
  <c r="U118" i="6"/>
  <c r="BB118" i="6"/>
  <c r="V118" i="6"/>
  <c r="R118" i="6"/>
  <c r="Y118" i="6"/>
  <c r="S118" i="6"/>
  <c r="BG118" i="6"/>
  <c r="AL118" i="6"/>
  <c r="BC118" i="6"/>
  <c r="AG118" i="6"/>
  <c r="AU118" i="6"/>
  <c r="BJ118" i="6"/>
  <c r="AX118" i="6"/>
  <c r="AF118" i="6"/>
  <c r="AZ118" i="6"/>
  <c r="AI118" i="6"/>
  <c r="X118" i="6"/>
  <c r="Z118" i="6"/>
  <c r="O118" i="6"/>
  <c r="AJ118" i="6"/>
  <c r="AQ118" i="6"/>
  <c r="AA121" i="6" l="1"/>
  <c r="BJ121" i="6"/>
  <c r="BI142" i="6"/>
  <c r="AJ124" i="6"/>
  <c r="W142" i="6"/>
  <c r="W121" i="6"/>
  <c r="BB121" i="6"/>
  <c r="AG121" i="6"/>
  <c r="AB121" i="6"/>
  <c r="U121" i="6"/>
  <c r="AF121" i="6"/>
  <c r="AO121" i="6"/>
  <c r="AF124" i="6"/>
  <c r="V142" i="6"/>
  <c r="AU124" i="6"/>
  <c r="BB142" i="6"/>
  <c r="AE142" i="6"/>
  <c r="V124" i="6"/>
  <c r="AV121" i="6"/>
  <c r="AT121" i="6"/>
  <c r="AE121" i="6"/>
  <c r="BE121" i="6"/>
  <c r="S121" i="6"/>
  <c r="AN121" i="6"/>
  <c r="BA121" i="6"/>
  <c r="AP121" i="6"/>
  <c r="BH121" i="6"/>
  <c r="Q121" i="6"/>
  <c r="BF121" i="6"/>
  <c r="BD121" i="6"/>
  <c r="AS121" i="6"/>
  <c r="AI121" i="6"/>
  <c r="AL121" i="6"/>
  <c r="Y121" i="6"/>
  <c r="P121" i="6"/>
  <c r="AU142" i="6"/>
  <c r="T121" i="6"/>
  <c r="AT124" i="6"/>
  <c r="AY121" i="6"/>
  <c r="AQ121" i="6"/>
  <c r="V121" i="6"/>
  <c r="AW121" i="6"/>
  <c r="AM121" i="6"/>
  <c r="Z121" i="6"/>
  <c r="AJ121" i="6"/>
  <c r="AH121" i="6"/>
  <c r="BC121" i="6"/>
  <c r="AD121" i="6"/>
  <c r="AW142" i="6"/>
  <c r="AZ121" i="6"/>
  <c r="AC121" i="6"/>
  <c r="AK121" i="6"/>
  <c r="X121" i="6"/>
  <c r="S142" i="6"/>
  <c r="O121" i="6"/>
  <c r="BI121" i="6"/>
  <c r="BG121" i="6"/>
  <c r="AX121" i="6"/>
  <c r="R121" i="6"/>
  <c r="AJ142" i="6"/>
  <c r="AU121" i="6"/>
  <c r="AV142" i="6"/>
  <c r="AN124" i="6"/>
  <c r="AL142" i="6"/>
  <c r="R124" i="6"/>
  <c r="AR124" i="6"/>
  <c r="BF142" i="6"/>
  <c r="R142" i="6"/>
  <c r="AA124" i="6"/>
  <c r="P142" i="6"/>
  <c r="AT142" i="6"/>
  <c r="AW124" i="6"/>
  <c r="BJ124" i="6"/>
  <c r="AB124" i="6"/>
  <c r="AM142" i="6"/>
  <c r="Q124" i="6"/>
  <c r="AD124" i="6"/>
  <c r="AC142" i="6"/>
  <c r="AS124" i="6"/>
  <c r="BE142" i="6"/>
  <c r="BH124" i="6"/>
  <c r="Y142" i="6"/>
  <c r="X124" i="6"/>
  <c r="Q142" i="6"/>
  <c r="BC142" i="6"/>
  <c r="AZ124" i="6"/>
  <c r="BI124" i="6"/>
  <c r="U124" i="6"/>
  <c r="Y124" i="6"/>
  <c r="AM124" i="6"/>
  <c r="AX124" i="6"/>
  <c r="AP142" i="6"/>
  <c r="AP124" i="6"/>
  <c r="AN142" i="6"/>
  <c r="AB142" i="6"/>
  <c r="AQ142" i="6"/>
  <c r="AY124" i="6"/>
  <c r="Z142" i="6"/>
  <c r="O142" i="6"/>
  <c r="T124" i="6"/>
  <c r="AG124" i="6"/>
  <c r="AF142" i="6"/>
  <c r="Z124" i="6"/>
  <c r="BF124" i="6"/>
  <c r="AZ142" i="6"/>
  <c r="AK124" i="6"/>
  <c r="T142" i="6"/>
  <c r="AH124" i="6"/>
  <c r="AI124" i="6"/>
  <c r="AK142" i="6"/>
  <c r="P124" i="6"/>
  <c r="X142" i="6"/>
  <c r="BC124" i="6"/>
  <c r="AV124" i="6"/>
  <c r="BG124" i="6"/>
  <c r="AD142" i="6"/>
  <c r="BA124" i="6"/>
  <c r="U142" i="6"/>
  <c r="AO124" i="6"/>
  <c r="O124" i="6"/>
  <c r="AL124" i="6"/>
  <c r="BE124" i="6"/>
  <c r="BB124" i="6"/>
  <c r="AC124" i="6"/>
  <c r="S124" i="6"/>
  <c r="BD124" i="6"/>
  <c r="AE124" i="6"/>
  <c r="AQ124" i="6"/>
  <c r="BJ142" i="6"/>
  <c r="AG142" i="6"/>
  <c r="AO142" i="6"/>
  <c r="AX142" i="6"/>
  <c r="AR142" i="6"/>
  <c r="AA142" i="6"/>
  <c r="BA142" i="6"/>
  <c r="BD142" i="6"/>
  <c r="AY142" i="6"/>
  <c r="BG142" i="6"/>
  <c r="AH142" i="6"/>
  <c r="AI142" i="6"/>
  <c r="BH142" i="6"/>
  <c r="K60" i="8" l="1"/>
  <c r="L60" i="8"/>
  <c r="M60" i="8"/>
  <c r="N60" i="8"/>
  <c r="P60" i="8"/>
  <c r="Q60" i="8"/>
  <c r="R60" i="8"/>
  <c r="J60" i="8"/>
  <c r="O60" i="8"/>
  <c r="J90" i="8"/>
  <c r="Q104" i="8"/>
  <c r="R104" i="8"/>
  <c r="S104" i="8"/>
  <c r="T104" i="8"/>
  <c r="AQ104" i="8"/>
  <c r="AR104" i="8"/>
  <c r="AS104" i="8"/>
  <c r="AT104" i="8"/>
  <c r="N104" i="8"/>
  <c r="P104" i="8"/>
  <c r="AL104" i="8"/>
  <c r="AM104" i="8"/>
  <c r="AN104" i="8"/>
  <c r="BH104" i="8"/>
  <c r="U104" i="8"/>
  <c r="AU104" i="8"/>
  <c r="AP104" i="8"/>
  <c r="V104" i="8"/>
  <c r="AV104" i="8"/>
  <c r="W104" i="8"/>
  <c r="AW104" i="8"/>
  <c r="X104" i="8"/>
  <c r="AX104" i="8"/>
  <c r="Y104" i="8"/>
  <c r="AY104" i="8"/>
  <c r="Z104" i="8"/>
  <c r="AZ104" i="8"/>
  <c r="AA104" i="8"/>
  <c r="BA104" i="8"/>
  <c r="AC104" i="8"/>
  <c r="BC104" i="8"/>
  <c r="AD104" i="8"/>
  <c r="BD104" i="8"/>
  <c r="AE104" i="8"/>
  <c r="BE104" i="8"/>
  <c r="AF104" i="8"/>
  <c r="BF104" i="8"/>
  <c r="AG104" i="8"/>
  <c r="BG104" i="8"/>
  <c r="AH104" i="8"/>
  <c r="AI104" i="8"/>
  <c r="BI104" i="8"/>
  <c r="AJ104" i="8"/>
  <c r="K104" i="8"/>
  <c r="AK104" i="8"/>
  <c r="L104" i="8"/>
  <c r="O104" i="8"/>
  <c r="AO104" i="8"/>
  <c r="AB104" i="8"/>
  <c r="J104" i="8"/>
  <c r="BB104" i="8"/>
  <c r="M104"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M2" authorId="0" shapeId="0" xr:uid="{98F385F2-1EDD-443A-813C-182920A702B4}">
      <text>
        <r>
          <rPr>
            <b/>
            <sz val="9"/>
            <color indexed="81"/>
            <rFont val="Tahoma"/>
            <family val="2"/>
            <charset val="162"/>
          </rPr>
          <t>Mahir Er:</t>
        </r>
        <r>
          <rPr>
            <sz val="9"/>
            <color indexed="81"/>
            <rFont val="Tahoma"/>
            <family val="2"/>
            <charset val="162"/>
          </rPr>
          <t xml:space="preserve">
Oransal olarak tahmini miktar
</t>
        </r>
      </text>
    </comment>
    <comment ref="M3" authorId="0" shapeId="0" xr:uid="{2DB38CA7-7562-4AB7-81E9-B8DFDBAA1172}">
      <text>
        <r>
          <rPr>
            <b/>
            <sz val="9"/>
            <color indexed="81"/>
            <rFont val="Tahoma"/>
            <family val="2"/>
            <charset val="162"/>
          </rPr>
          <t>Mahir Er:</t>
        </r>
        <r>
          <rPr>
            <sz val="9"/>
            <color indexed="81"/>
            <rFont val="Tahoma"/>
            <family val="2"/>
            <charset val="162"/>
          </rPr>
          <t xml:space="preserve">
Oransal olarak tahmini miktar
</t>
        </r>
      </text>
    </comment>
    <comment ref="M5" authorId="0" shapeId="0" xr:uid="{0E599876-BC04-4B21-9559-461030FC7162}">
      <text>
        <r>
          <rPr>
            <b/>
            <sz val="9"/>
            <color indexed="81"/>
            <rFont val="Tahoma"/>
            <family val="2"/>
            <charset val="162"/>
          </rPr>
          <t>Mahir Er:</t>
        </r>
        <r>
          <rPr>
            <sz val="9"/>
            <color indexed="81"/>
            <rFont val="Tahoma"/>
            <family val="2"/>
            <charset val="162"/>
          </rPr>
          <t xml:space="preserve">
roket bütçe miktarına revizse edilmiştir.
</t>
        </r>
      </text>
    </comment>
    <comment ref="M8" authorId="0" shapeId="0" xr:uid="{F24959B5-4D6F-41F3-B5D3-21684C2B2EB4}">
      <text>
        <r>
          <rPr>
            <b/>
            <sz val="9"/>
            <color indexed="81"/>
            <rFont val="Tahoma"/>
            <family val="2"/>
            <charset val="162"/>
          </rPr>
          <t>Mahir Er:</t>
        </r>
        <r>
          <rPr>
            <sz val="9"/>
            <color indexed="81"/>
            <rFont val="Tahoma"/>
            <family val="2"/>
            <charset val="162"/>
          </rPr>
          <t xml:space="preserve">
Roket Bütçe miktarıan denk gelecek şekilde revize edildi.
</t>
        </r>
      </text>
    </comment>
    <comment ref="M10" authorId="0" shapeId="0" xr:uid="{1E26977A-ED09-40B2-9536-CDBA8547CA4A}">
      <text>
        <r>
          <rPr>
            <b/>
            <sz val="9"/>
            <color indexed="81"/>
            <rFont val="Tahoma"/>
            <family val="2"/>
            <charset val="162"/>
          </rPr>
          <t>Mahir Er:</t>
        </r>
        <r>
          <rPr>
            <sz val="9"/>
            <color indexed="81"/>
            <rFont val="Tahoma"/>
            <family val="2"/>
            <charset val="162"/>
          </rPr>
          <t xml:space="preserve">
Oransal olarak tahmini miktar
</t>
        </r>
      </text>
    </comment>
    <comment ref="M11" authorId="0" shapeId="0" xr:uid="{5F8FEF7D-0E4A-4E96-AD72-7EF47E15F215}">
      <text>
        <r>
          <rPr>
            <b/>
            <sz val="9"/>
            <color indexed="81"/>
            <rFont val="Tahoma"/>
            <family val="2"/>
            <charset val="162"/>
          </rPr>
          <t>Mahir Er:</t>
        </r>
        <r>
          <rPr>
            <sz val="9"/>
            <color indexed="81"/>
            <rFont val="Tahoma"/>
            <family val="2"/>
            <charset val="162"/>
          </rPr>
          <t xml:space="preserve">
Oransal olarak tahmini miktar
</t>
        </r>
      </text>
    </comment>
    <comment ref="M16" authorId="0" shapeId="0" xr:uid="{0F5BFE31-7968-4B0A-90C6-C1547F519E47}">
      <text>
        <r>
          <rPr>
            <b/>
            <sz val="9"/>
            <color indexed="81"/>
            <rFont val="Tahoma"/>
            <family val="2"/>
            <charset val="162"/>
          </rPr>
          <t>Mahir Er:</t>
        </r>
        <r>
          <rPr>
            <sz val="9"/>
            <color indexed="81"/>
            <rFont val="Tahoma"/>
            <family val="2"/>
            <charset val="162"/>
          </rPr>
          <t xml:space="preserve">
Oransal olarak tahmini miktar
</t>
        </r>
      </text>
    </comment>
    <comment ref="M21" authorId="0" shapeId="0" xr:uid="{EA4F5E74-13C2-40C7-AF3B-5D739D414938}">
      <text>
        <r>
          <rPr>
            <b/>
            <sz val="9"/>
            <color indexed="81"/>
            <rFont val="Tahoma"/>
            <family val="2"/>
            <charset val="162"/>
          </rPr>
          <t>Mahir Er:</t>
        </r>
        <r>
          <rPr>
            <sz val="9"/>
            <color indexed="81"/>
            <rFont val="Tahoma"/>
            <family val="2"/>
            <charset val="162"/>
          </rPr>
          <t xml:space="preserve">
Oransal olarak tahmini miktar
</t>
        </r>
      </text>
    </comment>
    <comment ref="M26" authorId="0" shapeId="0" xr:uid="{E2E9A0BB-FA61-4F74-AC38-43596D1CC549}">
      <text>
        <r>
          <rPr>
            <b/>
            <sz val="9"/>
            <color indexed="81"/>
            <rFont val="Tahoma"/>
            <family val="2"/>
            <charset val="162"/>
          </rPr>
          <t>Mahir Er:</t>
        </r>
        <r>
          <rPr>
            <sz val="9"/>
            <color indexed="81"/>
            <rFont val="Tahoma"/>
            <family val="2"/>
            <charset val="162"/>
          </rPr>
          <t xml:space="preserve">
Roket bütçe miktarına çekildi</t>
        </r>
      </text>
    </comment>
    <comment ref="M28" authorId="0" shapeId="0" xr:uid="{F0D968BC-4C58-4284-97A7-499CAE572383}">
      <text>
        <r>
          <rPr>
            <b/>
            <sz val="9"/>
            <color indexed="81"/>
            <rFont val="Tahoma"/>
            <family val="2"/>
            <charset val="162"/>
          </rPr>
          <t>Mahir Er:</t>
        </r>
        <r>
          <rPr>
            <sz val="9"/>
            <color indexed="81"/>
            <rFont val="Tahoma"/>
            <family val="2"/>
            <charset val="162"/>
          </rPr>
          <t xml:space="preserve">
Zeyilname draft'ta belirlenen miktar
</t>
        </r>
      </text>
    </comment>
    <comment ref="M29" authorId="0" shapeId="0" xr:uid="{1717FEDA-FFC9-43CC-AD72-F8C80FA23BB8}">
      <text>
        <r>
          <rPr>
            <b/>
            <sz val="9"/>
            <color indexed="81"/>
            <rFont val="Tahoma"/>
            <family val="2"/>
            <charset val="162"/>
          </rPr>
          <t>Mahir Er:</t>
        </r>
        <r>
          <rPr>
            <sz val="9"/>
            <color indexed="81"/>
            <rFont val="Tahoma"/>
            <family val="2"/>
            <charset val="162"/>
          </rPr>
          <t xml:space="preserve">
Oransal olarak tahmini miktar
</t>
        </r>
      </text>
    </comment>
    <comment ref="M30" authorId="0" shapeId="0" xr:uid="{CB121641-8608-427E-8E4D-17EE6AC2C911}">
      <text>
        <r>
          <rPr>
            <b/>
            <sz val="9"/>
            <color indexed="81"/>
            <rFont val="Tahoma"/>
            <family val="2"/>
            <charset val="162"/>
          </rPr>
          <t>Mahir Er:</t>
        </r>
        <r>
          <rPr>
            <sz val="9"/>
            <color indexed="81"/>
            <rFont val="Tahoma"/>
            <family val="2"/>
            <charset val="162"/>
          </rPr>
          <t xml:space="preserve">
Oransal olarak tahmini miktar
</t>
        </r>
      </text>
    </comment>
    <comment ref="M32" authorId="0" shapeId="0" xr:uid="{1C2A38D4-A28E-431E-A9E8-0D45F41E4E7E}">
      <text>
        <r>
          <rPr>
            <b/>
            <sz val="9"/>
            <color indexed="81"/>
            <rFont val="Tahoma"/>
            <family val="2"/>
            <charset val="162"/>
          </rPr>
          <t>Mahir Er:</t>
        </r>
        <r>
          <rPr>
            <sz val="9"/>
            <color indexed="81"/>
            <rFont val="Tahoma"/>
            <family val="2"/>
            <charset val="162"/>
          </rPr>
          <t xml:space="preserve">
roket bütçe miktarına revizse edilmiştir.
</t>
        </r>
      </text>
    </comment>
    <comment ref="M35" authorId="0" shapeId="0" xr:uid="{A2E3C078-BAA4-42E1-84D0-B62EEF1E682A}">
      <text>
        <r>
          <rPr>
            <b/>
            <sz val="9"/>
            <color indexed="81"/>
            <rFont val="Tahoma"/>
            <family val="2"/>
            <charset val="162"/>
          </rPr>
          <t>Mahir Er:</t>
        </r>
        <r>
          <rPr>
            <sz val="9"/>
            <color indexed="81"/>
            <rFont val="Tahoma"/>
            <family val="2"/>
            <charset val="162"/>
          </rPr>
          <t xml:space="preserve">
Roket Bütçe miktarıan denk gelecek şekilde revize edildi.
</t>
        </r>
      </text>
    </comment>
    <comment ref="M37" authorId="0" shapeId="0" xr:uid="{C6C737DA-55AF-463F-BC0B-F66F1D2B411A}">
      <text>
        <r>
          <rPr>
            <b/>
            <sz val="9"/>
            <color indexed="81"/>
            <rFont val="Tahoma"/>
            <family val="2"/>
            <charset val="162"/>
          </rPr>
          <t>Mahir Er:</t>
        </r>
        <r>
          <rPr>
            <sz val="9"/>
            <color indexed="81"/>
            <rFont val="Tahoma"/>
            <family val="2"/>
            <charset val="162"/>
          </rPr>
          <t xml:space="preserve">
Oransal olarak tahmini miktar
</t>
        </r>
      </text>
    </comment>
    <comment ref="M38" authorId="0" shapeId="0" xr:uid="{B7A2D88D-159D-4AB1-904E-70C22AA37833}">
      <text>
        <r>
          <rPr>
            <b/>
            <sz val="9"/>
            <color indexed="81"/>
            <rFont val="Tahoma"/>
            <family val="2"/>
            <charset val="162"/>
          </rPr>
          <t>Mahir Er:</t>
        </r>
        <r>
          <rPr>
            <sz val="9"/>
            <color indexed="81"/>
            <rFont val="Tahoma"/>
            <family val="2"/>
            <charset val="162"/>
          </rPr>
          <t xml:space="preserve">
Oransal olarak tahmini miktar
</t>
        </r>
      </text>
    </comment>
    <comment ref="M53" authorId="0" shapeId="0" xr:uid="{911730C2-E715-4E6C-A76B-F618F52493E7}">
      <text>
        <r>
          <rPr>
            <b/>
            <sz val="9"/>
            <color indexed="81"/>
            <rFont val="Tahoma"/>
            <family val="2"/>
            <charset val="162"/>
          </rPr>
          <t>Mahir Er:</t>
        </r>
        <r>
          <rPr>
            <sz val="9"/>
            <color indexed="81"/>
            <rFont val="Tahoma"/>
            <family val="2"/>
            <charset val="162"/>
          </rPr>
          <t xml:space="preserve">
Roket bütçe miktarına çekildi</t>
        </r>
      </text>
    </comment>
    <comment ref="M63" authorId="0" shapeId="0" xr:uid="{1FE739CD-D2E9-4F7C-BA6D-4D6720E38200}">
      <text>
        <r>
          <rPr>
            <b/>
            <sz val="9"/>
            <color indexed="81"/>
            <rFont val="Tahoma"/>
            <family val="2"/>
            <charset val="162"/>
          </rPr>
          <t>Mahir Er:</t>
        </r>
        <r>
          <rPr>
            <sz val="9"/>
            <color indexed="81"/>
            <rFont val="Tahoma"/>
            <family val="2"/>
            <charset val="162"/>
          </rPr>
          <t xml:space="preserve">
roket bütçe miktarına revizse edilmiştir.
</t>
        </r>
      </text>
    </comment>
    <comment ref="M64" authorId="0" shapeId="0" xr:uid="{7185ACF4-79A2-4A0D-BE97-012E2C114BEC}">
      <text>
        <r>
          <rPr>
            <b/>
            <sz val="9"/>
            <color indexed="81"/>
            <rFont val="Tahoma"/>
            <family val="2"/>
            <charset val="162"/>
          </rPr>
          <t>Mahir Er:</t>
        </r>
        <r>
          <rPr>
            <sz val="9"/>
            <color indexed="81"/>
            <rFont val="Tahoma"/>
            <family val="2"/>
            <charset val="162"/>
          </rPr>
          <t xml:space="preserve">
Tahmini Miktar</t>
        </r>
      </text>
    </comment>
    <comment ref="M65" authorId="0" shapeId="0" xr:uid="{2B8383B7-D348-4127-8DF3-E69C44CCD342}">
      <text>
        <r>
          <rPr>
            <b/>
            <sz val="9"/>
            <color indexed="81"/>
            <rFont val="Tahoma"/>
            <family val="2"/>
            <charset val="162"/>
          </rPr>
          <t>Mahir Er:</t>
        </r>
        <r>
          <rPr>
            <sz val="9"/>
            <color indexed="81"/>
            <rFont val="Tahoma"/>
            <family val="2"/>
            <charset val="162"/>
          </rPr>
          <t xml:space="preserve">
Tahmini Miktar</t>
        </r>
      </text>
    </comment>
    <comment ref="M67" authorId="0" shapeId="0" xr:uid="{FC2F6807-BAF0-4084-9576-DF2AFF730095}">
      <text>
        <r>
          <rPr>
            <b/>
            <sz val="9"/>
            <color indexed="81"/>
            <rFont val="Tahoma"/>
            <family val="2"/>
            <charset val="162"/>
          </rPr>
          <t>Mahir Er:</t>
        </r>
        <r>
          <rPr>
            <sz val="9"/>
            <color indexed="81"/>
            <rFont val="Tahoma"/>
            <family val="2"/>
            <charset val="162"/>
          </rPr>
          <t xml:space="preserve">
roket bütçe miktarına revizse edilmiştir.
</t>
        </r>
      </text>
    </comment>
    <comment ref="M70" authorId="0" shapeId="0" xr:uid="{4111314E-887A-457A-A022-E8A700E656AB}">
      <text>
        <r>
          <rPr>
            <b/>
            <sz val="9"/>
            <color indexed="81"/>
            <rFont val="Tahoma"/>
            <family val="2"/>
            <charset val="162"/>
          </rPr>
          <t>Mahir Er:</t>
        </r>
        <r>
          <rPr>
            <sz val="9"/>
            <color indexed="81"/>
            <rFont val="Tahoma"/>
            <family val="2"/>
            <charset val="162"/>
          </rPr>
          <t xml:space="preserve">
Roket Bütçe miktarıan denk gelecek şekilde revize edildi.
</t>
        </r>
      </text>
    </comment>
    <comment ref="M72" authorId="0" shapeId="0" xr:uid="{BF2C46D5-657F-49DE-9F0D-C78989D06326}">
      <text>
        <r>
          <rPr>
            <b/>
            <sz val="9"/>
            <color indexed="81"/>
            <rFont val="Tahoma"/>
            <family val="2"/>
            <charset val="162"/>
          </rPr>
          <t>Mahir Er:</t>
        </r>
        <r>
          <rPr>
            <sz val="9"/>
            <color indexed="81"/>
            <rFont val="Tahoma"/>
            <family val="2"/>
            <charset val="162"/>
          </rPr>
          <t xml:space="preserve">
Tahmini Miktar</t>
        </r>
      </text>
    </comment>
    <comment ref="M73" authorId="0" shapeId="0" xr:uid="{C46C75E6-9BF8-4254-AEAA-D76140B092AF}">
      <text>
        <r>
          <rPr>
            <b/>
            <sz val="9"/>
            <color indexed="81"/>
            <rFont val="Tahoma"/>
            <family val="2"/>
            <charset val="162"/>
          </rPr>
          <t>Mahir Er:</t>
        </r>
        <r>
          <rPr>
            <sz val="9"/>
            <color indexed="81"/>
            <rFont val="Tahoma"/>
            <family val="2"/>
            <charset val="162"/>
          </rPr>
          <t xml:space="preserve">
Tahmini Miktar</t>
        </r>
      </text>
    </comment>
    <comment ref="M88" authorId="0" shapeId="0" xr:uid="{AEFEA9EB-F447-4B4D-90B3-C0EA8B943D69}">
      <text>
        <r>
          <rPr>
            <b/>
            <sz val="9"/>
            <color indexed="81"/>
            <rFont val="Tahoma"/>
            <family val="2"/>
            <charset val="162"/>
          </rPr>
          <t>Mahir Er:</t>
        </r>
        <r>
          <rPr>
            <sz val="9"/>
            <color indexed="81"/>
            <rFont val="Tahoma"/>
            <family val="2"/>
            <charset val="162"/>
          </rPr>
          <t xml:space="preserve">
Roket bütçe miktarına çekildi</t>
        </r>
      </text>
    </comment>
    <comment ref="M90" authorId="0" shapeId="0" xr:uid="{A3411BE9-CB51-46A2-918C-19321E5662E6}">
      <text>
        <r>
          <rPr>
            <b/>
            <sz val="9"/>
            <color indexed="81"/>
            <rFont val="Tahoma"/>
            <family val="2"/>
            <charset val="162"/>
          </rPr>
          <t>Mahir Er:</t>
        </r>
        <r>
          <rPr>
            <sz val="9"/>
            <color indexed="81"/>
            <rFont val="Tahoma"/>
            <family val="2"/>
            <charset val="162"/>
          </rPr>
          <t xml:space="preserve">
Tahmini Miktar
</t>
        </r>
      </text>
    </comment>
    <comment ref="M150" authorId="0" shapeId="0" xr:uid="{7E413CD4-40B6-499A-AD12-A6C277A6A78B}">
      <text>
        <r>
          <rPr>
            <b/>
            <sz val="9"/>
            <color indexed="81"/>
            <rFont val="Tahoma"/>
            <family val="2"/>
            <charset val="162"/>
          </rPr>
          <t>Mahir Er:</t>
        </r>
        <r>
          <rPr>
            <sz val="9"/>
            <color indexed="81"/>
            <rFont val="Tahoma"/>
            <family val="2"/>
            <charset val="162"/>
          </rPr>
          <t xml:space="preserve">
Oransal olarak tahmini miktar
</t>
        </r>
      </text>
    </comment>
    <comment ref="M151" authorId="0" shapeId="0" xr:uid="{D98FC083-7176-4A9A-B381-8380EBEAB200}">
      <text>
        <r>
          <rPr>
            <b/>
            <sz val="9"/>
            <color indexed="81"/>
            <rFont val="Tahoma"/>
            <family val="2"/>
            <charset val="162"/>
          </rPr>
          <t>Mahir Er:</t>
        </r>
        <r>
          <rPr>
            <sz val="9"/>
            <color indexed="81"/>
            <rFont val="Tahoma"/>
            <family val="2"/>
            <charset val="162"/>
          </rPr>
          <t xml:space="preserve">
Oransal olarak tahmini miktar
</t>
        </r>
      </text>
    </comment>
    <comment ref="M152" authorId="0" shapeId="0" xr:uid="{FE097D69-5D11-4FB1-88E6-70930FB549E1}">
      <text>
        <r>
          <rPr>
            <b/>
            <sz val="9"/>
            <color indexed="81"/>
            <rFont val="Tahoma"/>
            <family val="2"/>
            <charset val="162"/>
          </rPr>
          <t>Mahir Er:</t>
        </r>
        <r>
          <rPr>
            <sz val="9"/>
            <color indexed="81"/>
            <rFont val="Tahoma"/>
            <family val="2"/>
            <charset val="162"/>
          </rPr>
          <t xml:space="preserve">
Oransal olarak tahmini miktar
</t>
        </r>
      </text>
    </comment>
    <comment ref="M153" authorId="0" shapeId="0" xr:uid="{CA55B464-DD13-4756-A34B-085DE316C7CB}">
      <text>
        <r>
          <rPr>
            <b/>
            <sz val="9"/>
            <color indexed="81"/>
            <rFont val="Tahoma"/>
            <family val="2"/>
            <charset val="162"/>
          </rPr>
          <t>Mahir Er:</t>
        </r>
        <r>
          <rPr>
            <sz val="9"/>
            <color indexed="81"/>
            <rFont val="Tahoma"/>
            <family val="2"/>
            <charset val="162"/>
          </rPr>
          <t xml:space="preserve">
Oransal olarak tahmini miktar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C93" authorId="0" shapeId="0" xr:uid="{D254A071-935A-44B9-B137-20702074542A}">
      <text>
        <r>
          <rPr>
            <b/>
            <sz val="9"/>
            <color indexed="81"/>
            <rFont val="Tahoma"/>
            <family val="2"/>
            <charset val="162"/>
          </rPr>
          <t>Mahir Er:</t>
        </r>
        <r>
          <rPr>
            <sz val="9"/>
            <color indexed="81"/>
            <rFont val="Tahoma"/>
            <family val="2"/>
            <charset val="162"/>
          </rPr>
          <t xml:space="preserve">
Roket Bütçe mitarına göre revize edilmiştir.
</t>
        </r>
      </text>
    </comment>
    <comment ref="C96" authorId="0" shapeId="0" xr:uid="{D653ECA7-5ACA-4D41-98DB-3C2F7C69D04E}">
      <text>
        <r>
          <rPr>
            <b/>
            <sz val="9"/>
            <color indexed="81"/>
            <rFont val="Tahoma"/>
            <family val="2"/>
            <charset val="162"/>
          </rPr>
          <t>Mahir Er:</t>
        </r>
        <r>
          <rPr>
            <sz val="9"/>
            <color indexed="81"/>
            <rFont val="Tahoma"/>
            <family val="2"/>
            <charset val="162"/>
          </rPr>
          <t xml:space="preserve">
Roket Bütçe mitarına göre revize edilmiştir.
</t>
        </r>
      </text>
    </comment>
    <comment ref="C114" authorId="0" shapeId="0" xr:uid="{30140C03-41E8-4AE7-AC81-D56362E3AC4B}">
      <text>
        <r>
          <rPr>
            <b/>
            <sz val="9"/>
            <color indexed="81"/>
            <rFont val="Tahoma"/>
            <family val="2"/>
            <charset val="162"/>
          </rPr>
          <t>Mahir Er:</t>
        </r>
        <r>
          <rPr>
            <sz val="9"/>
            <color indexed="81"/>
            <rFont val="Tahoma"/>
            <family val="2"/>
            <charset val="162"/>
          </rPr>
          <t xml:space="preserve">
Roket Bütçe mitarına göre revize edilmiştir.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C93" authorId="0" shapeId="0" xr:uid="{F94EC1EC-A679-4FAD-8DB5-7E17424FF4BD}">
      <text>
        <r>
          <rPr>
            <b/>
            <sz val="9"/>
            <color indexed="81"/>
            <rFont val="Tahoma"/>
            <family val="2"/>
            <charset val="162"/>
          </rPr>
          <t>Mahir Er:</t>
        </r>
        <r>
          <rPr>
            <sz val="9"/>
            <color indexed="81"/>
            <rFont val="Tahoma"/>
            <family val="2"/>
            <charset val="162"/>
          </rPr>
          <t xml:space="preserve">
Roket Bütçe mitarına göre revize edilmiştir.
</t>
        </r>
      </text>
    </comment>
    <comment ref="C96" authorId="0" shapeId="0" xr:uid="{00A994FA-7D38-4793-91B7-618B98A79905}">
      <text>
        <r>
          <rPr>
            <b/>
            <sz val="9"/>
            <color indexed="81"/>
            <rFont val="Tahoma"/>
            <family val="2"/>
            <charset val="162"/>
          </rPr>
          <t>Mahir Er:</t>
        </r>
        <r>
          <rPr>
            <sz val="9"/>
            <color indexed="81"/>
            <rFont val="Tahoma"/>
            <family val="2"/>
            <charset val="162"/>
          </rPr>
          <t xml:space="preserve">
Roket Bütçe mitarına göre revize edilmiştir.
</t>
        </r>
      </text>
    </comment>
    <comment ref="C114" authorId="0" shapeId="0" xr:uid="{B1073395-808E-46E3-8AAE-67CB2BFF12C3}">
      <text>
        <r>
          <rPr>
            <b/>
            <sz val="9"/>
            <color indexed="81"/>
            <rFont val="Tahoma"/>
            <family val="2"/>
            <charset val="162"/>
          </rPr>
          <t>Mahir Er:</t>
        </r>
        <r>
          <rPr>
            <sz val="9"/>
            <color indexed="81"/>
            <rFont val="Tahoma"/>
            <family val="2"/>
            <charset val="162"/>
          </rPr>
          <t xml:space="preserve">
Roket Bütçe mitarına göre revize edilmiştir.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ADF8CC-4D60-4332-B42A-FA5B29B4B052}"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E10F20A8-2841-40A9-B732-D29A659A97A3}"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3" xr16:uid="{AAD3B00F-F973-4D7F-ADE3-A319776531D2}"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4" xr16:uid="{7B998F73-3EBF-4DB0-917B-175214630789}" keepAlive="1" name="Query - GİDER MİKTAR GROUPED" description="Connection to the 'GİDER MİKTAR GROUPED' query in the workbook." type="5" refreshedVersion="8" background="1" saveData="1">
    <dbPr connection="Provider=Microsoft.Mashup.OleDb.1;Data Source=$Workbook$;Location=&quot;GİDER MİKTAR GROUPED&quot;;Extended Properties=&quot;&quot;" command="SELECT * FROM [GİDER MİKTAR GROUPED]"/>
  </connection>
  <connection id="5" xr16:uid="{227A3CB5-4EAB-4986-874B-5815EC5CC023}" keepAlive="1" name="Query - L1" description="Connection to the 'L1' query in the workbook." type="5" refreshedVersion="0" background="1">
    <dbPr connection="Provider=Microsoft.Mashup.OleDb.1;Data Source=$Workbook$;Location=L1;Extended Properties=&quot;&quot;" command="SELECT * FROM [L1]"/>
  </connection>
  <connection id="6" xr16:uid="{F3E8AE06-26B3-465C-AA69-248B4415CC2B}" keepAlive="1" name="Query - L2" description="Connection to the 'L2' query in the workbook." type="5" refreshedVersion="0" background="1">
    <dbPr connection="Provider=Microsoft.Mashup.OleDb.1;Data Source=$Workbook$;Location=L2;Extended Properties=&quot;&quot;" command="SELECT * FROM [L2]"/>
  </connection>
  <connection id="7" xr16:uid="{FCEE63EB-6F70-42E7-AD14-39B831F5A7F7}" keepAlive="1" name="Query - L3" description="Connection to the 'L3' query in the workbook." type="5" refreshedVersion="0" background="1">
    <dbPr connection="Provider=Microsoft.Mashup.OleDb.1;Data Source=$Workbook$;Location=L3;Extended Properties=&quot;&quot;" command="SELECT * FROM [L3]"/>
  </connection>
  <connection id="8" xr16:uid="{E28F3AC8-ABEC-4E24-BD13-95E664610345}" keepAlive="1" name="Query - L4" description="Connection to the 'L4' query in the workbook." type="5" refreshedVersion="0" background="1">
    <dbPr connection="Provider=Microsoft.Mashup.OleDb.1;Data Source=$Workbook$;Location=L4;Extended Properties=&quot;&quot;" command="SELECT * FROM [L4]"/>
  </connection>
  <connection id="9" xr16:uid="{52818DA4-F7EB-4C09-BF15-864D8CDACABE}" keepAlive="1" name="Query - L4T" description="Connection to the 'L4T' query in the workbook." type="5" refreshedVersion="8" background="1" saveData="1">
    <dbPr connection="Provider=Microsoft.Mashup.OleDb.1;Data Source=$Workbook$;Location=L4T;Extended Properties=&quot;&quot;" command="SELECT * FROM [L4T]"/>
  </connection>
  <connection id="10" xr16:uid="{AACE4362-2C36-4181-BACF-5B8A020D3A3B}" keepAlive="1" name="Query - M1" description="Connection to the 'M1' query in the workbook." type="5" refreshedVersion="0" background="1">
    <dbPr connection="Provider=Microsoft.Mashup.OleDb.1;Data Source=$Workbook$;Location=M1;Extended Properties=&quot;&quot;" command="SELECT * FROM [M1]"/>
  </connection>
  <connection id="11" xr16:uid="{B3225AD2-45E7-4648-A302-597E52C9C91A}" keepAlive="1" name="Query - M2" description="Connection to the 'M2' query in the workbook." type="5" refreshedVersion="0" background="1">
    <dbPr connection="Provider=Microsoft.Mashup.OleDb.1;Data Source=$Workbook$;Location=M2;Extended Properties=&quot;&quot;" command="SELECT * FROM [M2]"/>
  </connection>
  <connection id="12" xr16:uid="{CC7EF5A4-9D74-4BEB-9CB9-691D7495753E}" keepAlive="1" name="Query - M2T" description="Connection to the 'M2T' query in the workbook." type="5" refreshedVersion="8" background="1" saveData="1">
    <dbPr connection="Provider=Microsoft.Mashup.OleDb.1;Data Source=$Workbook$;Location=M2T;Extended Properties=&quot;&quot;" command="SELECT * FROM [M2T]"/>
  </connection>
</connections>
</file>

<file path=xl/sharedStrings.xml><?xml version="1.0" encoding="utf-8"?>
<sst xmlns="http://schemas.openxmlformats.org/spreadsheetml/2006/main" count="29260" uniqueCount="5342">
  <si>
    <t>Rep Month</t>
  </si>
  <si>
    <t>L4 Code</t>
  </si>
  <si>
    <t>D-01.ALT-01.TPR-001</t>
  </si>
  <si>
    <t>M2 Code</t>
  </si>
  <si>
    <t>T1 Code</t>
  </si>
  <si>
    <t>D-01.ALT-02.SNT-001</t>
  </si>
  <si>
    <t>D-01.ALT-02.SNT-002</t>
  </si>
  <si>
    <t>D-01.ALT-02.SNT-003</t>
  </si>
  <si>
    <t>D-01.ALT-02.SNT-005</t>
  </si>
  <si>
    <t>D-01.ALT-02.SNT-007</t>
  </si>
  <si>
    <t>D-01.ALT-02.SNT-008</t>
  </si>
  <si>
    <t>D-01.ALT-02.SNT-011</t>
  </si>
  <si>
    <t>D-01.ALT-02.SNT-018</t>
  </si>
  <si>
    <t>D-01.ALT-02.SNT-029</t>
  </si>
  <si>
    <t>D-01.ALT-02.SNT-037</t>
  </si>
  <si>
    <t>D-01.ALT-02.SNT-043</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</si>
  <si>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</si>
  <si>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</si>
  <si>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</si>
  <si>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</si>
  <si>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</si>
  <si>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</si>
  <si>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</si>
  <si>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</si>
  <si>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</si>
  <si>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</si>
  <si>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</si>
  <si>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</si>
  <si>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</si>
  <si>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</si>
  <si>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1001</t>
  </si>
  <si>
    <t>FFAK</t>
  </si>
  <si>
    <t>DGS.01</t>
  </si>
  <si>
    <t>DGS.02</t>
  </si>
  <si>
    <t>DOĞUŞ TEKNİK</t>
  </si>
  <si>
    <t>Sözleşme Miktar</t>
  </si>
  <si>
    <t>Kalan Miktar</t>
  </si>
  <si>
    <t>Toplam Miktar</t>
  </si>
  <si>
    <t>AYGM-TP-001-TA</t>
  </si>
  <si>
    <t>AYGM-SN-001-TA</t>
  </si>
  <si>
    <t>AYGM-SN-002-TA</t>
  </si>
  <si>
    <t>AYGM-SN-003-TA</t>
  </si>
  <si>
    <t>AYGM-SN-005-TA</t>
  </si>
  <si>
    <t>AYGM-SN-007-TA</t>
  </si>
  <si>
    <t>AYGM-SN-008-TA</t>
  </si>
  <si>
    <t>AYGM-SN-011-TA</t>
  </si>
  <si>
    <t>AYGM-SN-018-TA</t>
  </si>
  <si>
    <t>AYGM-SN-029-TA</t>
  </si>
  <si>
    <t>AYGM-SN-037-TA</t>
  </si>
  <si>
    <t>AYGM-SN-043-TA</t>
  </si>
  <si>
    <t>AYGM-TN-001-TA</t>
  </si>
  <si>
    <t>AYGM-TN-002-TA</t>
  </si>
  <si>
    <t>AYGM-TN-003-TA</t>
  </si>
  <si>
    <t>AYGM-TN-004-TA</t>
  </si>
  <si>
    <t>AYGM-TN-005-TA</t>
  </si>
  <si>
    <t>AYGM-TN-006-TA</t>
  </si>
  <si>
    <t>AYGM-TN-007-TA</t>
  </si>
  <si>
    <t>AYGM-TN-009-TA</t>
  </si>
  <si>
    <t>AYGM-TN-010-TA</t>
  </si>
  <si>
    <t>AYGM-TN-011-TA</t>
  </si>
  <si>
    <t>AYGM-TN-013-TA</t>
  </si>
  <si>
    <t>AYGM-TN-016-TA</t>
  </si>
  <si>
    <t>AYGM-TN-017-TA</t>
  </si>
  <si>
    <t>AYGM-TN-018-TA</t>
  </si>
  <si>
    <t>AYGM-TP-001-TA-1</t>
  </si>
  <si>
    <t>Taşeron Kod</t>
  </si>
  <si>
    <t>2408</t>
  </si>
  <si>
    <t>Kalan Dağılan Fark</t>
  </si>
  <si>
    <t>1003</t>
  </si>
  <si>
    <t>PTS.01</t>
  </si>
  <si>
    <t>PTS.02</t>
  </si>
  <si>
    <t>999-SHG-1101</t>
  </si>
  <si>
    <t>102-TNL-1101</t>
  </si>
  <si>
    <t>999-SHG-1103</t>
  </si>
  <si>
    <t>102-TNL-1103</t>
  </si>
  <si>
    <t>RYS.01</t>
  </si>
  <si>
    <t>999-SHG-1102</t>
  </si>
  <si>
    <t>1002</t>
  </si>
  <si>
    <t>AYGM - TP - 001 - TA 
(Patlatmasız)</t>
  </si>
  <si>
    <t>AYGM - TP - 001 - TA 
(Patlatmalı)</t>
  </si>
  <si>
    <t>KOD</t>
  </si>
  <si>
    <t>AÇIKLAMA</t>
  </si>
  <si>
    <t>BİRİM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</si>
  <si>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</si>
  <si>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</si>
  <si>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</si>
  <si>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</si>
  <si>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</si>
  <si>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</si>
  <si>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</si>
  <si>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</si>
  <si>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</si>
  <si>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</si>
  <si>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</si>
  <si>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</si>
  <si>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</si>
  <si>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</si>
  <si>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</si>
  <si>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</si>
  <si>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SEVİYE</t>
  </si>
  <si>
    <t>A</t>
  </si>
  <si>
    <t>AYGM GELİR KALEMLERİ</t>
  </si>
  <si>
    <t/>
  </si>
  <si>
    <t>A-01.ALT</t>
  </si>
  <si>
    <t>GELİR - ALTYAPI İŞLERİ</t>
  </si>
  <si>
    <t>01.ALT</t>
  </si>
  <si>
    <t>A-01.ALT-01.TPR</t>
  </si>
  <si>
    <t>GELİR - TOPRAK İŞLERİ</t>
  </si>
  <si>
    <t>01.TPR</t>
  </si>
  <si>
    <t>A-01.ALT-01.TPR-001</t>
  </si>
  <si>
    <t>KAZI - YARMA VE YAN ARIYET</t>
  </si>
  <si>
    <t>m³</t>
  </si>
  <si>
    <t>01-ALTYAPI İŞLERİ</t>
  </si>
  <si>
    <t>AYGM-TP-001</t>
  </si>
  <si>
    <t>Her cins ve klastaki zeminde yarma ve yan ariyet kazısı yapılması, nakli ve kullanılması (sulama ve sıkıştırma dahil)  (depo yerleri yükleniciye ait) (herşey dahil)</t>
  </si>
  <si>
    <t>IN.01</t>
  </si>
  <si>
    <t>0</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</si>
  <si>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</si>
  <si>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</si>
  <si>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</si>
  <si>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</si>
  <si>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</si>
  <si>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</si>
  <si>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</si>
  <si>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</si>
  <si>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</si>
  <si>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</si>
  <si>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</si>
  <si>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</si>
  <si>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</si>
  <si>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</si>
  <si>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</si>
  <si>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</si>
  <si>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</si>
  <si>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</si>
  <si>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</si>
  <si>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</si>
  <si>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</si>
  <si>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</si>
  <si>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</si>
  <si>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</si>
  <si>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</si>
  <si>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</si>
  <si>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</si>
  <si>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</si>
  <si>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</si>
  <si>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</si>
  <si>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</si>
  <si>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</si>
  <si>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</si>
  <si>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</si>
  <si>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</si>
  <si>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</si>
  <si>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</si>
  <si>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</si>
  <si>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</si>
  <si>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</si>
  <si>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</si>
  <si>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</si>
  <si>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</si>
  <si>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</si>
  <si>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</si>
  <si>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</si>
  <si>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</si>
  <si>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</si>
  <si>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t</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</si>
  <si>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</si>
  <si>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</si>
  <si>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</si>
  <si>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</si>
  <si>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</si>
  <si>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</si>
  <si>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</si>
  <si>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</si>
  <si>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</si>
  <si>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</si>
  <si>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</si>
  <si>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</si>
  <si>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</si>
  <si>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m</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</si>
  <si>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</si>
  <si>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</si>
  <si>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</si>
  <si>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</si>
  <si>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</si>
  <si>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</si>
  <si>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</si>
  <si>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</si>
  <si>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</si>
  <si>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</si>
  <si>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</si>
  <si>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</si>
  <si>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</si>
  <si>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</si>
  <si>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</si>
  <si>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kg</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</si>
  <si>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</si>
  <si>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</si>
  <si>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</si>
  <si>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</si>
  <si>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</si>
  <si>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</si>
  <si>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</si>
  <si>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</si>
  <si>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</si>
  <si>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</si>
  <si>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</si>
  <si>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</si>
  <si>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</si>
  <si>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</si>
  <si>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</si>
  <si>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</si>
  <si>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</si>
  <si>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</si>
  <si>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</si>
  <si>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</si>
  <si>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</si>
  <si>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</si>
  <si>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</si>
  <si>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</si>
  <si>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</si>
  <si>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</si>
  <si>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</si>
  <si>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</si>
  <si>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</si>
  <si>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</si>
  <si>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</si>
  <si>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</si>
  <si>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</si>
  <si>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</si>
  <si>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</si>
  <si>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</si>
  <si>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</si>
  <si>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</si>
  <si>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</si>
  <si>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</si>
  <si>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</si>
  <si>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</si>
  <si>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</si>
  <si>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</si>
  <si>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</si>
  <si>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</si>
  <si>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</si>
  <si>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</si>
  <si>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</si>
  <si>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</si>
  <si>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</si>
  <si>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</si>
  <si>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</si>
  <si>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</si>
  <si>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</si>
  <si>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</si>
  <si>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</si>
  <si>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</si>
  <si>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</si>
  <si>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</si>
  <si>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</si>
  <si>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</si>
  <si>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</si>
  <si>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</si>
  <si>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</si>
  <si>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</si>
  <si>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</si>
  <si>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</si>
  <si>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</si>
  <si>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</si>
  <si>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</si>
  <si>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</si>
  <si>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</si>
  <si>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</si>
  <si>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</si>
  <si>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</si>
  <si>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</si>
  <si>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</si>
  <si>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</si>
  <si>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</si>
  <si>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m²</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</si>
  <si>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</si>
  <si>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</si>
  <si>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</si>
  <si>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</si>
  <si>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</si>
  <si>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</si>
  <si>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</si>
  <si>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</si>
  <si>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</si>
  <si>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</si>
  <si>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</si>
  <si>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</si>
  <si>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</si>
  <si>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</si>
  <si>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dm³</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</si>
  <si>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</si>
  <si>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</si>
  <si>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</si>
  <si>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</si>
  <si>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</si>
  <si>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</si>
  <si>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</si>
  <si>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</si>
  <si>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</si>
  <si>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</si>
  <si>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</si>
  <si>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</si>
  <si>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</si>
  <si>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</si>
  <si>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</si>
  <si>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</si>
  <si>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</si>
  <si>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</si>
  <si>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</si>
  <si>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</si>
  <si>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</si>
  <si>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</si>
  <si>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</si>
  <si>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</si>
  <si>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</si>
  <si>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</si>
  <si>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</si>
  <si>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</si>
  <si>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</si>
  <si>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</si>
  <si>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</si>
  <si>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</si>
  <si>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</si>
  <si>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</si>
  <si>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</si>
  <si>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</si>
  <si>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</si>
  <si>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</si>
  <si>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</si>
  <si>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</si>
  <si>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</si>
  <si>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</si>
  <si>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</si>
  <si>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</si>
  <si>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</si>
  <si>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</si>
  <si>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</si>
  <si>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</si>
  <si>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</si>
  <si>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</si>
  <si>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</si>
  <si>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</si>
  <si>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</si>
  <si>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</si>
  <si>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</si>
  <si>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</si>
  <si>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</si>
  <si>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</si>
  <si>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</si>
  <si>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</si>
  <si>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</si>
  <si>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</si>
  <si>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</si>
  <si>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</si>
  <si>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</si>
  <si>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</si>
  <si>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</si>
  <si>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</si>
  <si>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</si>
  <si>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</si>
  <si>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</si>
  <si>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</si>
  <si>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</si>
  <si>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</si>
  <si>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</si>
  <si>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</si>
  <si>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</si>
  <si>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</si>
  <si>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</si>
  <si>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</si>
  <si>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</si>
  <si>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</si>
  <si>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</si>
  <si>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</si>
  <si>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</si>
  <si>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</si>
  <si>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</si>
  <si>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</si>
  <si>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</si>
  <si>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</si>
  <si>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</si>
  <si>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</si>
  <si>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</si>
  <si>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</si>
  <si>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</si>
  <si>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</si>
  <si>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</si>
  <si>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</si>
  <si>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</si>
  <si>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</si>
  <si>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götürü</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</si>
  <si>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</si>
  <si>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</si>
  <si>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</si>
  <si>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</si>
  <si>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</si>
  <si>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</si>
  <si>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</si>
  <si>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</si>
  <si>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</si>
  <si>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</si>
  <si>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</si>
  <si>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</si>
  <si>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</si>
  <si>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</si>
  <si>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</si>
  <si>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</si>
  <si>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</si>
  <si>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</si>
  <si>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</si>
  <si>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</si>
  <si>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</si>
  <si>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</si>
  <si>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</si>
  <si>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</si>
  <si>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</si>
  <si>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</si>
  <si>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</si>
  <si>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</si>
  <si>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</si>
  <si>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</si>
  <si>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</si>
  <si>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</si>
  <si>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</si>
  <si>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</si>
  <si>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</si>
  <si>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</si>
  <si>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</si>
  <si>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</si>
  <si>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</si>
  <si>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</si>
  <si>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</si>
  <si>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</si>
  <si>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</si>
  <si>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</si>
  <si>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</si>
  <si>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</si>
  <si>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</si>
  <si>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</si>
  <si>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</si>
  <si>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</si>
  <si>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</si>
  <si>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</si>
  <si>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</si>
  <si>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</si>
  <si>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</si>
  <si>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</si>
  <si>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</si>
  <si>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</si>
  <si>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</si>
  <si>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</si>
  <si>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</si>
  <si>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</si>
  <si>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</si>
  <si>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</si>
  <si>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</si>
  <si>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adet</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</si>
  <si>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</si>
  <si>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</si>
  <si>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</si>
  <si>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</si>
  <si>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</si>
  <si>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</si>
  <si>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</si>
  <si>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</si>
  <si>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</si>
  <si>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</si>
  <si>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</si>
  <si>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</si>
  <si>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</si>
  <si>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</si>
  <si>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</si>
  <si>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</si>
  <si>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</si>
  <si>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</si>
  <si>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</si>
  <si>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</si>
  <si>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</si>
  <si>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</si>
  <si>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</si>
  <si>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</si>
  <si>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</si>
  <si>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</si>
  <si>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</si>
  <si>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</si>
  <si>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</si>
  <si>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</si>
  <si>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</si>
  <si>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</si>
  <si>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</si>
  <si>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</si>
  <si>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</si>
  <si>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</si>
  <si>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</si>
  <si>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</si>
  <si>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</si>
  <si>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</si>
  <si>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</si>
  <si>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</si>
  <si>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</si>
  <si>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</si>
  <si>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</si>
  <si>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</si>
  <si>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</si>
  <si>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</si>
  <si>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</si>
  <si>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</si>
  <si>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</si>
  <si>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</si>
  <si>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</si>
  <si>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</si>
  <si>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</si>
  <si>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</si>
  <si>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</si>
  <si>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</si>
  <si>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</si>
  <si>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</si>
  <si>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</si>
  <si>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</si>
  <si>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</si>
  <si>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</si>
  <si>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</si>
  <si>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</si>
  <si>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</si>
  <si>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</si>
  <si>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</si>
  <si>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</si>
  <si>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</si>
  <si>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</si>
  <si>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</si>
  <si>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</si>
  <si>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</si>
  <si>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</si>
  <si>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</si>
  <si>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</si>
  <si>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</si>
  <si>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</si>
  <si>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</si>
  <si>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</si>
  <si>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</si>
  <si>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</si>
  <si>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</si>
  <si>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</si>
  <si>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</si>
  <si>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</si>
  <si>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</si>
  <si>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</si>
  <si>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</si>
  <si>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</si>
  <si>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</si>
  <si>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</si>
  <si>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</si>
  <si>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</si>
  <si>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</si>
  <si>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</si>
  <si>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</si>
  <si>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</si>
  <si>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</si>
  <si>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</si>
  <si>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</si>
  <si>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</si>
  <si>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</si>
  <si>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</si>
  <si>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</si>
  <si>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</si>
  <si>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</si>
  <si>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</si>
  <si>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</si>
  <si>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</si>
  <si>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</si>
  <si>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</si>
  <si>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</si>
  <si>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</si>
  <si>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</si>
  <si>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</si>
  <si>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</si>
  <si>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</si>
  <si>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</si>
  <si>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</si>
  <si>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</si>
  <si>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</si>
  <si>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</si>
  <si>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</si>
  <si>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</si>
  <si>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</si>
  <si>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</si>
  <si>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</si>
  <si>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</si>
  <si>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</si>
  <si>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</si>
  <si>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</si>
  <si>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</si>
  <si>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</si>
  <si>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</si>
  <si>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</si>
  <si>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</si>
  <si>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</si>
  <si>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</si>
  <si>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</si>
  <si>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</si>
  <si>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</si>
  <si>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</si>
  <si>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</si>
  <si>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</si>
  <si>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</si>
  <si>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</si>
  <si>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</si>
  <si>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</si>
  <si>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</si>
  <si>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</si>
  <si>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</si>
  <si>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</si>
  <si>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</si>
  <si>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</si>
  <si>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</si>
  <si>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</si>
  <si>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</si>
  <si>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</si>
  <si>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</si>
  <si>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</si>
  <si>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</si>
  <si>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</si>
  <si>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</si>
  <si>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</si>
  <si>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</si>
  <si>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</si>
  <si>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</si>
  <si>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</si>
  <si>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</si>
  <si>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</si>
  <si>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</si>
  <si>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</si>
  <si>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</si>
  <si>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</si>
  <si>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</si>
  <si>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</si>
  <si>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</si>
  <si>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</si>
  <si>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</si>
  <si>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</si>
  <si>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</si>
  <si>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</si>
  <si>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</si>
  <si>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</si>
  <si>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</si>
  <si>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</si>
  <si>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</si>
  <si>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</si>
  <si>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</si>
  <si>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</si>
  <si>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</si>
  <si>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</si>
  <si>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</si>
  <si>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</si>
  <si>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</si>
  <si>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</si>
  <si>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</si>
  <si>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</si>
  <si>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</si>
  <si>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</si>
  <si>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</si>
  <si>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</si>
  <si>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</si>
  <si>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</si>
  <si>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</si>
  <si>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</si>
  <si>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</si>
  <si>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</si>
  <si>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</si>
  <si>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</si>
  <si>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</si>
  <si>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</si>
  <si>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</si>
  <si>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</si>
  <si>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</si>
  <si>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</si>
  <si>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</si>
  <si>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</si>
  <si>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</si>
  <si>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</si>
  <si>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</si>
  <si>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</si>
  <si>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</si>
  <si>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</si>
  <si>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</si>
  <si>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</si>
  <si>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</si>
  <si>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</si>
  <si>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</si>
  <si>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</si>
  <si>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</si>
  <si>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</si>
  <si>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</si>
  <si>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</si>
  <si>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</si>
  <si>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</si>
  <si>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</si>
  <si>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</si>
  <si>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</si>
  <si>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</si>
  <si>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</si>
  <si>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</si>
  <si>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</si>
  <si>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</si>
  <si>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</si>
  <si>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</si>
  <si>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</si>
  <si>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</si>
  <si>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</si>
  <si>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</si>
  <si>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</si>
  <si>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</si>
  <si>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</si>
  <si>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</si>
  <si>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</si>
  <si>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</si>
  <si>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</si>
  <si>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</si>
  <si>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</si>
  <si>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</si>
  <si>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</si>
  <si>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</si>
  <si>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</si>
  <si>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</si>
  <si>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</si>
  <si>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</si>
  <si>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</si>
  <si>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</si>
  <si>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</si>
  <si>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</si>
  <si>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</si>
  <si>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</si>
  <si>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</si>
  <si>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</si>
  <si>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</si>
  <si>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</si>
  <si>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</si>
  <si>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</si>
  <si>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</si>
  <si>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</si>
  <si>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</si>
  <si>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</si>
  <si>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</si>
  <si>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</si>
  <si>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</si>
  <si>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</si>
  <si>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</si>
  <si>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</si>
  <si>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</si>
  <si>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</si>
  <si>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</si>
  <si>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</si>
  <si>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</si>
  <si>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</si>
  <si>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</si>
  <si>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</si>
  <si>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</si>
  <si>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</si>
  <si>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</si>
  <si>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</si>
  <si>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</si>
  <si>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</si>
  <si>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</si>
  <si>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</si>
  <si>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</si>
  <si>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</si>
  <si>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</si>
  <si>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</si>
  <si>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</si>
  <si>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</si>
  <si>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</si>
  <si>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</si>
  <si>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</si>
  <si>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</si>
  <si>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</si>
  <si>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</si>
  <si>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</si>
  <si>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</si>
  <si>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</si>
  <si>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</si>
  <si>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</si>
  <si>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</si>
  <si>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</si>
  <si>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</si>
  <si>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</si>
  <si>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</si>
  <si>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</si>
  <si>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</si>
  <si>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</si>
  <si>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</si>
  <si>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</si>
  <si>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</si>
  <si>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</si>
  <si>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</si>
  <si>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</si>
  <si>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</si>
  <si>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</si>
  <si>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</si>
  <si>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</si>
  <si>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</si>
  <si>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</si>
  <si>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</si>
  <si>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</si>
  <si>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</si>
  <si>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</si>
  <si>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</si>
  <si>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</si>
  <si>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</si>
  <si>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</si>
  <si>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</si>
  <si>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</si>
  <si>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</si>
  <si>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</si>
  <si>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</si>
  <si>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</si>
  <si>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</si>
  <si>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</si>
  <si>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</si>
  <si>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</si>
  <si>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</si>
  <si>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</si>
  <si>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</si>
  <si>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</si>
  <si>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</si>
  <si>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</si>
  <si>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</si>
  <si>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</si>
  <si>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</si>
  <si>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</si>
  <si>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</si>
  <si>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</si>
  <si>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</si>
  <si>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</si>
  <si>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</si>
  <si>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</si>
  <si>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</si>
  <si>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</si>
  <si>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</si>
  <si>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</si>
  <si>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</si>
  <si>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</si>
  <si>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</si>
  <si>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</si>
  <si>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</si>
  <si>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</si>
  <si>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</si>
  <si>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</si>
  <si>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</si>
  <si>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</si>
  <si>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</si>
  <si>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</si>
  <si>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</si>
  <si>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</si>
  <si>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</si>
  <si>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</si>
  <si>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</si>
  <si>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</si>
  <si>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</si>
  <si>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</si>
  <si>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</si>
  <si>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</si>
  <si>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</si>
  <si>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</si>
  <si>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</si>
  <si>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</si>
  <si>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</si>
  <si>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</si>
  <si>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</si>
  <si>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</si>
  <si>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</si>
  <si>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</si>
  <si>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</si>
  <si>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</si>
  <si>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</si>
  <si>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</si>
  <si>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</si>
  <si>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</si>
  <si>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</si>
  <si>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</si>
  <si>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</si>
  <si>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</si>
  <si>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</si>
  <si>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</si>
  <si>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</si>
  <si>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</si>
  <si>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</si>
  <si>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</si>
  <si>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</si>
  <si>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</si>
  <si>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</si>
  <si>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</si>
  <si>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</si>
  <si>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</si>
  <si>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</si>
  <si>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</si>
  <si>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</si>
  <si>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</si>
  <si>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</si>
  <si>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</si>
  <si>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</si>
  <si>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</si>
  <si>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</si>
  <si>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</si>
  <si>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</si>
  <si>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</si>
  <si>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</si>
  <si>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</si>
  <si>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</si>
  <si>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</si>
  <si>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</si>
  <si>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</si>
  <si>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</si>
  <si>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</si>
  <si>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</si>
  <si>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</si>
  <si>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</si>
  <si>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</si>
  <si>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</si>
  <si>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</si>
  <si>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</si>
  <si>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</si>
  <si>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</si>
  <si>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</si>
  <si>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</si>
  <si>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</si>
  <si>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</si>
  <si>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</si>
  <si>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</si>
  <si>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</si>
  <si>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</si>
  <si>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</si>
  <si>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</si>
  <si>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</si>
  <si>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</si>
  <si>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</si>
  <si>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</si>
  <si>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</si>
  <si>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</si>
  <si>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</si>
  <si>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</si>
  <si>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</si>
  <si>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</si>
  <si>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</si>
  <si>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</si>
  <si>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</si>
  <si>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</si>
  <si>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</si>
  <si>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</si>
  <si>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</si>
  <si>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</si>
  <si>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</si>
  <si>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</si>
  <si>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</si>
  <si>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</si>
  <si>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</si>
  <si>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</si>
  <si>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</si>
  <si>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</si>
  <si>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</si>
  <si>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</si>
  <si>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</si>
  <si>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</si>
  <si>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</si>
  <si>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</si>
  <si>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</si>
  <si>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</si>
  <si>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</si>
  <si>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</si>
  <si>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</si>
  <si>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</si>
  <si>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</si>
  <si>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</si>
  <si>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</si>
  <si>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</si>
  <si>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</si>
  <si>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</si>
  <si>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</si>
  <si>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</si>
  <si>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</si>
  <si>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</si>
  <si>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</si>
  <si>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</si>
  <si>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</si>
  <si>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</si>
  <si>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</si>
  <si>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</si>
  <si>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</si>
  <si>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</si>
  <si>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</si>
  <si>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</si>
  <si>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</si>
  <si>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</si>
  <si>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</si>
  <si>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</si>
  <si>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</si>
  <si>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</si>
  <si>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</si>
  <si>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</si>
  <si>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</si>
  <si>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</si>
  <si>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</si>
  <si>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</si>
  <si>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</si>
  <si>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</si>
  <si>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</si>
  <si>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</si>
  <si>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</si>
  <si>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</si>
  <si>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</si>
  <si>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</si>
  <si>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</si>
  <si>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</si>
  <si>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</si>
  <si>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</si>
  <si>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</si>
  <si>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</si>
  <si>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</si>
  <si>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</si>
  <si>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</si>
  <si>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</si>
  <si>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</si>
  <si>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</si>
  <si>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</si>
  <si>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</si>
  <si>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</si>
  <si>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</si>
  <si>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</si>
  <si>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</si>
  <si>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</si>
  <si>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</si>
  <si>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</si>
  <si>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</si>
  <si>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</si>
  <si>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</si>
  <si>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</si>
  <si>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</si>
  <si>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</si>
  <si>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</si>
  <si>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</si>
  <si>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</si>
  <si>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</si>
  <si>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</si>
  <si>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</si>
  <si>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</si>
  <si>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</si>
  <si>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</si>
  <si>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</si>
  <si>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</si>
  <si>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</si>
  <si>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</si>
  <si>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</si>
  <si>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</si>
  <si>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</si>
  <si>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</si>
  <si>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</si>
  <si>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</si>
  <si>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</si>
  <si>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</si>
  <si>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</si>
  <si>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</si>
  <si>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</si>
  <si>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</si>
  <si>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</si>
  <si>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</si>
  <si>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</si>
  <si>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</si>
  <si>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</si>
  <si>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</si>
  <si>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</si>
  <si>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</si>
  <si>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</si>
  <si>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</si>
  <si>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</si>
  <si>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</si>
  <si>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</si>
  <si>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</si>
  <si>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</si>
  <si>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</si>
  <si>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</si>
  <si>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</si>
  <si>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</si>
  <si>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</si>
  <si>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</si>
  <si>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</si>
  <si>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</si>
  <si>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</si>
  <si>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</si>
  <si>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</si>
  <si>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</si>
  <si>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</si>
  <si>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</si>
  <si>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</si>
  <si>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</si>
  <si>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</si>
  <si>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</si>
  <si>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</si>
  <si>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</si>
  <si>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</si>
  <si>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</si>
  <si>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</si>
  <si>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</si>
  <si>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</si>
  <si>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</si>
  <si>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</si>
  <si>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</si>
  <si>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</si>
  <si>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</si>
  <si>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</si>
  <si>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</si>
  <si>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</si>
  <si>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</si>
  <si>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</si>
  <si>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</si>
  <si>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</si>
  <si>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</si>
  <si>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</si>
  <si>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</si>
  <si>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</si>
  <si>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</si>
  <si>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</si>
  <si>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</si>
  <si>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</si>
  <si>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</si>
  <si>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</si>
  <si>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</si>
  <si>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</si>
  <si>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</si>
  <si>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</si>
  <si>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</si>
  <si>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</si>
  <si>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</si>
  <si>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</si>
  <si>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</si>
  <si>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</si>
  <si>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</si>
  <si>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</si>
  <si>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</si>
  <si>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</si>
  <si>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</si>
  <si>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</si>
  <si>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</si>
  <si>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</si>
  <si>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</si>
  <si>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</si>
  <si>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</si>
  <si>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</si>
  <si>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</si>
  <si>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</si>
  <si>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</si>
  <si>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</si>
  <si>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</si>
  <si>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</si>
  <si>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</si>
  <si>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</si>
  <si>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</si>
  <si>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</si>
  <si>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</si>
  <si>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</si>
  <si>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</si>
  <si>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</si>
  <si>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</si>
  <si>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</si>
  <si>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</si>
  <si>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</si>
  <si>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</si>
  <si>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</si>
  <si>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</si>
  <si>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</si>
  <si>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</si>
  <si>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</si>
  <si>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</si>
  <si>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</si>
  <si>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</si>
  <si>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</si>
  <si>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</si>
  <si>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</si>
  <si>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</si>
  <si>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</si>
  <si>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</si>
  <si>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</si>
  <si>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</si>
  <si>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</si>
  <si>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</si>
  <si>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</si>
  <si>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</si>
  <si>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</si>
  <si>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</si>
  <si>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</si>
  <si>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</si>
  <si>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</si>
  <si>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</si>
  <si>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</si>
  <si>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</si>
  <si>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</si>
  <si>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</si>
  <si>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</si>
  <si>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</si>
  <si>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</si>
  <si>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</si>
  <si>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</si>
  <si>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</si>
  <si>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</si>
  <si>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</si>
  <si>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</si>
  <si>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</si>
  <si>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</si>
  <si>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</si>
  <si>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</si>
  <si>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</si>
  <si>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</si>
  <si>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</si>
  <si>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</si>
  <si>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</si>
  <si>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</si>
  <si>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</si>
  <si>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</si>
  <si>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</si>
  <si>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</si>
  <si>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</si>
  <si>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</si>
  <si>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</si>
  <si>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</si>
  <si>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</si>
  <si>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</si>
  <si>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</si>
  <si>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</si>
  <si>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</si>
  <si>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</si>
  <si>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</si>
  <si>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</si>
  <si>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</si>
  <si>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</si>
  <si>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</si>
  <si>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</si>
  <si>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</si>
  <si>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</si>
  <si>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</si>
  <si>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</si>
  <si>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</si>
  <si>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</si>
  <si>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</si>
  <si>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</si>
  <si>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</si>
  <si>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</si>
  <si>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</si>
  <si>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</si>
  <si>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</si>
  <si>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</si>
  <si>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</si>
  <si>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</si>
  <si>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</si>
  <si>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</si>
  <si>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</si>
  <si>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</si>
  <si>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</si>
  <si>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</si>
  <si>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</si>
  <si>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</si>
  <si>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</si>
  <si>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</si>
  <si>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</si>
  <si>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</si>
  <si>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</si>
  <si>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</si>
  <si>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</si>
  <si>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</si>
  <si>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</si>
  <si>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</si>
  <si>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</si>
  <si>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</si>
  <si>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</si>
  <si>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</si>
  <si>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</si>
  <si>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</si>
  <si>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</si>
  <si>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</si>
  <si>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</si>
  <si>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</si>
  <si>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</si>
  <si>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</si>
  <si>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</si>
  <si>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</si>
  <si>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</si>
  <si>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</si>
  <si>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</si>
  <si>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</si>
  <si>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</si>
  <si>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</si>
  <si>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</si>
  <si>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</si>
  <si>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</si>
  <si>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</si>
  <si>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</si>
  <si>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</si>
  <si>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</si>
  <si>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</si>
  <si>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</si>
  <si>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</si>
  <si>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</si>
  <si>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</si>
  <si>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</si>
  <si>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</si>
  <si>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</si>
  <si>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</si>
  <si>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</si>
  <si>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</si>
  <si>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</si>
  <si>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</si>
  <si>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</si>
  <si>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</si>
  <si>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</si>
  <si>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</si>
  <si>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</si>
  <si>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</si>
  <si>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</si>
  <si>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</si>
  <si>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</si>
  <si>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</si>
  <si>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</si>
  <si>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</si>
  <si>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</si>
  <si>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</si>
  <si>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</si>
  <si>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</si>
  <si>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</si>
  <si>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</si>
  <si>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</si>
  <si>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</si>
  <si>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</si>
  <si>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</si>
  <si>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</si>
  <si>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</si>
  <si>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</si>
  <si>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</si>
  <si>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</si>
  <si>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</si>
  <si>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</si>
  <si>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</si>
  <si>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</si>
  <si>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</si>
  <si>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</si>
  <si>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</si>
  <si>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</si>
  <si>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</si>
  <si>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</si>
  <si>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</si>
  <si>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</si>
  <si>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</si>
  <si>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</si>
  <si>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</si>
  <si>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</si>
  <si>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</si>
  <si>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</si>
  <si>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</si>
  <si>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</si>
  <si>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</si>
  <si>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</si>
  <si>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</si>
  <si>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</si>
  <si>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</si>
  <si>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</si>
  <si>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</si>
  <si>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</si>
  <si>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</si>
  <si>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</si>
  <si>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</si>
  <si>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</si>
  <si>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</si>
  <si>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</si>
  <si>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</si>
  <si>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</si>
  <si>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</si>
  <si>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</si>
  <si>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</si>
  <si>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</si>
  <si>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</si>
  <si>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</si>
  <si>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</si>
  <si>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</si>
  <si>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</si>
  <si>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</si>
  <si>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</si>
  <si>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</si>
  <si>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</si>
  <si>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</si>
  <si>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</si>
  <si>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</si>
  <si>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</si>
  <si>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</si>
  <si>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</si>
  <si>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</si>
  <si>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</si>
  <si>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</si>
  <si>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</si>
  <si>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</si>
  <si>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</si>
  <si>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</si>
  <si>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</si>
  <si>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</si>
  <si>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</si>
  <si>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</si>
  <si>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</si>
  <si>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</si>
  <si>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</si>
  <si>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</si>
  <si>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</si>
  <si>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</si>
  <si>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</si>
  <si>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</si>
  <si>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</si>
  <si>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</si>
  <si>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</si>
  <si>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</si>
  <si>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</si>
  <si>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</si>
  <si>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</si>
  <si>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</si>
  <si>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</si>
  <si>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</si>
  <si>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</si>
  <si>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</si>
  <si>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</si>
  <si>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</si>
  <si>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</si>
  <si>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</si>
  <si>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</si>
  <si>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</si>
  <si>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</si>
  <si>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</si>
  <si>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</si>
  <si>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</si>
  <si>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</si>
  <si>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</si>
  <si>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</si>
  <si>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</si>
  <si>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</si>
  <si>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</si>
  <si>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</si>
  <si>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</si>
  <si>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</si>
  <si>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</si>
  <si>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</si>
  <si>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</si>
  <si>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</si>
  <si>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</si>
  <si>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</si>
  <si>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</si>
  <si>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</si>
  <si>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</si>
  <si>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</si>
  <si>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</si>
  <si>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</si>
  <si>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</si>
  <si>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</si>
  <si>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</si>
  <si>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</si>
  <si>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</si>
  <si>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</si>
  <si>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</si>
  <si>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</si>
  <si>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</si>
  <si>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</si>
  <si>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</si>
  <si>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</si>
  <si>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</si>
  <si>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</si>
  <si>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</si>
  <si>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</si>
  <si>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</si>
  <si>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</si>
  <si>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</si>
  <si>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</si>
  <si>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</si>
  <si>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</si>
  <si>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</si>
  <si>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</si>
  <si>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</si>
  <si>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</si>
  <si>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</si>
  <si>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</si>
  <si>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</si>
  <si>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</si>
  <si>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</si>
  <si>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</si>
  <si>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</si>
  <si>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</si>
  <si>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</si>
  <si>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</si>
  <si>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</si>
  <si>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</si>
  <si>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</si>
  <si>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</si>
  <si>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</si>
  <si>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</si>
  <si>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</si>
  <si>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</si>
  <si>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</si>
  <si>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</si>
  <si>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</si>
  <si>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</si>
  <si>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</si>
  <si>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</si>
  <si>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</si>
  <si>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</si>
  <si>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</si>
  <si>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</si>
  <si>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</si>
  <si>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</si>
  <si>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</si>
  <si>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</si>
  <si>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</si>
  <si>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</si>
  <si>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</si>
  <si>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</si>
  <si>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</si>
  <si>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</si>
  <si>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</si>
  <si>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</si>
  <si>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</si>
  <si>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</si>
  <si>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</si>
  <si>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</si>
  <si>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</si>
  <si>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</si>
  <si>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</si>
  <si>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</si>
  <si>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</si>
  <si>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</si>
  <si>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</si>
  <si>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</si>
  <si>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</si>
  <si>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</si>
  <si>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</si>
  <si>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</si>
  <si>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</si>
  <si>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</si>
  <si>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</si>
  <si>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</si>
  <si>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</si>
  <si>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</si>
  <si>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</si>
  <si>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</si>
  <si>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</si>
  <si>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</si>
  <si>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</si>
  <si>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</si>
  <si>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</si>
  <si>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</si>
  <si>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</si>
  <si>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</si>
  <si>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</si>
  <si>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</si>
  <si>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</si>
  <si>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</si>
  <si>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</si>
  <si>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</si>
  <si>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</si>
  <si>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</si>
  <si>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</si>
  <si>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</si>
  <si>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</si>
  <si>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</si>
  <si>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</si>
  <si>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</si>
  <si>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</si>
  <si>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</si>
  <si>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</si>
  <si>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</si>
  <si>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</si>
  <si>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</si>
  <si>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</si>
  <si>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</si>
  <si>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</si>
  <si>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</si>
  <si>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</si>
  <si>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</si>
  <si>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</si>
  <si>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</si>
  <si>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</si>
  <si>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</si>
  <si>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</si>
  <si>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</si>
  <si>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</si>
  <si>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</si>
  <si>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</si>
  <si>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</si>
  <si>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</si>
  <si>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</si>
  <si>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</si>
  <si>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</si>
  <si>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</si>
  <si>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</si>
  <si>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</si>
  <si>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</si>
  <si>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</si>
  <si>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</si>
  <si>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</si>
  <si>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</si>
  <si>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</si>
  <si>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</si>
  <si>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</si>
  <si>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</si>
  <si>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</si>
  <si>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</si>
  <si>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</si>
  <si>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</si>
  <si>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</si>
  <si>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</si>
  <si>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</si>
  <si>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</si>
  <si>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</si>
  <si>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</si>
  <si>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</si>
  <si>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</si>
  <si>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</si>
  <si>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</si>
  <si>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</si>
  <si>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</si>
  <si>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</si>
  <si>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</si>
  <si>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</si>
  <si>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</si>
  <si>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</si>
  <si>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</si>
  <si>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</si>
  <si>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</si>
  <si>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</si>
  <si>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</si>
  <si>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</si>
  <si>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</si>
  <si>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</si>
  <si>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</si>
  <si>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</si>
  <si>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</si>
  <si>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</si>
  <si>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</si>
  <si>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</si>
  <si>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</si>
  <si>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</si>
  <si>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</si>
  <si>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</si>
  <si>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</si>
  <si>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</si>
  <si>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</si>
  <si>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</si>
  <si>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</si>
  <si>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</si>
  <si>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</si>
  <si>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</si>
  <si>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</si>
  <si>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</si>
  <si>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</si>
  <si>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</si>
  <si>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</si>
  <si>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</si>
  <si>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</si>
  <si>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</si>
  <si>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</si>
  <si>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</si>
  <si>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</si>
  <si>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</si>
  <si>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</si>
  <si>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</si>
  <si>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</si>
  <si>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</si>
  <si>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</si>
  <si>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</si>
  <si>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</si>
  <si>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</si>
  <si>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</si>
  <si>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</si>
  <si>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</si>
  <si>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</si>
  <si>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</si>
  <si>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</si>
  <si>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</si>
  <si>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</si>
  <si>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</si>
  <si>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</si>
  <si>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</si>
  <si>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</si>
  <si>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</si>
  <si>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</si>
  <si>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</si>
  <si>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</si>
  <si>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</si>
  <si>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</si>
  <si>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</si>
  <si>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</si>
  <si>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</si>
  <si>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</si>
  <si>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</si>
  <si>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</si>
  <si>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</si>
  <si>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</si>
  <si>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</si>
  <si>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</si>
  <si>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</si>
  <si>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</si>
  <si>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</si>
  <si>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</si>
  <si>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</si>
  <si>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</si>
  <si>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</si>
  <si>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</si>
  <si>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</si>
  <si>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</si>
  <si>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</si>
  <si>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</si>
  <si>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</si>
  <si>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</si>
  <si>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</si>
  <si>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</si>
  <si>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</si>
  <si>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</si>
  <si>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</si>
  <si>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</si>
  <si>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</si>
  <si>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</si>
  <si>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</si>
  <si>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</si>
  <si>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</si>
  <si>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</si>
  <si>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</si>
  <si>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</si>
  <si>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</si>
  <si>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</si>
  <si>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</si>
  <si>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</si>
  <si>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</si>
  <si>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</si>
  <si>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</si>
  <si>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</si>
  <si>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</si>
  <si>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</si>
  <si>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</si>
  <si>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</si>
  <si>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</si>
  <si>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</si>
  <si>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</si>
  <si>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</si>
  <si>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</si>
  <si>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</si>
  <si>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</si>
  <si>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</si>
  <si>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</si>
  <si>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</si>
  <si>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</si>
  <si>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</si>
  <si>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</si>
  <si>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</si>
  <si>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</si>
  <si>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</si>
  <si>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</si>
  <si>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</si>
  <si>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</si>
  <si>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</si>
  <si>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</si>
  <si>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</si>
  <si>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</si>
  <si>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</si>
  <si>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</si>
  <si>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</si>
  <si>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</si>
  <si>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</si>
  <si>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</si>
  <si>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</si>
  <si>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</si>
  <si>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</si>
  <si>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</si>
  <si>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</si>
  <si>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</si>
  <si>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</si>
  <si>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</si>
  <si>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</si>
  <si>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</si>
  <si>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</si>
  <si>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</si>
  <si>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</si>
  <si>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</si>
  <si>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</si>
  <si>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</si>
  <si>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</si>
  <si>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</si>
  <si>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</si>
  <si>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</si>
  <si>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</si>
  <si>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</si>
  <si>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</si>
  <si>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</si>
  <si>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</si>
  <si>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</si>
  <si>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</si>
  <si>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</si>
  <si>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</si>
  <si>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</si>
  <si>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</si>
  <si>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</si>
  <si>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</si>
  <si>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</si>
  <si>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</si>
  <si>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</si>
  <si>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</si>
  <si>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</si>
  <si>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</si>
  <si>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</si>
  <si>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</si>
  <si>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</si>
  <si>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</si>
  <si>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</si>
  <si>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</si>
  <si>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</si>
  <si>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</si>
  <si>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</si>
  <si>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</si>
  <si>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</si>
  <si>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</si>
  <si>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</si>
  <si>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</si>
  <si>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</si>
  <si>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</si>
  <si>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</si>
  <si>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</si>
  <si>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</si>
  <si>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</si>
  <si>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</si>
  <si>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</si>
  <si>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</si>
  <si>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</si>
  <si>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</si>
  <si>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</si>
  <si>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</si>
  <si>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</si>
  <si>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</si>
  <si>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</si>
  <si>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</si>
  <si>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</si>
  <si>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</si>
  <si>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</si>
  <si>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</si>
  <si>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</si>
  <si>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</si>
  <si>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</si>
  <si>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</si>
  <si>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</si>
  <si>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</si>
  <si>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</si>
  <si>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</si>
  <si>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</si>
  <si>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</si>
  <si>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</si>
  <si>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</si>
  <si>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</si>
  <si>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</si>
  <si>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</si>
  <si>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</si>
  <si>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</si>
  <si>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</si>
  <si>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</si>
  <si>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</si>
  <si>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</si>
  <si>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</si>
  <si>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</si>
  <si>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</si>
  <si>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</si>
  <si>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</si>
  <si>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</si>
  <si>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</si>
  <si>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</si>
  <si>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</si>
  <si>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</si>
  <si>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</si>
  <si>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</si>
  <si>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</si>
  <si>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</si>
  <si>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</si>
  <si>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</si>
  <si>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</si>
  <si>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</si>
  <si>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</si>
  <si>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</si>
  <si>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</si>
  <si>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</si>
  <si>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</si>
  <si>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</si>
  <si>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</si>
  <si>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</si>
  <si>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</si>
  <si>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</si>
  <si>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</si>
  <si>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</si>
  <si>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</si>
  <si>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</si>
  <si>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</si>
  <si>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</si>
  <si>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</si>
  <si>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</si>
  <si>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</si>
  <si>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</si>
  <si>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</si>
  <si>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</si>
  <si>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</si>
  <si>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</si>
  <si>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</si>
  <si>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</si>
  <si>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</si>
  <si>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</si>
  <si>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</si>
  <si>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</si>
  <si>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</si>
  <si>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</si>
  <si>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</si>
  <si>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</si>
  <si>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</si>
  <si>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</si>
  <si>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</si>
  <si>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</si>
  <si>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</si>
  <si>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</si>
  <si>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</si>
  <si>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</si>
  <si>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</si>
  <si>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</si>
  <si>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</si>
  <si>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</si>
  <si>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</si>
  <si>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</si>
  <si>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</si>
  <si>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</si>
  <si>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</si>
  <si>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</si>
  <si>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</si>
  <si>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</si>
  <si>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</si>
  <si>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</si>
  <si>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</si>
  <si>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</si>
  <si>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</si>
  <si>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</si>
  <si>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</si>
  <si>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</si>
  <si>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</si>
  <si>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</si>
  <si>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</si>
  <si>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</si>
  <si>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</si>
  <si>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</si>
  <si>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</si>
  <si>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</si>
  <si>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</si>
  <si>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</si>
  <si>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</si>
  <si>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</si>
  <si>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</si>
  <si>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</si>
  <si>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</si>
  <si>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</si>
  <si>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</si>
  <si>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</si>
  <si>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</si>
  <si>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</si>
  <si>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</si>
  <si>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</si>
  <si>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</si>
  <si>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</si>
  <si>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</si>
  <si>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</si>
  <si>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</si>
  <si>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</si>
  <si>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</si>
  <si>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</si>
  <si>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</si>
  <si>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</si>
  <si>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</si>
  <si>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</si>
  <si>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</si>
  <si>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</si>
  <si>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</si>
  <si>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</si>
  <si>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</si>
  <si>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</si>
  <si>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</si>
  <si>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</si>
  <si>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</si>
  <si>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</si>
  <si>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</si>
  <si>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</si>
  <si>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</si>
  <si>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</si>
  <si>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</si>
  <si>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</si>
  <si>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</si>
  <si>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</si>
  <si>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</si>
  <si>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</si>
  <si>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</si>
  <si>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</si>
  <si>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</si>
  <si>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</si>
  <si>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</si>
  <si>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</si>
  <si>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</si>
  <si>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</si>
  <si>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</si>
  <si>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</si>
  <si>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</si>
  <si>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</si>
  <si>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</si>
  <si>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</si>
  <si>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</si>
  <si>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</si>
  <si>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</si>
  <si>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</si>
  <si>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</si>
  <si>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</si>
  <si>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</si>
  <si>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</si>
  <si>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</si>
  <si>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</si>
  <si>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</si>
  <si>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</si>
  <si>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</si>
  <si>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</si>
  <si>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</si>
  <si>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</si>
  <si>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</si>
  <si>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</si>
  <si>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</si>
  <si>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</si>
  <si>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</si>
  <si>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</si>
  <si>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</si>
  <si>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</si>
  <si>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</si>
  <si>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</si>
  <si>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</si>
  <si>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</si>
  <si>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</si>
  <si>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</si>
  <si>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</si>
  <si>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</si>
  <si>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</si>
  <si>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</si>
  <si>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</si>
  <si>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</si>
  <si>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</si>
  <si>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</si>
  <si>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</si>
  <si>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</si>
  <si>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</si>
  <si>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</si>
  <si>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</si>
  <si>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</si>
  <si>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</si>
  <si>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</si>
  <si>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</si>
  <si>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</si>
  <si>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</si>
  <si>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</si>
  <si>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</si>
  <si>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</si>
  <si>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</si>
  <si>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</si>
  <si>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</si>
  <si>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</si>
  <si>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</si>
  <si>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</si>
  <si>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</si>
  <si>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</si>
  <si>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</si>
  <si>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</si>
  <si>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</si>
  <si>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</si>
  <si>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</si>
  <si>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</si>
  <si>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</si>
  <si>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</si>
  <si>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</si>
  <si>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</si>
  <si>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</si>
  <si>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</si>
  <si>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</si>
  <si>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</si>
  <si>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</si>
  <si>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</si>
  <si>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</si>
  <si>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</si>
  <si>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</si>
  <si>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</si>
  <si>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</si>
  <si>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</si>
  <si>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</si>
  <si>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</si>
  <si>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</si>
  <si>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</si>
  <si>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</si>
  <si>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</si>
  <si>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</si>
  <si>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</si>
  <si>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</si>
  <si>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</si>
  <si>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</si>
  <si>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</si>
  <si>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</si>
  <si>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</si>
  <si>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</si>
  <si>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</si>
  <si>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</si>
  <si>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</si>
  <si>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</si>
  <si>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</si>
  <si>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</si>
  <si>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</si>
  <si>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</si>
  <si>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</si>
  <si>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</si>
  <si>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</si>
  <si>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</si>
  <si>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</si>
  <si>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</si>
  <si>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</si>
  <si>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</si>
  <si>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</si>
  <si>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</si>
  <si>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</si>
  <si>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</si>
  <si>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</si>
  <si>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</si>
  <si>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</si>
  <si>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</si>
  <si>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</si>
  <si>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</si>
  <si>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</si>
  <si>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</si>
  <si>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</si>
  <si>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</si>
  <si>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</si>
  <si>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</si>
  <si>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</si>
  <si>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</si>
  <si>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</si>
  <si>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</si>
  <si>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</si>
  <si>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</si>
  <si>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</si>
  <si>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</si>
  <si>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</si>
  <si>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</si>
  <si>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</si>
  <si>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</si>
  <si>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</si>
  <si>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</si>
  <si>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</si>
  <si>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</si>
  <si>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</si>
  <si>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</si>
  <si>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</si>
  <si>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</si>
  <si>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</si>
  <si>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</si>
  <si>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</si>
  <si>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</si>
  <si>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</si>
  <si>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</si>
  <si>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</si>
  <si>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</si>
  <si>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</si>
  <si>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</si>
  <si>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</si>
  <si>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</si>
  <si>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</si>
  <si>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</si>
  <si>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</si>
  <si>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</si>
  <si>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</si>
  <si>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</si>
  <si>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</si>
  <si>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</si>
  <si>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</si>
  <si>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</si>
  <si>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</si>
  <si>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</si>
  <si>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</si>
  <si>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</si>
  <si>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</si>
  <si>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</si>
  <si>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</si>
  <si>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</si>
  <si>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</si>
  <si>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</si>
  <si>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</si>
  <si>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</si>
  <si>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</si>
  <si>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</si>
  <si>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</si>
  <si>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</si>
  <si>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</si>
  <si>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</si>
  <si>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</si>
  <si>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</si>
  <si>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</si>
  <si>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</si>
  <si>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</si>
  <si>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</si>
  <si>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</si>
  <si>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</si>
  <si>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</si>
  <si>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</si>
  <si>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</si>
  <si>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</si>
  <si>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</si>
  <si>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</si>
  <si>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</si>
  <si>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</si>
  <si>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</si>
  <si>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</si>
  <si>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</si>
  <si>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</si>
  <si>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</si>
  <si>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</si>
  <si>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</si>
  <si>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</si>
  <si>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</si>
  <si>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</si>
  <si>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</si>
  <si>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</si>
  <si>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</si>
  <si>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</si>
  <si>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</si>
  <si>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</si>
  <si>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</si>
  <si>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</si>
  <si>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</si>
  <si>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</si>
  <si>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</si>
  <si>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</si>
  <si>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</si>
  <si>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</si>
  <si>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</si>
  <si>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</si>
  <si>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</si>
  <si>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</si>
  <si>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</si>
  <si>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</si>
  <si>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</si>
  <si>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</si>
  <si>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</si>
  <si>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</si>
  <si>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</si>
  <si>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</si>
  <si>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</si>
  <si>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</si>
  <si>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</si>
  <si>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</si>
  <si>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</si>
  <si>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</si>
  <si>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</si>
  <si>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</si>
  <si>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</si>
  <si>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</si>
  <si>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</si>
  <si>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</si>
  <si>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</si>
  <si>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</si>
  <si>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</si>
  <si>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</si>
  <si>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</si>
  <si>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</si>
  <si>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</si>
  <si>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</si>
  <si>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</si>
  <si>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</si>
  <si>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</si>
  <si>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</si>
  <si>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</si>
  <si>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</si>
  <si>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</si>
  <si>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</si>
  <si>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</si>
  <si>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</si>
  <si>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</si>
  <si>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</si>
  <si>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</si>
  <si>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</si>
  <si>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</si>
  <si>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</si>
  <si>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</si>
  <si>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</si>
  <si>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</si>
  <si>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</si>
  <si>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</si>
  <si>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</si>
  <si>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</si>
  <si>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</si>
  <si>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</si>
  <si>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</si>
  <si>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</si>
  <si>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</si>
  <si>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</si>
  <si>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</si>
  <si>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</si>
  <si>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</si>
  <si>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</si>
  <si>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</si>
  <si>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</si>
  <si>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</si>
  <si>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</si>
  <si>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</si>
  <si>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</si>
  <si>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</si>
  <si>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</si>
  <si>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</si>
  <si>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</si>
  <si>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</si>
  <si>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</si>
  <si>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</si>
  <si>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</si>
  <si>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</si>
  <si>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</si>
  <si>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</si>
  <si>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</si>
  <si>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</si>
  <si>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</si>
  <si>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</si>
  <si>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</si>
  <si>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</si>
  <si>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</si>
  <si>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</si>
  <si>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</si>
  <si>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</si>
  <si>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</si>
  <si>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</si>
  <si>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</si>
  <si>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</si>
  <si>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</si>
  <si>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</si>
  <si>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</si>
  <si>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</si>
  <si>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</si>
  <si>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</si>
  <si>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</si>
  <si>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</si>
  <si>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</si>
  <si>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</si>
  <si>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</si>
  <si>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</si>
  <si>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</si>
  <si>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</si>
  <si>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</si>
  <si>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</si>
  <si>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</si>
  <si>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</si>
  <si>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</si>
  <si>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</si>
  <si>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</si>
  <si>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</si>
  <si>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</si>
  <si>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</si>
  <si>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</si>
  <si>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</si>
  <si>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</si>
  <si>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</si>
  <si>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</si>
  <si>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</si>
  <si>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</si>
  <si>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</si>
  <si>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</si>
  <si>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</si>
  <si>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</si>
  <si>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</si>
  <si>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</si>
  <si>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</si>
  <si>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</si>
  <si>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</si>
  <si>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</si>
  <si>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</si>
  <si>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</si>
  <si>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</si>
  <si>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</si>
  <si>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</si>
  <si>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</si>
  <si>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</si>
  <si>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</si>
  <si>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</si>
  <si>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</si>
  <si>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</si>
  <si>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</si>
  <si>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</si>
  <si>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</si>
  <si>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</si>
  <si>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</si>
  <si>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</si>
  <si>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</si>
  <si>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</si>
  <si>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</si>
  <si>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</si>
  <si>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</si>
  <si>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</si>
  <si>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</si>
  <si>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</si>
  <si>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</si>
  <si>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</si>
  <si>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</si>
  <si>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</si>
  <si>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</si>
  <si>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</si>
  <si>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</si>
  <si>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</si>
  <si>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</si>
  <si>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</si>
  <si>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</si>
  <si>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</si>
  <si>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</si>
  <si>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</si>
  <si>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</si>
  <si>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</si>
  <si>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</si>
  <si>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</si>
  <si>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</si>
  <si>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</si>
  <si>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</si>
  <si>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</si>
  <si>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</si>
  <si>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</si>
  <si>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</si>
  <si>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</si>
  <si>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</si>
  <si>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</si>
  <si>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</si>
  <si>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</si>
  <si>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</si>
  <si>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</si>
  <si>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</si>
  <si>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</si>
  <si>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</si>
  <si>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</si>
  <si>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</si>
  <si>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</si>
  <si>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</si>
  <si>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</si>
  <si>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</si>
  <si>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</si>
  <si>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</si>
  <si>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</si>
  <si>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</si>
  <si>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</si>
  <si>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</si>
  <si>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</si>
  <si>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</si>
  <si>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</si>
  <si>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</si>
  <si>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</si>
  <si>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</si>
  <si>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</si>
  <si>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</si>
  <si>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</si>
  <si>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</si>
  <si>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</si>
  <si>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</si>
  <si>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</si>
  <si>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</si>
  <si>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</si>
  <si>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</si>
  <si>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</si>
  <si>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</si>
  <si>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</si>
  <si>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</si>
  <si>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</si>
  <si>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</si>
  <si>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</si>
  <si>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</si>
  <si>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</si>
  <si>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</si>
  <si>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</si>
  <si>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</si>
  <si>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</si>
  <si>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</si>
  <si>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</si>
  <si>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</si>
  <si>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</si>
  <si>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</si>
  <si>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</si>
  <si>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</si>
  <si>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</si>
  <si>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</si>
  <si>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</si>
  <si>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</si>
  <si>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</si>
  <si>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</si>
  <si>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</si>
  <si>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</si>
  <si>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</si>
  <si>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</si>
  <si>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</si>
  <si>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</si>
  <si>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</si>
  <si>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</si>
  <si>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</si>
  <si>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</si>
  <si>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</si>
  <si>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</si>
  <si>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</si>
  <si>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</si>
  <si>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</si>
  <si>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</si>
  <si>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</si>
  <si>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</si>
  <si>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</si>
  <si>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</si>
  <si>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</si>
  <si>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</si>
  <si>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</si>
  <si>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</si>
  <si>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</si>
  <si>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</si>
  <si>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</si>
  <si>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</si>
  <si>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</si>
  <si>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</si>
  <si>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</si>
  <si>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</si>
  <si>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</si>
  <si>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</si>
  <si>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</si>
  <si>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</si>
  <si>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</si>
  <si>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</si>
  <si>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</si>
  <si>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</si>
  <si>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</si>
  <si>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</si>
  <si>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</si>
  <si>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</si>
  <si>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</si>
  <si>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</si>
  <si>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</si>
  <si>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</si>
  <si>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</si>
  <si>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</si>
  <si>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</si>
  <si>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</si>
  <si>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</si>
  <si>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</si>
  <si>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</si>
  <si>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</si>
  <si>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</si>
  <si>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</si>
  <si>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</si>
  <si>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</si>
  <si>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</si>
  <si>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</si>
  <si>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</si>
  <si>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</si>
  <si>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</si>
  <si>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</si>
  <si>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</si>
  <si>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</si>
  <si>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</si>
  <si>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</si>
  <si>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</si>
  <si>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</si>
  <si>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</si>
  <si>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</si>
  <si>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</si>
  <si>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</si>
  <si>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</si>
  <si>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</si>
  <si>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</si>
  <si>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</si>
  <si>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</si>
  <si>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</si>
  <si>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</si>
  <si>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</si>
  <si>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</si>
  <si>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</si>
  <si>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</si>
  <si>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</si>
  <si>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</si>
  <si>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</si>
  <si>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</si>
  <si>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</si>
  <si>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</si>
  <si>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</si>
  <si>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</si>
  <si>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</si>
  <si>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</si>
  <si>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</si>
  <si>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</si>
  <si>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</si>
  <si>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</si>
  <si>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</si>
  <si>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</si>
  <si>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</si>
  <si>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</si>
  <si>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</si>
  <si>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</si>
  <si>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</si>
  <si>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</si>
  <si>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</si>
  <si>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</si>
  <si>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</si>
  <si>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</si>
  <si>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</si>
  <si>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</si>
  <si>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</si>
  <si>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</si>
  <si>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</si>
  <si>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</si>
  <si>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</si>
  <si>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</si>
  <si>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TOPRAK İŞLERİ</t>
  </si>
  <si>
    <t>KNSLD</t>
  </si>
  <si>
    <t>1</t>
  </si>
  <si>
    <t>D-01.ALT-01.TPR-002</t>
  </si>
  <si>
    <t>D-01.ALT-01.TPR-003</t>
  </si>
  <si>
    <t>D-01.ALT-01.TPR-004</t>
  </si>
  <si>
    <t>D-01.ALT-01.TPR-005</t>
  </si>
  <si>
    <t>D-01.ALT-01.TPR-006</t>
  </si>
  <si>
    <t>D-01.ALT-02.SNT</t>
  </si>
  <si>
    <t>SANAT YAPILARI</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</si>
  <si>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</si>
  <si>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</si>
  <si>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</si>
  <si>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</si>
  <si>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</si>
  <si>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</si>
  <si>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</si>
  <si>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</si>
  <si>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</si>
  <si>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</si>
  <si>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</si>
  <si>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</si>
  <si>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</si>
  <si>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</si>
  <si>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</si>
  <si>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</si>
  <si>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KÖPRÜ İŞLERİ</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</si>
  <si>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</si>
  <si>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</si>
  <si>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</si>
  <si>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</si>
  <si>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</si>
  <si>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</si>
  <si>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</si>
  <si>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</si>
  <si>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</si>
  <si>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</si>
  <si>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</si>
  <si>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</si>
  <si>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</si>
  <si>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TÜNEL İŞLERİ</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</si>
  <si>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</si>
  <si>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</si>
  <si>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</si>
  <si>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</si>
  <si>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</si>
  <si>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</si>
  <si>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</si>
  <si>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</si>
  <si>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</si>
  <si>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</si>
  <si>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</si>
  <si>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</si>
  <si>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</si>
  <si>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</si>
  <si>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</si>
  <si>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</si>
  <si>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</si>
  <si>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</si>
  <si>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</si>
  <si>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</si>
  <si>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plt - m</t>
  </si>
  <si>
    <t>D-02.UST-01.UST-020</t>
  </si>
  <si>
    <t>D-02.UST-01.UST-030</t>
  </si>
  <si>
    <t>D-02.UST-01.UST-040</t>
  </si>
  <si>
    <t>D-02.UST-01.UST-051</t>
  </si>
  <si>
    <t>D-02.UST-01.UST-052</t>
  </si>
  <si>
    <t>D-02.UST-01.UST-071</t>
  </si>
  <si>
    <t>hat - m</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</si>
  <si>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</si>
  <si>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</si>
  <si>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</si>
  <si>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</si>
  <si>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</si>
  <si>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</si>
  <si>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</si>
  <si>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</si>
  <si>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</si>
  <si>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</si>
  <si>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</si>
  <si>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</si>
  <si>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</si>
  <si>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</si>
  <si>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</si>
  <si>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</si>
  <si>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</si>
  <si>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</si>
  <si>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</si>
  <si>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</si>
  <si>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</si>
  <si>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</si>
  <si>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</si>
  <si>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</si>
  <si>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</si>
  <si>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</si>
  <si>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</si>
  <si>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</si>
  <si>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</si>
  <si>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</si>
  <si>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</si>
  <si>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</si>
  <si>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</si>
  <si>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</si>
  <si>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</si>
  <si>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</si>
  <si>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</si>
  <si>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</si>
  <si>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</si>
  <si>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</si>
  <si>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</si>
  <si>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</si>
  <si>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</si>
  <si>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</si>
  <si>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</si>
  <si>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</si>
  <si>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</si>
  <si>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</si>
  <si>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</si>
  <si>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</si>
  <si>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</si>
  <si>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</si>
  <si>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adam × ay</t>
  </si>
  <si>
    <t>D-06.PER-01.OPR-102</t>
  </si>
  <si>
    <t>BETON SANTRALI / PLENT OPERATÖR YARDIMCISI</t>
  </si>
  <si>
    <t>D-06.PER-01.OPR-105</t>
  </si>
  <si>
    <t>BETON POMPASI OPERATÖRÜ</t>
  </si>
  <si>
    <t>D-06.PER-01.OPR-112</t>
  </si>
  <si>
    <t>SHOTCRETE MAKINESI OPERATÖRÜ</t>
  </si>
  <si>
    <t>112</t>
  </si>
  <si>
    <t>D-06.PER-01.OPR-115</t>
  </si>
  <si>
    <t>FOREKAZIK &amp; DKK &amp; DSM OPERATÖRÜ</t>
  </si>
  <si>
    <t>115</t>
  </si>
  <si>
    <t>D-06.PER-01.OPR-134</t>
  </si>
  <si>
    <t>FINIŞER OPERATÖRÜ</t>
  </si>
  <si>
    <t>134</t>
  </si>
  <si>
    <t>D-06.PER-01.OPR-201</t>
  </si>
  <si>
    <t>DOZER OPERATÖRÜ</t>
  </si>
  <si>
    <t>201</t>
  </si>
  <si>
    <t>D-06.PER-01.OPR-202</t>
  </si>
  <si>
    <t>EKSKAVATÖR OPERATÖRÜ</t>
  </si>
  <si>
    <t>202</t>
  </si>
  <si>
    <t>D-06.PER-01.OPR-204</t>
  </si>
  <si>
    <t>LODER OPERATÖRÜ</t>
  </si>
  <si>
    <t>204</t>
  </si>
  <si>
    <t>D-06.PER-01.OPR-205</t>
  </si>
  <si>
    <t>KAMYON ŞÖFÖRÜ</t>
  </si>
  <si>
    <t>205</t>
  </si>
  <si>
    <t>D-06.PER-01.OPR-206</t>
  </si>
  <si>
    <t>GREYDER OPERATÖRÜ</t>
  </si>
  <si>
    <t>206</t>
  </si>
  <si>
    <t>D-06.PER-01.OPR-208</t>
  </si>
  <si>
    <t>SILINDIR OPERATÖRÜ</t>
  </si>
  <si>
    <t>208</t>
  </si>
  <si>
    <t>D-06.PER-01.OPR-211</t>
  </si>
  <si>
    <t>JUMBO / TAMOOCK OPERATÖRÜ</t>
  </si>
  <si>
    <t>211</t>
  </si>
  <si>
    <t>D-06.PER-01.OPR-213</t>
  </si>
  <si>
    <t>TIR ŞÖFÖRÜ</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</si>
  <si>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</si>
  <si>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</si>
  <si>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</si>
  <si>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</si>
  <si>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</si>
  <si>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</si>
  <si>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</si>
  <si>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</si>
  <si>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</si>
  <si>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</si>
  <si>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</si>
  <si>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</si>
  <si>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</si>
  <si>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</si>
  <si>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</si>
  <si>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</si>
  <si>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</si>
  <si>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</si>
  <si>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</si>
  <si>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KAYNAKÇI</t>
  </si>
  <si>
    <t>131</t>
  </si>
  <si>
    <t>D-06.PER-91.DGR-201</t>
  </si>
  <si>
    <t>FORMEN</t>
  </si>
  <si>
    <t>D-06.PER-91.DGR-990</t>
  </si>
  <si>
    <t>DIĞER DIREKT İŞÇI ÜCRET VE ÖDEMELERI</t>
  </si>
  <si>
    <t>990</t>
  </si>
  <si>
    <t>D-07.KMK</t>
  </si>
  <si>
    <t>DRK. GİDER - KİRALIK MAKİNELER VE EKİPMANLAR</t>
  </si>
  <si>
    <t>07.KMK</t>
  </si>
  <si>
    <t>D-07.KMK-01.DZR</t>
  </si>
  <si>
    <t>KİRALIK DOZERLER</t>
  </si>
  <si>
    <t>01.DZR</t>
  </si>
  <si>
    <t>D-07.KMK-01.DZR-110</t>
  </si>
  <si>
    <t>KIRALIK DOZER - KOMATSU - D155 - OPERATÖRSÜZ</t>
  </si>
  <si>
    <t>mak × ay</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</si>
  <si>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</si>
  <si>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</si>
  <si>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</si>
  <si>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</si>
  <si>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</si>
  <si>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</si>
  <si>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</si>
  <si>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</si>
  <si>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</si>
  <si>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</si>
  <si>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</si>
  <si>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</si>
  <si>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</si>
  <si>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</si>
  <si>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</si>
  <si>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</si>
  <si>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</si>
  <si>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</si>
  <si>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</si>
  <si>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</si>
  <si>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</si>
  <si>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</si>
  <si>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</si>
  <si>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</si>
  <si>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</si>
  <si>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</si>
  <si>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</si>
  <si>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</si>
  <si>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</si>
  <si>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D-07.KMK-03.EKS-510</t>
  </si>
  <si>
    <t>KİRALIK - HİTACHİ ZX-225</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</si>
  <si>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</si>
  <si>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</si>
  <si>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</si>
  <si>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</si>
  <si>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</si>
  <si>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</si>
  <si>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</si>
  <si>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</si>
  <si>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</si>
  <si>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</si>
  <si>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</si>
  <si>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</si>
  <si>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</si>
  <si>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</si>
  <si>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</si>
  <si>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</si>
  <si>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</si>
  <si>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</si>
  <si>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</si>
  <si>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</si>
  <si>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</si>
  <si>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</si>
  <si>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</si>
  <si>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</si>
  <si>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</si>
  <si>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</si>
  <si>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</si>
  <si>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</si>
  <si>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</si>
  <si>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</si>
  <si>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</si>
  <si>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</si>
  <si>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</si>
  <si>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</si>
  <si>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</si>
  <si>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</si>
  <si>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</si>
  <si>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</si>
  <si>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</si>
  <si>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</si>
  <si>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</si>
  <si>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</si>
  <si>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</si>
  <si>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</si>
  <si>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</si>
  <si>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</si>
  <si>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</si>
  <si>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</si>
  <si>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</si>
  <si>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</si>
  <si>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</si>
  <si>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</si>
  <si>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</si>
  <si>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</si>
  <si>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</si>
  <si>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</si>
  <si>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</si>
  <si>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</si>
  <si>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</si>
  <si>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</si>
  <si>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</si>
  <si>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</si>
  <si>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</si>
  <si>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D-07.KMK-35.JNR</t>
  </si>
  <si>
    <t>KİRALIK JENERATÖRLER</t>
  </si>
  <si>
    <t>35.JNR</t>
  </si>
  <si>
    <t>D-07.KMK-35.JNR-100</t>
  </si>
  <si>
    <t>KİRALIK JENERATÖR</t>
  </si>
  <si>
    <t>100</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</si>
  <si>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</si>
  <si>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</si>
  <si>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</si>
  <si>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</si>
  <si>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</si>
  <si>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</si>
  <si>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</si>
  <si>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</si>
  <si>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</si>
  <si>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</si>
  <si>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</si>
  <si>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</si>
  <si>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</si>
  <si>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</si>
  <si>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</si>
  <si>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</si>
  <si>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</si>
  <si>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</si>
  <si>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</si>
  <si>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</si>
  <si>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</si>
  <si>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</si>
  <si>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</si>
  <si>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</si>
  <si>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</si>
  <si>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</si>
  <si>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</si>
  <si>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</si>
  <si>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</si>
  <si>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</si>
  <si>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</si>
  <si>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</si>
  <si>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</si>
  <si>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</si>
  <si>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</si>
  <si>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</si>
  <si>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</si>
  <si>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</si>
  <si>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</si>
  <si>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</si>
  <si>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</si>
  <si>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</si>
  <si>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</si>
  <si>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</si>
  <si>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</si>
  <si>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</si>
  <si>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</si>
  <si>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</si>
  <si>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</si>
  <si>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</si>
  <si>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</si>
  <si>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</si>
  <si>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</si>
  <si>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</si>
  <si>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</si>
  <si>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</si>
  <si>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</si>
  <si>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</si>
  <si>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</si>
  <si>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</si>
  <si>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</si>
  <si>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</si>
  <si>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</si>
  <si>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</si>
  <si>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</si>
  <si>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</si>
  <si>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</si>
  <si>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</si>
  <si>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</si>
  <si>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</si>
  <si>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</si>
  <si>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</si>
  <si>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</si>
  <si>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</si>
  <si>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</si>
  <si>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</si>
  <si>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</si>
  <si>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</si>
  <si>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</si>
  <si>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</si>
  <si>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</si>
  <si>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</si>
  <si>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</si>
  <si>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</si>
  <si>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</si>
  <si>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</si>
  <si>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</si>
  <si>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</si>
  <si>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</si>
  <si>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</si>
  <si>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</si>
  <si>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</si>
  <si>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</si>
  <si>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</si>
  <si>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</si>
  <si>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</si>
  <si>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</si>
  <si>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</si>
  <si>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</si>
  <si>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</si>
  <si>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</si>
  <si>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</si>
  <si>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</si>
  <si>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</si>
  <si>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</si>
  <si>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</si>
  <si>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</si>
  <si>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</si>
  <si>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</si>
  <si>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</si>
  <si>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</si>
  <si>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</si>
  <si>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</si>
  <si>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</si>
  <si>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</si>
  <si>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</si>
  <si>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</si>
  <si>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</si>
  <si>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</si>
  <si>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</si>
  <si>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</si>
  <si>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</si>
  <si>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</si>
  <si>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</si>
  <si>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</si>
  <si>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</si>
  <si>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</si>
  <si>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</si>
  <si>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</si>
  <si>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</si>
  <si>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</si>
  <si>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</si>
  <si>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</si>
  <si>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</si>
  <si>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</si>
  <si>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</si>
  <si>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</si>
  <si>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</si>
  <si>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</si>
  <si>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</si>
  <si>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</si>
  <si>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</si>
  <si>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</si>
  <si>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</si>
  <si>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</si>
  <si>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</si>
  <si>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</si>
  <si>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</si>
  <si>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</si>
  <si>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</si>
  <si>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</si>
  <si>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</si>
  <si>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</si>
  <si>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</si>
  <si>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</si>
  <si>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</si>
  <si>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</si>
  <si>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</si>
  <si>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</si>
  <si>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</si>
  <si>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</si>
  <si>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</si>
  <si>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</si>
  <si>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</si>
  <si>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</si>
  <si>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</si>
  <si>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</si>
  <si>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</si>
  <si>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</si>
  <si>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</si>
  <si>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</si>
  <si>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</si>
  <si>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</si>
  <si>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</si>
  <si>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</si>
  <si>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</si>
  <si>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</si>
  <si>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</si>
  <si>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</si>
  <si>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</si>
  <si>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</si>
  <si>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</si>
  <si>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</si>
  <si>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</si>
  <si>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</si>
  <si>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</si>
  <si>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</si>
  <si>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</si>
  <si>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</si>
  <si>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</si>
  <si>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</si>
  <si>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</si>
  <si>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</si>
  <si>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</si>
  <si>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</si>
  <si>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</si>
  <si>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</si>
  <si>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</si>
  <si>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</si>
  <si>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</si>
  <si>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</si>
  <si>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</si>
  <si>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</si>
  <si>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</si>
  <si>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</si>
  <si>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</si>
  <si>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</si>
  <si>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</si>
  <si>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</si>
  <si>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</si>
  <si>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</si>
  <si>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</si>
  <si>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GREYDER - CAT 14</t>
  </si>
  <si>
    <t>D-07.MLS-02.EKS</t>
  </si>
  <si>
    <t>EKSKAVATÖRLER VE HİDROLİK KIRICILAR</t>
  </si>
  <si>
    <t>D-07.MLS-02.EKS-120</t>
  </si>
  <si>
    <t>EKSKAVATÖR - 20 / 25 TON</t>
  </si>
  <si>
    <t>D-07.MLS-02.EKS-130</t>
  </si>
  <si>
    <t>EKSKAVATÖR - 26 / 35 TON</t>
  </si>
  <si>
    <t>D-07.MLS-02.EKS-140</t>
  </si>
  <si>
    <t>EKSKAVATÖR - 46 / 55 TON</t>
  </si>
  <si>
    <t>D-07.MLS-02.EKS-170</t>
  </si>
  <si>
    <t>EKSKAVATÖR - 66 / 75 TON</t>
  </si>
  <si>
    <t>D-07.MLS-02.EKS-510</t>
  </si>
  <si>
    <t>HIDROLIK KIRICI</t>
  </si>
  <si>
    <t>D-07.MLS-03.LDR</t>
  </si>
  <si>
    <t>LODERLER VE BEKO LODERLER</t>
  </si>
  <si>
    <t>D-07.MLS-03.LDR-110</t>
  </si>
  <si>
    <t>LODER - CAT 950L / 966L - LASTIKLI</t>
  </si>
  <si>
    <t>D-07.MLS-03.LDR-510</t>
  </si>
  <si>
    <t>BEKO LODER - 4×4 - EŞIT TEKER</t>
  </si>
  <si>
    <t>D-07.MLS-04.KMY</t>
  </si>
  <si>
    <t>KAMYONLAR</t>
  </si>
  <si>
    <t>D-07.MLS-04.KMY-110</t>
  </si>
  <si>
    <t>DAMPERLI KAMYON - 32 TON</t>
  </si>
  <si>
    <t>D-07.MLS-05.MKS</t>
  </si>
  <si>
    <t>BETON MİKSERLERİ</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</si>
  <si>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</si>
  <si>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</si>
  <si>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</si>
  <si>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</si>
  <si>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</si>
  <si>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</si>
  <si>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</si>
  <si>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</si>
  <si>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</si>
  <si>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</si>
  <si>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</si>
  <si>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SİLİNDİRLER</t>
  </si>
  <si>
    <t>D-07.MLS-12.SLN-110</t>
  </si>
  <si>
    <t>SILINDIR - TOPRAK</t>
  </si>
  <si>
    <t>D-07.MLS-13.JRD</t>
  </si>
  <si>
    <t>JUMBO / ROCK VE DELİCİLER</t>
  </si>
  <si>
    <t>D-07.MLS-13.JRD-110</t>
  </si>
  <si>
    <t>JUMBO - ÇIFT KOLLU</t>
  </si>
  <si>
    <t>D-07.MLS-13.JRD-210</t>
  </si>
  <si>
    <t>ROCK</t>
  </si>
  <si>
    <t>D-07.MLS-14.ARZ</t>
  </si>
  <si>
    <t>ARAZÖZLER</t>
  </si>
  <si>
    <t>D-07.MLS-14.ARZ-110</t>
  </si>
  <si>
    <t>ARAZÖZLER ( SU TANKERLERI ) - 18 / 20 TON</t>
  </si>
  <si>
    <t>D-07.MLS-21.STS</t>
  </si>
  <si>
    <t>SABİT TESİSLER</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</si>
  <si>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</si>
  <si>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</si>
  <si>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</si>
  <si>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</si>
  <si>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</si>
  <si>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</si>
  <si>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</si>
  <si>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</si>
  <si>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</si>
  <si>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</si>
  <si>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</si>
  <si>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</si>
  <si>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</si>
  <si>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</si>
  <si>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</si>
  <si>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</si>
  <si>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PÜSKÜRTME MAKİNELERİ</t>
  </si>
  <si>
    <t>D-07.MLS-24.PMK-110</t>
  </si>
  <si>
    <t>PÜSKÜRTME MAKINESI - 30 M³/SA</t>
  </si>
  <si>
    <t>D-07.MLS-31.THL</t>
  </si>
  <si>
    <t>TELEHANDLERLAR</t>
  </si>
  <si>
    <t>D-07.MLS-31.THL-110</t>
  </si>
  <si>
    <t>TELEHANDLER - 14 M. BOMLU SEPETLI</t>
  </si>
  <si>
    <t>D-07.MLS-51.EPS</t>
  </si>
  <si>
    <t>ENJEKSİYON POMPA SETLERİ</t>
  </si>
  <si>
    <t>D-07.MLS-51.EPS-110</t>
  </si>
  <si>
    <t>ENJEKSIYON SETI - MUTO ENJEKSIYON 30 BAR</t>
  </si>
  <si>
    <t>D-07.MLS-52.JNR</t>
  </si>
  <si>
    <t>JENERATÖRLER</t>
  </si>
  <si>
    <t>D-07.MLS-52.JNR-030</t>
  </si>
  <si>
    <t>JENERATÖR - 300 KVA</t>
  </si>
  <si>
    <t>D-07.MLS-52.JNR-050</t>
  </si>
  <si>
    <t>JENERATÖR - 500 KVA</t>
  </si>
  <si>
    <t>D-07.MLS-52.JNR-165</t>
  </si>
  <si>
    <t>JENERATÖR - 1.650 KVA</t>
  </si>
  <si>
    <t>D-07.MLS-53.JFN</t>
  </si>
  <si>
    <t>TÜNEL JETFANLARI</t>
  </si>
  <si>
    <t>D-07.MLS-53.JFN-110</t>
  </si>
  <si>
    <t>TÜNEL JETFAN - 110 / 150 KW</t>
  </si>
  <si>
    <t>D-07.MLS-54.PMP</t>
  </si>
  <si>
    <t>POMPALAR</t>
  </si>
  <si>
    <t>D-07.MLS-54.PMP-110</t>
  </si>
  <si>
    <t>POMPA - 2" - 6" ARASI</t>
  </si>
  <si>
    <t>D-07.MLS-55.TNK</t>
  </si>
  <si>
    <t>TANKLAR</t>
  </si>
  <si>
    <t>D-07.MLS-55.TNK-110</t>
  </si>
  <si>
    <t>SU TANKI - 50 TON</t>
  </si>
  <si>
    <t>D-07.MLS-61.FNS</t>
  </si>
  <si>
    <t>FİNİŞERLER</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</si>
  <si>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</si>
  <si>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</si>
  <si>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</si>
  <si>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</si>
  <si>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</si>
  <si>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</si>
  <si>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</si>
  <si>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</si>
  <si>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</si>
  <si>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</si>
  <si>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</si>
  <si>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</si>
  <si>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</si>
  <si>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</si>
  <si>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</si>
  <si>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</si>
  <si>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</si>
  <si>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</si>
  <si>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</si>
  <si>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</si>
  <si>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</si>
  <si>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</si>
  <si>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</si>
  <si>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</si>
  <si>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</si>
  <si>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</si>
  <si>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</si>
  <si>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</si>
  <si>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</si>
  <si>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</si>
  <si>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</si>
  <si>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</si>
  <si>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</si>
  <si>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</si>
  <si>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</si>
  <si>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</si>
  <si>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</si>
  <si>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</si>
  <si>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</si>
  <si>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</si>
  <si>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</si>
  <si>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</si>
  <si>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</si>
  <si>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</si>
  <si>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</si>
  <si>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</si>
  <si>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</si>
  <si>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</si>
  <si>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</si>
  <si>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</si>
  <si>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</si>
  <si>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</si>
  <si>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</si>
  <si>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</si>
  <si>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</si>
  <si>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</si>
  <si>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</si>
  <si>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</si>
  <si>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</si>
  <si>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</si>
  <si>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</si>
  <si>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</si>
  <si>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</si>
  <si>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</si>
  <si>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</si>
  <si>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</si>
  <si>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</si>
  <si>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</si>
  <si>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</si>
  <si>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</si>
  <si>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</si>
  <si>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</si>
  <si>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</si>
  <si>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</si>
  <si>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</si>
  <si>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</si>
  <si>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</si>
  <si>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</si>
  <si>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</si>
  <si>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</si>
  <si>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</si>
  <si>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</si>
  <si>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</si>
  <si>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</si>
  <si>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</si>
  <si>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</si>
  <si>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</si>
  <si>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</si>
  <si>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</si>
  <si>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</si>
  <si>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</si>
  <si>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</si>
  <si>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</si>
  <si>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</si>
  <si>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</si>
  <si>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</si>
  <si>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</si>
  <si>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</si>
  <si>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</si>
  <si>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</si>
  <si>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</si>
  <si>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</si>
  <si>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</si>
  <si>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</si>
  <si>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</si>
  <si>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</si>
  <si>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</si>
  <si>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</si>
  <si>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</si>
  <si>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</si>
  <si>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</si>
  <si>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</si>
  <si>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</si>
  <si>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</si>
  <si>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</si>
  <si>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</si>
  <si>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</si>
  <si>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</si>
  <si>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</si>
  <si>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</si>
  <si>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</si>
  <si>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</si>
  <si>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</si>
  <si>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</si>
  <si>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</si>
  <si>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</si>
  <si>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</si>
  <si>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</si>
  <si>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</si>
  <si>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</si>
  <si>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</si>
  <si>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</si>
  <si>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</si>
  <si>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</si>
  <si>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</si>
  <si>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</si>
  <si>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</si>
  <si>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</si>
  <si>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</si>
  <si>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</si>
  <si>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</si>
  <si>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</si>
  <si>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</si>
  <si>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</si>
  <si>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</si>
  <si>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</si>
  <si>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</si>
  <si>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</si>
  <si>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</si>
  <si>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</si>
  <si>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</si>
  <si>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</si>
  <si>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</si>
  <si>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</si>
  <si>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</si>
  <si>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</si>
  <si>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</si>
  <si>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</si>
  <si>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</si>
  <si>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</si>
  <si>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HAZIR BETON - C25 / 30</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</si>
  <si>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</si>
  <si>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</si>
  <si>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</si>
  <si>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</si>
  <si>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</si>
  <si>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</si>
  <si>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</si>
  <si>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</si>
  <si>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</si>
  <si>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</si>
  <si>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</si>
  <si>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</si>
  <si>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</si>
  <si>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</si>
  <si>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</si>
  <si>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</si>
  <si>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</si>
  <si>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KUM / AGREGA</t>
  </si>
  <si>
    <t>D-08.MLZ-01.ANA-220</t>
  </si>
  <si>
    <t>TAŞ</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</si>
  <si>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</si>
  <si>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</si>
  <si>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</si>
  <si>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</si>
  <si>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</si>
  <si>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</si>
  <si>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</si>
  <si>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</si>
  <si>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</si>
  <si>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</si>
  <si>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</si>
  <si>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</si>
  <si>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</si>
  <si>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</si>
  <si>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</si>
  <si>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lt</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</si>
  <si>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</si>
  <si>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</si>
  <si>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</si>
  <si>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</si>
  <si>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</si>
  <si>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</si>
  <si>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</si>
  <si>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</si>
  <si>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</si>
  <si>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</si>
  <si>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</si>
  <si>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</si>
  <si>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</si>
  <si>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</si>
  <si>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</si>
  <si>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</si>
  <si>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kwh</t>
  </si>
  <si>
    <t>810</t>
  </si>
  <si>
    <t>D-08.MLZ-01.ANA-820</t>
  </si>
  <si>
    <t>LNG</t>
  </si>
  <si>
    <t>820</t>
  </si>
  <si>
    <t>D-08.MLZ-03.PTI</t>
  </si>
  <si>
    <t>PATLATMALI İŞ MALZEMELERİ</t>
  </si>
  <si>
    <t>03.PTI</t>
  </si>
  <si>
    <t>D-08.MLZ-03.PTI-111</t>
  </si>
  <si>
    <t>ANFO</t>
  </si>
  <si>
    <t>D-08.MLZ-03.PTI-112</t>
  </si>
  <si>
    <t>ANFO - SULU</t>
  </si>
  <si>
    <t>D-08.MLZ-03.PTI-121</t>
  </si>
  <si>
    <t>DINAMIT</t>
  </si>
  <si>
    <t>D-08.MLZ-03.PTI-122</t>
  </si>
  <si>
    <t>KAPSÜLE DUYARLI PATLAYICI - 38 ×370</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</si>
  <si>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</si>
  <si>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</si>
  <si>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</si>
  <si>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</si>
  <si>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</si>
  <si>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</si>
  <si>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</si>
  <si>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</si>
  <si>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</si>
  <si>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</si>
  <si>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</si>
  <si>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</si>
  <si>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</si>
  <si>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</si>
  <si>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</si>
  <si>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</si>
  <si>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</si>
  <si>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</si>
  <si>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</si>
  <si>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</si>
  <si>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</si>
  <si>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</si>
  <si>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</si>
  <si>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</si>
  <si>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</si>
  <si>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</si>
  <si>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PLAKA ( BULON - 150 × 150 × 15 )</t>
  </si>
  <si>
    <t>D-08.MLZ-04.DST-112</t>
  </si>
  <si>
    <t>PLAKA ( BULON - 200 × 200 × 15 ) - IBO</t>
  </si>
  <si>
    <t>D-08.MLZ-04.DST-113</t>
  </si>
  <si>
    <t>PLAKA ( BULON - 200 × 200 × 20 )</t>
  </si>
  <si>
    <t>113</t>
  </si>
  <si>
    <t>D-08.MLZ-04.DST-131</t>
  </si>
  <si>
    <t>R32N BULON ( 6+3 MT )</t>
  </si>
  <si>
    <t>D-08.MLZ-04.DST-132</t>
  </si>
  <si>
    <t>R32 SOMUN ( M² )</t>
  </si>
  <si>
    <t>D-08.MLZ-04.DST-133</t>
  </si>
  <si>
    <t>R32 MANŞON</t>
  </si>
  <si>
    <t>133</t>
  </si>
  <si>
    <t>D-08.MLZ-04.DST-134</t>
  </si>
  <si>
    <t>R32 CROS BIT</t>
  </si>
  <si>
    <t>D-08.MLZ-04.DST-142</t>
  </si>
  <si>
    <t>2.0" ÇELIK BORU</t>
  </si>
  <si>
    <t>D-08.MLZ-04.DST-151</t>
  </si>
  <si>
    <t>M27 SOMUN</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</si>
  <si>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</si>
  <si>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</si>
  <si>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</si>
  <si>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</si>
  <si>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</si>
  <si>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</si>
  <si>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</si>
  <si>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</si>
  <si>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</si>
  <si>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</si>
  <si>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</si>
  <si>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</si>
  <si>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IBO BULON</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</si>
  <si>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</si>
  <si>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</si>
  <si>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</si>
  <si>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</si>
  <si>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</si>
  <si>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</si>
  <si>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</si>
  <si>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</si>
  <si>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</si>
  <si>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</si>
  <si>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</si>
  <si>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</si>
  <si>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</si>
  <si>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</si>
  <si>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</si>
  <si>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</si>
  <si>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</si>
  <si>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</si>
  <si>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</si>
  <si>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</si>
  <si>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</si>
  <si>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</si>
  <si>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</si>
  <si>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</si>
  <si>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</si>
  <si>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</si>
  <si>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</si>
  <si>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</si>
  <si>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</si>
  <si>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</si>
  <si>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</si>
  <si>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</si>
  <si>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</si>
  <si>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</si>
  <si>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</si>
  <si>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</si>
  <si>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</si>
  <si>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</si>
  <si>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</si>
  <si>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DİĞER İNŞAAT MALZEMELERİ</t>
  </si>
  <si>
    <t>08.DGR</t>
  </si>
  <si>
    <t>D-08.MLZ-08.DGR-110</t>
  </si>
  <si>
    <t>ANKRAJ DEMIR PLAKA</t>
  </si>
  <si>
    <t>D-08.MLZ-08.DGR-120</t>
  </si>
  <si>
    <t>SU TUTUCU BANT</t>
  </si>
  <si>
    <t>D-08.MLZ-08.DGR-130</t>
  </si>
  <si>
    <t>NEOPREN MESNET</t>
  </si>
  <si>
    <t>D-08.MLZ-08.DGR-140</t>
  </si>
  <si>
    <t>GENLEŞME DERZI</t>
  </si>
  <si>
    <t>D-08.MLZ-08.DGR-150</t>
  </si>
  <si>
    <t>FONT IZGARA</t>
  </si>
  <si>
    <t>D-08.MLZ-08.DGR-160</t>
  </si>
  <si>
    <t>GEOTEKSTIL KEÇE</t>
  </si>
  <si>
    <t>D-08.MLZ-08.DGR-210</t>
  </si>
  <si>
    <t>BETON BACA GÖVDESI</t>
  </si>
  <si>
    <t>D-08.MLZ-08.DGR-220</t>
  </si>
  <si>
    <t>PREKAST KABLO KANALI VE KAPAKLARI</t>
  </si>
  <si>
    <t>D-08.MLZ-08.DGR-310</t>
  </si>
  <si>
    <t>KATRAN BADANA</t>
  </si>
  <si>
    <t>D-08.MLZ-08.DGR-410</t>
  </si>
  <si>
    <t>MEMBRAN - BITÜMLÜ</t>
  </si>
  <si>
    <t>D-08.MLZ-08.DGR-420</t>
  </si>
  <si>
    <t>MEMBRAN - PVC - 2 MM.</t>
  </si>
  <si>
    <t>D-08.MLZ-08.DGR-510</t>
  </si>
  <si>
    <t>HDPE BORU - Ø 400</t>
  </si>
  <si>
    <t>D-08.MLZ-08.DGR-520</t>
  </si>
  <si>
    <t>PVC BARBAKAN BORU Ø 50</t>
  </si>
  <si>
    <t>D-08.MLZ-08.DGR-530</t>
  </si>
  <si>
    <t>DRENAJ BORUSU Ø 200</t>
  </si>
  <si>
    <t>D-08.MLZ-08.DGR-540</t>
  </si>
  <si>
    <t>ENJEKSIYON/HAVA ALMA AMAÇLI BORU 12 MM.</t>
  </si>
  <si>
    <t>D-08.MLZ-08.DGR-550</t>
  </si>
  <si>
    <t>FANDUCT - 6500 MT.</t>
  </si>
  <si>
    <t>D-08.MLZ-08.DGR-570</t>
  </si>
  <si>
    <t>PVC BORU - Ø 50 - PERFORE</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</si>
  <si>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</si>
  <si>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</si>
  <si>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</si>
  <si>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</si>
  <si>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</si>
  <si>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</si>
  <si>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</si>
  <si>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</si>
  <si>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</si>
  <si>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</si>
  <si>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</si>
  <si>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</si>
  <si>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</si>
  <si>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</si>
  <si>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</si>
  <si>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</si>
  <si>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</si>
  <si>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</si>
  <si>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</si>
  <si>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</si>
  <si>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D-09.TSR-20.MLZ</t>
  </si>
  <si>
    <t>MALZEME TEDARİĞİ</t>
  </si>
  <si>
    <t>20.MLZ</t>
  </si>
  <si>
    <t>D-09.TSR-20.MLZ-100</t>
  </si>
  <si>
    <t>PROFİL DEMİR</t>
  </si>
  <si>
    <t>D-09.TSR-80.KNS</t>
  </si>
  <si>
    <t>GENEL TAŞERONLAR - KONSOLİDE</t>
  </si>
  <si>
    <t>80.KNS</t>
  </si>
  <si>
    <t>GENEL TAŞERONLAR - KONSOLIDE</t>
  </si>
  <si>
    <t>880</t>
  </si>
  <si>
    <t>D-09.TSR-81.MBL</t>
  </si>
  <si>
    <t>MOBİLİZASYON</t>
  </si>
  <si>
    <t>81.MBL</t>
  </si>
  <si>
    <t>D-09.TSR-81.MBL-100</t>
  </si>
  <si>
    <t>D-09.TSR-90.KST</t>
  </si>
  <si>
    <t>GENEL TAŞERONLAR - KESİNTİ</t>
  </si>
  <si>
    <t>90.KST</t>
  </si>
  <si>
    <t>D-09.TSR-90.KST-100</t>
  </si>
  <si>
    <t>KESİNTİ - YEMEK / MUTFAK GIDERLERI</t>
  </si>
  <si>
    <t>D-09.TSR-90.KST-101</t>
  </si>
  <si>
    <t>KESİNTİ - KONAKLAMA GİDERLERİ</t>
  </si>
  <si>
    <t>D-09.TSR-90.KST-700</t>
  </si>
  <si>
    <t>KESİNTİ - OSGB DİGERLERİ</t>
  </si>
  <si>
    <t>700</t>
  </si>
  <si>
    <t>D-09.TSR-90.KST-800</t>
  </si>
  <si>
    <t>KESİNTİ - İŞÇİLİK</t>
  </si>
  <si>
    <t>D-09.TSR-90.KST-900</t>
  </si>
  <si>
    <t>KESİNTİ - MALZEME GİDERLERİ</t>
  </si>
  <si>
    <t>900</t>
  </si>
  <si>
    <t>D-09.TSR-90.KST-910</t>
  </si>
  <si>
    <t>KESİNTİ - YAKIT / ENERJİ GİDERLERİ</t>
  </si>
  <si>
    <t>910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</si>
  <si>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</si>
  <si>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</si>
  <si>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</si>
  <si>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</si>
  <si>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</si>
  <si>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</si>
  <si>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</si>
  <si>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</si>
  <si>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</si>
  <si>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</si>
  <si>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</si>
  <si>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</si>
  <si>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</si>
  <si>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</si>
  <si>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</si>
  <si>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</si>
  <si>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</si>
  <si>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</si>
  <si>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</si>
  <si>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</si>
  <si>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</si>
  <si>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</si>
  <si>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</si>
  <si>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</si>
  <si>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</si>
  <si>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</si>
  <si>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</si>
  <si>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</si>
  <si>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</si>
  <si>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</si>
  <si>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</si>
  <si>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</si>
  <si>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</si>
  <si>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</si>
  <si>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</si>
  <si>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</si>
  <si>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</si>
  <si>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</si>
  <si>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</si>
  <si>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</si>
  <si>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</si>
  <si>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</si>
  <si>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</si>
  <si>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</si>
  <si>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</si>
  <si>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</si>
  <si>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</si>
  <si>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</si>
  <si>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</si>
  <si>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</si>
  <si>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</si>
  <si>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</si>
  <si>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</si>
  <si>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</si>
  <si>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</si>
  <si>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</si>
  <si>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</si>
  <si>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</si>
  <si>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</si>
  <si>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AMR - KANTAR</t>
  </si>
  <si>
    <t>EX.31</t>
  </si>
  <si>
    <t>E-02.MAK-01.AMR-020</t>
  </si>
  <si>
    <t>AMR - AKARYAKIT İSTASYONU</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</si>
  <si>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</si>
  <si>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</si>
  <si>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</si>
  <si>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</si>
  <si>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</si>
  <si>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</si>
  <si>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</si>
  <si>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</si>
  <si>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</si>
  <si>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</si>
  <si>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</si>
  <si>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</si>
  <si>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</si>
  <si>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</si>
  <si>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</si>
  <si>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</si>
  <si>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</si>
  <si>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</si>
  <si>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</si>
  <si>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</si>
  <si>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</si>
  <si>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</si>
  <si>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</si>
  <si>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</si>
  <si>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</si>
  <si>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</si>
  <si>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</si>
  <si>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</si>
  <si>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</si>
  <si>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</si>
  <si>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</si>
  <si>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</si>
  <si>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</si>
  <si>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</si>
  <si>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</si>
  <si>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</si>
  <si>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</si>
  <si>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</si>
  <si>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</si>
  <si>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</si>
  <si>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</si>
  <si>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</si>
  <si>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</si>
  <si>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</si>
  <si>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</si>
  <si>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</si>
  <si>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</si>
  <si>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</si>
  <si>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</si>
  <si>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</si>
  <si>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</si>
  <si>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</si>
  <si>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</si>
  <si>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</si>
  <si>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</si>
  <si>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</si>
  <si>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</si>
  <si>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</si>
  <si>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</si>
  <si>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</si>
  <si>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</si>
  <si>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</si>
  <si>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</si>
  <si>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</si>
  <si>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</si>
  <si>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</si>
  <si>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</si>
  <si>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</si>
  <si>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</si>
  <si>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</si>
  <si>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</si>
  <si>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</si>
  <si>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</si>
  <si>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</si>
  <si>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</si>
  <si>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</si>
  <si>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</si>
  <si>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</si>
  <si>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</si>
  <si>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</si>
  <si>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</si>
  <si>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</si>
  <si>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</si>
  <si>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</si>
  <si>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</si>
  <si>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</si>
  <si>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</si>
  <si>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</si>
  <si>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</si>
  <si>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</si>
  <si>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</si>
  <si>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</si>
  <si>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</si>
  <si>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</si>
  <si>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</si>
  <si>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</si>
  <si>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</si>
  <si>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</si>
  <si>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</si>
  <si>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</si>
  <si>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</si>
  <si>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</si>
  <si>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</si>
  <si>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</si>
  <si>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</si>
  <si>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</si>
  <si>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</si>
  <si>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</si>
  <si>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</si>
  <si>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</si>
  <si>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</si>
  <si>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</si>
  <si>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</si>
  <si>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</si>
  <si>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</si>
  <si>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</si>
  <si>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</si>
  <si>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</si>
  <si>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</si>
  <si>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</si>
  <si>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</si>
  <si>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</si>
  <si>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</si>
  <si>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</si>
  <si>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</si>
  <si>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</si>
  <si>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</si>
  <si>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</si>
  <si>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</si>
  <si>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</si>
  <si>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</si>
  <si>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</si>
  <si>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</si>
  <si>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</si>
  <si>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</si>
  <si>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</si>
  <si>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</si>
  <si>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</si>
  <si>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</si>
  <si>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</si>
  <si>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</si>
  <si>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</si>
  <si>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</si>
  <si>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</si>
  <si>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</si>
  <si>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</si>
  <si>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</si>
  <si>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</si>
  <si>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</si>
  <si>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</si>
  <si>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</si>
  <si>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</si>
  <si>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</si>
  <si>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</si>
  <si>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</si>
  <si>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</si>
  <si>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</si>
  <si>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</si>
  <si>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</si>
  <si>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</si>
  <si>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</si>
  <si>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</si>
  <si>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</si>
  <si>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</si>
  <si>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</si>
  <si>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</si>
  <si>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</si>
  <si>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</si>
  <si>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</si>
  <si>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</si>
  <si>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</si>
  <si>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</si>
  <si>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</si>
  <si>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</si>
  <si>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</si>
  <si>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</si>
  <si>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</si>
  <si>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</si>
  <si>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</si>
  <si>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</si>
  <si>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</si>
  <si>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</si>
  <si>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</si>
  <si>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</si>
  <si>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</si>
  <si>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</si>
  <si>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</si>
  <si>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</si>
  <si>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</si>
  <si>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</si>
  <si>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</si>
  <si>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</si>
  <si>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</si>
  <si>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</si>
  <si>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</si>
  <si>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</si>
  <si>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</si>
  <si>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</si>
  <si>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</si>
  <si>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</si>
  <si>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</si>
  <si>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</si>
  <si>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</si>
  <si>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</si>
  <si>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</si>
  <si>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</si>
  <si>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</si>
  <si>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</si>
  <si>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</si>
  <si>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</si>
  <si>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</si>
  <si>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</si>
  <si>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</si>
  <si>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</si>
  <si>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</si>
  <si>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</si>
  <si>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</si>
  <si>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</si>
  <si>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</si>
  <si>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</si>
  <si>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</si>
  <si>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</si>
  <si>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</si>
  <si>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</si>
  <si>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</si>
  <si>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</si>
  <si>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</si>
  <si>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</si>
  <si>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</si>
  <si>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</si>
  <si>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</si>
  <si>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</si>
  <si>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</si>
  <si>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</si>
  <si>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</si>
  <si>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</si>
  <si>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</si>
  <si>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</si>
  <si>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</si>
  <si>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</si>
  <si>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</si>
  <si>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</si>
  <si>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</si>
  <si>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</si>
  <si>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</si>
  <si>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</si>
  <si>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</si>
  <si>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</si>
  <si>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</si>
  <si>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</si>
  <si>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</si>
  <si>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</si>
  <si>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</si>
  <si>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</si>
  <si>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</si>
  <si>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</si>
  <si>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</si>
  <si>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</si>
  <si>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</si>
  <si>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</si>
  <si>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</si>
  <si>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</si>
  <si>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</si>
  <si>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</si>
  <si>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</si>
  <si>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</si>
  <si>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</si>
  <si>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</si>
  <si>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</si>
  <si>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</si>
  <si>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</si>
  <si>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</si>
  <si>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</si>
  <si>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</si>
  <si>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</si>
  <si>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</si>
  <si>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</si>
  <si>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</si>
  <si>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</si>
  <si>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</si>
  <si>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</si>
  <si>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</si>
  <si>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</si>
  <si>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</si>
  <si>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</si>
  <si>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</si>
  <si>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</si>
  <si>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</si>
  <si>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</si>
  <si>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</si>
  <si>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</si>
  <si>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</si>
  <si>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</si>
  <si>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</si>
  <si>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</si>
  <si>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</si>
  <si>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</si>
  <si>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</si>
  <si>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</si>
  <si>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</si>
  <si>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</si>
  <si>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</si>
  <si>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</si>
  <si>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</si>
  <si>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</si>
  <si>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</si>
  <si>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</si>
  <si>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</si>
  <si>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</si>
  <si>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</si>
  <si>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</si>
  <si>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</si>
  <si>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</si>
  <si>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</si>
  <si>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</si>
  <si>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</si>
  <si>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</si>
  <si>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</si>
  <si>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</si>
  <si>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</si>
  <si>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</si>
  <si>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</si>
  <si>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</si>
  <si>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</si>
  <si>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</si>
  <si>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</si>
  <si>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</si>
  <si>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</si>
  <si>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</si>
  <si>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</si>
  <si>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</si>
  <si>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</si>
  <si>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</si>
  <si>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</si>
  <si>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</si>
  <si>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</si>
  <si>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</si>
  <si>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</si>
  <si>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</si>
  <si>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</si>
  <si>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</si>
  <si>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</si>
  <si>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</si>
  <si>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</si>
  <si>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</si>
  <si>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</si>
  <si>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</si>
  <si>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</si>
  <si>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</si>
  <si>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</si>
  <si>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</si>
  <si>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</si>
  <si>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</si>
  <si>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</si>
  <si>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</si>
  <si>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</si>
  <si>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</si>
  <si>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</si>
  <si>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</si>
  <si>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</si>
  <si>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</si>
  <si>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</si>
  <si>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</si>
  <si>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</si>
  <si>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</si>
  <si>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</si>
  <si>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</si>
  <si>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</si>
  <si>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</si>
  <si>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</si>
  <si>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</si>
  <si>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</si>
  <si>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</si>
  <si>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</si>
  <si>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</si>
  <si>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</si>
  <si>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</si>
  <si>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</si>
  <si>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</si>
  <si>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</si>
  <si>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</si>
  <si>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</si>
  <si>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</si>
  <si>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</si>
  <si>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</si>
  <si>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</si>
  <si>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</si>
  <si>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</si>
  <si>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</si>
  <si>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</si>
  <si>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</si>
  <si>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</si>
  <si>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</si>
  <si>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</si>
  <si>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</si>
  <si>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</si>
  <si>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</si>
  <si>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</si>
  <si>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</si>
  <si>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</si>
  <si>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</si>
  <si>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</si>
  <si>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</si>
  <si>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</si>
  <si>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</si>
  <si>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</si>
  <si>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</si>
  <si>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</si>
  <si>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</si>
  <si>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</si>
  <si>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</si>
  <si>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</si>
  <si>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</si>
  <si>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</si>
  <si>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</si>
  <si>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</si>
  <si>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</si>
  <si>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</si>
  <si>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</si>
  <si>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</si>
  <si>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</si>
  <si>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</si>
  <si>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</si>
  <si>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</si>
  <si>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</si>
  <si>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</si>
  <si>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</si>
  <si>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</si>
  <si>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</si>
  <si>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</si>
  <si>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</si>
  <si>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</si>
  <si>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</si>
  <si>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</si>
  <si>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</si>
  <si>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</si>
  <si>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</si>
  <si>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</si>
  <si>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</si>
  <si>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</si>
  <si>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</si>
  <si>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</si>
  <si>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</si>
  <si>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</si>
  <si>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</si>
  <si>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</si>
  <si>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</si>
  <si>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</si>
  <si>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</si>
  <si>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</si>
  <si>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</si>
  <si>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</si>
  <si>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</si>
  <si>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</si>
  <si>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</si>
  <si>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</si>
  <si>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</si>
  <si>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</si>
  <si>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</si>
  <si>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</si>
  <si>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</si>
  <si>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</si>
  <si>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</si>
  <si>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</si>
  <si>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</si>
  <si>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</si>
  <si>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</si>
  <si>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</si>
  <si>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</si>
  <si>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</si>
  <si>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</si>
  <si>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</si>
  <si>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</si>
  <si>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</si>
  <si>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</si>
  <si>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</si>
  <si>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</si>
  <si>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</si>
  <si>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</si>
  <si>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</si>
  <si>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</si>
  <si>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</si>
  <si>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</si>
  <si>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</si>
  <si>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</si>
  <si>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</si>
  <si>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</si>
  <si>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</si>
  <si>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</si>
  <si>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</si>
  <si>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</si>
  <si>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</si>
  <si>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</si>
  <si>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</si>
  <si>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</si>
  <si>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</si>
  <si>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</si>
  <si>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</si>
  <si>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</si>
  <si>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</si>
  <si>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</si>
  <si>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</si>
  <si>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</si>
  <si>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</si>
  <si>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</si>
  <si>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</si>
  <si>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</si>
  <si>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</si>
  <si>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</si>
  <si>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</si>
  <si>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</si>
  <si>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</si>
  <si>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</si>
  <si>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</si>
  <si>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</si>
  <si>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</si>
  <si>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</si>
  <si>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</si>
  <si>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</si>
  <si>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</si>
  <si>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</si>
  <si>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</si>
  <si>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</si>
  <si>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</si>
  <si>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</si>
  <si>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</si>
  <si>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</si>
  <si>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</si>
  <si>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</si>
  <si>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</si>
  <si>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</si>
  <si>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</si>
  <si>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</si>
  <si>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</si>
  <si>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</si>
  <si>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</si>
  <si>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</si>
  <si>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</si>
  <si>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</si>
  <si>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</si>
  <si>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</si>
  <si>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</si>
  <si>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</si>
  <si>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</si>
  <si>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</si>
  <si>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</si>
  <si>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</si>
  <si>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</si>
  <si>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</si>
  <si>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</si>
  <si>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</si>
  <si>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</si>
  <si>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</si>
  <si>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</si>
  <si>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</si>
  <si>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</si>
  <si>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</si>
  <si>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</si>
  <si>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</si>
  <si>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</si>
  <si>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</si>
  <si>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</si>
  <si>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</si>
  <si>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</si>
  <si>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</si>
  <si>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</si>
  <si>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</si>
  <si>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</si>
  <si>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</si>
  <si>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</si>
  <si>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</si>
  <si>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</si>
  <si>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</si>
  <si>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</si>
  <si>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</si>
  <si>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</si>
  <si>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</si>
  <si>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</si>
  <si>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</si>
  <si>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</si>
  <si>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</si>
  <si>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</si>
  <si>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</si>
  <si>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</si>
  <si>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</si>
  <si>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</si>
  <si>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</si>
  <si>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</si>
  <si>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</si>
  <si>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</si>
  <si>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</si>
  <si>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</si>
  <si>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</si>
  <si>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</si>
  <si>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</si>
  <si>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</si>
  <si>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</si>
  <si>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</si>
  <si>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</si>
  <si>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</si>
  <si>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</si>
  <si>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</si>
  <si>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</si>
  <si>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</si>
  <si>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</si>
  <si>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</si>
  <si>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</si>
  <si>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</si>
  <si>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</si>
  <si>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</si>
  <si>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</si>
  <si>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</si>
  <si>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</si>
  <si>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</si>
  <si>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</si>
  <si>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</si>
  <si>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</si>
  <si>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</si>
  <si>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</si>
  <si>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</si>
  <si>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</si>
  <si>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</si>
  <si>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</si>
  <si>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</si>
  <si>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</si>
  <si>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</si>
  <si>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</si>
  <si>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</si>
  <si>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</si>
  <si>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</si>
  <si>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</si>
  <si>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</si>
  <si>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</si>
  <si>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</si>
  <si>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</si>
  <si>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</si>
  <si>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</si>
  <si>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</si>
  <si>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</si>
  <si>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</si>
  <si>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</si>
  <si>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</si>
  <si>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</si>
  <si>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</si>
  <si>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</si>
  <si>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</si>
  <si>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</si>
  <si>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</si>
  <si>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</si>
  <si>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</si>
  <si>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</si>
  <si>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</si>
  <si>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</si>
  <si>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</si>
  <si>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</si>
  <si>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</si>
  <si>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</si>
  <si>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</si>
  <si>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</si>
  <si>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</si>
  <si>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</si>
  <si>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</si>
  <si>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</si>
  <si>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</si>
  <si>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</si>
  <si>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</si>
  <si>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</si>
  <si>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</si>
  <si>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</si>
  <si>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</si>
  <si>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</si>
  <si>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</si>
  <si>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</si>
  <si>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</si>
  <si>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</si>
  <si>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</si>
  <si>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</si>
  <si>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</si>
  <si>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</si>
  <si>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</si>
  <si>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</si>
  <si>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</si>
  <si>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</si>
  <si>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</si>
  <si>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</si>
  <si>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</si>
  <si>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</si>
  <si>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</si>
  <si>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</si>
  <si>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</si>
  <si>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</si>
  <si>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</si>
  <si>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</si>
  <si>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</si>
  <si>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</si>
  <si>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</si>
  <si>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</si>
  <si>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</si>
  <si>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</si>
  <si>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</si>
  <si>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</si>
  <si>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</si>
  <si>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</si>
  <si>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</si>
  <si>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</si>
  <si>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</si>
  <si>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</si>
  <si>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</si>
  <si>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</si>
  <si>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</si>
  <si>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</si>
  <si>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</si>
  <si>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</si>
  <si>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</si>
  <si>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</si>
  <si>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</si>
  <si>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</si>
  <si>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</si>
  <si>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</si>
  <si>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</si>
  <si>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</si>
  <si>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</si>
  <si>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</si>
  <si>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</si>
  <si>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</si>
  <si>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</si>
  <si>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</si>
  <si>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</si>
  <si>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</si>
  <si>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</si>
  <si>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</si>
  <si>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</si>
  <si>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</si>
  <si>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</si>
  <si>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</si>
  <si>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</si>
  <si>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</si>
  <si>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</si>
  <si>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</si>
  <si>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</si>
  <si>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</si>
  <si>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</si>
  <si>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</si>
  <si>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</si>
  <si>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</si>
  <si>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</si>
  <si>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</si>
  <si>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</si>
  <si>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</si>
  <si>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</si>
  <si>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</si>
  <si>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</si>
  <si>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</si>
  <si>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</si>
  <si>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</si>
  <si>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</si>
  <si>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</si>
  <si>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</si>
  <si>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</si>
  <si>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</si>
  <si>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</si>
  <si>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</si>
  <si>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</si>
  <si>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</si>
  <si>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</si>
  <si>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</si>
  <si>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</si>
  <si>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</si>
  <si>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</si>
  <si>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</si>
  <si>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</si>
  <si>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</si>
  <si>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</si>
  <si>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</si>
  <si>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</si>
  <si>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</si>
  <si>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</si>
  <si>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</si>
  <si>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</si>
  <si>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</si>
  <si>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</si>
  <si>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</si>
  <si>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</si>
  <si>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</si>
  <si>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</si>
  <si>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</si>
  <si>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</si>
  <si>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</si>
  <si>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</si>
  <si>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</si>
  <si>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</si>
  <si>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</si>
  <si>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</si>
  <si>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</si>
  <si>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</si>
  <si>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</si>
  <si>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</si>
  <si>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</si>
  <si>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</si>
  <si>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</si>
  <si>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</si>
  <si>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</si>
  <si>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</si>
  <si>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</si>
  <si>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</si>
  <si>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</si>
  <si>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</si>
  <si>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</si>
  <si>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</si>
  <si>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</si>
  <si>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</si>
  <si>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</si>
  <si>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</si>
  <si>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</si>
  <si>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</si>
  <si>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</si>
  <si>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</si>
  <si>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</si>
  <si>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</si>
  <si>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</si>
  <si>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</si>
  <si>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</si>
  <si>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</si>
  <si>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</si>
  <si>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</si>
  <si>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</si>
  <si>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</si>
  <si>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</si>
  <si>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</si>
  <si>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</si>
  <si>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</si>
  <si>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</si>
  <si>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</si>
  <si>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</si>
  <si>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</si>
  <si>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</si>
  <si>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</si>
  <si>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</si>
  <si>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</si>
  <si>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</si>
  <si>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</si>
  <si>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</si>
  <si>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</si>
  <si>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</si>
  <si>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</si>
  <si>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</si>
  <si>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</si>
  <si>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</si>
  <si>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</si>
  <si>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</si>
  <si>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</si>
  <si>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</si>
  <si>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</si>
  <si>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</si>
  <si>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</si>
  <si>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</si>
  <si>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</si>
  <si>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</si>
  <si>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</si>
  <si>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</si>
  <si>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</si>
  <si>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</si>
  <si>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</si>
  <si>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</si>
  <si>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</si>
  <si>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</si>
  <si>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</si>
  <si>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</si>
  <si>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</si>
  <si>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</si>
  <si>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</si>
  <si>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</si>
  <si>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</si>
  <si>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</si>
  <si>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</si>
  <si>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</si>
  <si>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</si>
  <si>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</si>
  <si>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</si>
  <si>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</si>
  <si>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</si>
  <si>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</si>
  <si>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</si>
  <si>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</si>
  <si>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</si>
  <si>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</si>
  <si>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</si>
  <si>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</si>
  <si>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</si>
  <si>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</si>
  <si>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</si>
  <si>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</si>
  <si>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</si>
  <si>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</si>
  <si>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</si>
  <si>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</si>
  <si>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</si>
  <si>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</si>
  <si>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</si>
  <si>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</si>
  <si>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</si>
  <si>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</si>
  <si>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</si>
  <si>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</si>
  <si>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</si>
  <si>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</si>
  <si>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</si>
  <si>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</si>
  <si>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</si>
  <si>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</si>
  <si>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</si>
  <si>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</si>
  <si>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</si>
  <si>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</si>
  <si>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</si>
  <si>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</si>
  <si>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</si>
  <si>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</si>
  <si>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</si>
  <si>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</si>
  <si>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</si>
  <si>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</si>
  <si>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</si>
  <si>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</si>
  <si>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</si>
  <si>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</si>
  <si>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</si>
  <si>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</si>
  <si>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</si>
  <si>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</si>
  <si>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</si>
  <si>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</si>
  <si>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</si>
  <si>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</si>
  <si>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</si>
  <si>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</si>
  <si>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</si>
  <si>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</si>
  <si>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</si>
  <si>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</si>
  <si>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</si>
  <si>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</si>
  <si>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</si>
  <si>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</si>
  <si>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</si>
  <si>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</si>
  <si>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</si>
  <si>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</si>
  <si>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</si>
  <si>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</si>
  <si>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</si>
  <si>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</si>
  <si>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</si>
  <si>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</si>
  <si>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</si>
  <si>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</si>
  <si>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</si>
  <si>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</si>
  <si>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</si>
  <si>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</si>
  <si>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</si>
  <si>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</si>
  <si>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</si>
  <si>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</si>
  <si>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</si>
  <si>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</si>
  <si>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</si>
  <si>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</si>
  <si>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</si>
  <si>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</si>
  <si>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</si>
  <si>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</si>
  <si>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</si>
  <si>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</si>
  <si>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</si>
  <si>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</si>
  <si>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</si>
  <si>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</si>
  <si>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</si>
  <si>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</si>
  <si>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</si>
  <si>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</si>
  <si>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</si>
  <si>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</si>
  <si>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</si>
  <si>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</si>
  <si>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</si>
  <si>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</si>
  <si>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</si>
  <si>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</si>
  <si>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</si>
  <si>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</si>
  <si>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</si>
  <si>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</si>
  <si>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</si>
  <si>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</si>
  <si>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</si>
  <si>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</si>
  <si>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</si>
  <si>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</si>
  <si>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</si>
  <si>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</si>
  <si>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</si>
  <si>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</si>
  <si>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</si>
  <si>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</si>
  <si>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</si>
  <si>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</si>
  <si>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</si>
  <si>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</si>
  <si>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</si>
  <si>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</si>
  <si>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</si>
  <si>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</si>
  <si>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</si>
  <si>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</si>
  <si>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</si>
  <si>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</si>
  <si>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</si>
  <si>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</si>
  <si>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</si>
  <si>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</si>
  <si>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</si>
  <si>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</si>
  <si>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</si>
  <si>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</si>
  <si>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</si>
  <si>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</si>
  <si>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</si>
  <si>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</si>
  <si>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</si>
  <si>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</si>
  <si>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</si>
  <si>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</si>
  <si>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</si>
  <si>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</si>
  <si>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</si>
  <si>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</si>
  <si>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</si>
  <si>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</si>
  <si>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</si>
  <si>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</si>
  <si>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</si>
  <si>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</si>
  <si>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</si>
  <si>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</si>
  <si>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</si>
  <si>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</si>
  <si>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</si>
  <si>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</si>
  <si>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</si>
  <si>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</si>
  <si>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</si>
  <si>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</si>
  <si>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</si>
  <si>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</si>
  <si>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</si>
  <si>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</si>
  <si>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</si>
  <si>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</si>
  <si>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</si>
  <si>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</si>
  <si>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</si>
  <si>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</si>
  <si>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</si>
  <si>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</si>
  <si>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</si>
  <si>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</si>
  <si>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</si>
  <si>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</si>
  <si>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</si>
  <si>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</si>
  <si>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</si>
  <si>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</si>
  <si>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</si>
  <si>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</si>
  <si>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</si>
  <si>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</si>
  <si>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</si>
  <si>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</si>
  <si>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</si>
  <si>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</si>
  <si>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</si>
  <si>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</si>
  <si>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</si>
  <si>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</si>
  <si>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</si>
  <si>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</si>
  <si>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</si>
  <si>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</si>
  <si>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</si>
  <si>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</si>
  <si>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</si>
  <si>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</si>
  <si>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</si>
  <si>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</si>
  <si>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</si>
  <si>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</si>
  <si>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</si>
  <si>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</si>
  <si>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</si>
  <si>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</si>
  <si>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</si>
  <si>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</si>
  <si>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</si>
  <si>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</si>
  <si>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</si>
  <si>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</si>
  <si>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</si>
  <si>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</si>
  <si>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</si>
  <si>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</si>
  <si>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</si>
  <si>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</si>
  <si>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</si>
  <si>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</si>
  <si>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</si>
  <si>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</si>
  <si>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</si>
  <si>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</si>
  <si>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</si>
  <si>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</si>
  <si>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</si>
  <si>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</si>
  <si>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</si>
  <si>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</si>
  <si>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</si>
  <si>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</si>
  <si>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</si>
  <si>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</si>
  <si>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</si>
  <si>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</si>
  <si>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</si>
  <si>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</si>
  <si>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</si>
  <si>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</si>
  <si>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</si>
  <si>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</si>
  <si>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</si>
  <si>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</si>
  <si>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</si>
  <si>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</si>
  <si>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</si>
  <si>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</si>
  <si>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</si>
  <si>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</si>
  <si>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</si>
  <si>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</si>
  <si>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</si>
  <si>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</si>
  <si>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</si>
  <si>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</si>
  <si>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</si>
  <si>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</si>
  <si>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</si>
  <si>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</si>
  <si>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</si>
  <si>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</si>
  <si>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</si>
  <si>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</si>
  <si>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</si>
  <si>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</si>
  <si>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</si>
  <si>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</si>
  <si>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</si>
  <si>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</si>
  <si>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</si>
  <si>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</si>
  <si>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</si>
  <si>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</si>
  <si>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</si>
  <si>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</si>
  <si>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</si>
  <si>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</si>
  <si>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</si>
  <si>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</si>
  <si>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</si>
  <si>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</si>
  <si>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</si>
  <si>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</si>
  <si>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</si>
  <si>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</si>
  <si>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</si>
  <si>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</si>
  <si>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</si>
  <si>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</si>
  <si>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</si>
  <si>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</si>
  <si>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</si>
  <si>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</si>
  <si>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</si>
  <si>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</si>
  <si>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</si>
  <si>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</si>
  <si>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</si>
  <si>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</si>
  <si>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</si>
  <si>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</si>
  <si>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</si>
  <si>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</si>
  <si>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</si>
  <si>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</si>
  <si>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</si>
  <si>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</si>
  <si>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</si>
  <si>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</si>
  <si>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</si>
  <si>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</si>
  <si>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</si>
  <si>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</si>
  <si>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</si>
  <si>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</si>
  <si>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</si>
  <si>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</si>
  <si>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</si>
  <si>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</si>
  <si>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</si>
  <si>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</si>
  <si>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</si>
  <si>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</si>
  <si>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</si>
  <si>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</si>
  <si>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</si>
  <si>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</si>
  <si>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</si>
  <si>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</si>
  <si>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</si>
  <si>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</si>
  <si>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</si>
  <si>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</si>
  <si>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</si>
  <si>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</si>
  <si>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</si>
  <si>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</si>
  <si>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</si>
  <si>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</si>
  <si>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</si>
  <si>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</si>
  <si>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</si>
  <si>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</si>
  <si>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</si>
  <si>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</si>
  <si>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</si>
  <si>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</si>
  <si>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</si>
  <si>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</si>
  <si>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</si>
  <si>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</si>
  <si>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</si>
  <si>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</si>
  <si>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</si>
  <si>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</si>
  <si>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</si>
  <si>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</si>
  <si>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</si>
  <si>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</si>
  <si>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</si>
  <si>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</si>
  <si>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</si>
  <si>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</si>
  <si>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</si>
  <si>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</si>
  <si>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</si>
  <si>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</si>
  <si>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</si>
  <si>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</si>
  <si>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</si>
  <si>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</si>
  <si>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</si>
  <si>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</si>
  <si>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</si>
  <si>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</si>
  <si>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</si>
  <si>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999-SHG-9999</t>
  </si>
  <si>
    <t>PROJE GENELİ</t>
  </si>
  <si>
    <t>9999</t>
  </si>
  <si>
    <t>GENEL</t>
  </si>
  <si>
    <t>1004</t>
  </si>
  <si>
    <t>1005</t>
  </si>
  <si>
    <t>1000</t>
  </si>
  <si>
    <t>DOĞUŞ T. - GENEL</t>
  </si>
  <si>
    <t>PETSAN - GENEL</t>
  </si>
  <si>
    <t>PETSAN İNŞAAT</t>
  </si>
  <si>
    <t>ALT YÜKLENİCİLER</t>
  </si>
  <si>
    <t>MAHAL LİSTESİ</t>
  </si>
  <si>
    <t>SÖZLEŞME FFAK</t>
  </si>
  <si>
    <t>SÖZLEŞME</t>
  </si>
  <si>
    <t>101-GZH</t>
  </si>
  <si>
    <t>GÜZERGAH</t>
  </si>
  <si>
    <t>DOĞUŞ-ÇELİKLER-ÖZKAR</t>
  </si>
  <si>
    <t>FFK AK</t>
  </si>
  <si>
    <t>101-GZH-1000</t>
  </si>
  <si>
    <t>S02_YKHT_2023_007</t>
  </si>
  <si>
    <t>101-GZH-1001</t>
  </si>
  <si>
    <t>YARMA-3</t>
  </si>
  <si>
    <t>S02_YKHT_2023_007 - Z.01</t>
  </si>
  <si>
    <t>101-GZH-1002</t>
  </si>
  <si>
    <t>YARMA-5</t>
  </si>
  <si>
    <t>RAYSAN İNŞAAT</t>
  </si>
  <si>
    <t>-</t>
  </si>
  <si>
    <t>101-GZH-1003</t>
  </si>
  <si>
    <t>YARMA-6(AK-1)</t>
  </si>
  <si>
    <t>101-GZH-1004</t>
  </si>
  <si>
    <t>YARMA-7</t>
  </si>
  <si>
    <t>ÖZDOĞAN İNŞAAT</t>
  </si>
  <si>
    <t>101-GZH-1005</t>
  </si>
  <si>
    <t>YARMA-8/9</t>
  </si>
  <si>
    <t>ÖZTAŞ</t>
  </si>
  <si>
    <t>101-GZH-1006</t>
  </si>
  <si>
    <t>YARMA-11</t>
  </si>
  <si>
    <t>101-GZH-1007</t>
  </si>
  <si>
    <t>YARMA-12/13</t>
  </si>
  <si>
    <t>101-GZH-1008</t>
  </si>
  <si>
    <t>YARMA-14</t>
  </si>
  <si>
    <t>101-GZH-1009</t>
  </si>
  <si>
    <t>DO-YARMA-15</t>
  </si>
  <si>
    <t>101-GZH-1010</t>
  </si>
  <si>
    <t>YARMA-16</t>
  </si>
  <si>
    <t>101-GZH-1011</t>
  </si>
  <si>
    <t>PE-YARMA-15</t>
  </si>
  <si>
    <t>101-GZH-1012</t>
  </si>
  <si>
    <t>ÖZ-YARMA-15</t>
  </si>
  <si>
    <t>101-GZH-1013</t>
  </si>
  <si>
    <t>ORTAKLIK-GÜZERGAH</t>
  </si>
  <si>
    <t>101-GZH-1014</t>
  </si>
  <si>
    <t>DOĞUŞ TEKNİK GÜZERGAH</t>
  </si>
  <si>
    <t>101-GZH-1015</t>
  </si>
  <si>
    <t>PETSAN GÜZERGAH</t>
  </si>
  <si>
    <t>101-GZH-1016</t>
  </si>
  <si>
    <t>ÖZDOĞAN GÜZERGAH</t>
  </si>
  <si>
    <t>101-GZH-1017</t>
  </si>
  <si>
    <t>D3/2</t>
  </si>
  <si>
    <t>101-GZH-1018</t>
  </si>
  <si>
    <t>D3/3</t>
  </si>
  <si>
    <t>101-GZH-1019</t>
  </si>
  <si>
    <t>YARMA-4</t>
  </si>
  <si>
    <t>101-GZH-1101</t>
  </si>
  <si>
    <t>0+000 - 20+000 ARASI</t>
  </si>
  <si>
    <t>101-GZH-1102</t>
  </si>
  <si>
    <t>20+000 - 45+000 ARASI</t>
  </si>
  <si>
    <t>101-GZH-1103</t>
  </si>
  <si>
    <t>45+000 - 70+000 ARASI</t>
  </si>
  <si>
    <t>101-GZH-1104</t>
  </si>
  <si>
    <t>70+000 - 100+000</t>
  </si>
  <si>
    <t>101-GZH-1105</t>
  </si>
  <si>
    <t>100+000 - 120+000 ARASI</t>
  </si>
  <si>
    <t>101-GZH-1106</t>
  </si>
  <si>
    <t>120+000 - 140+000 ARASI</t>
  </si>
  <si>
    <t>102-TNL</t>
  </si>
  <si>
    <t>TÜNEL</t>
  </si>
  <si>
    <t>102-TNL-1000</t>
  </si>
  <si>
    <t>102-TNL-1001</t>
  </si>
  <si>
    <t>T1-GİRİŞ</t>
  </si>
  <si>
    <t>102-TNL-1002</t>
  </si>
  <si>
    <t>T1-ÇIKIŞ</t>
  </si>
  <si>
    <t>102-TNL-1003</t>
  </si>
  <si>
    <t>T2-GİRİŞ</t>
  </si>
  <si>
    <t>102-TNL-1004</t>
  </si>
  <si>
    <t>T2-ÇIKIŞ</t>
  </si>
  <si>
    <t>102-TNL-1005</t>
  </si>
  <si>
    <t>T34-GİRİŞ</t>
  </si>
  <si>
    <t>102-TNL-1006</t>
  </si>
  <si>
    <t>T34-ÇIKIŞ</t>
  </si>
  <si>
    <t>102-TNL-1007</t>
  </si>
  <si>
    <t>T5-GİRİŞ</t>
  </si>
  <si>
    <t>102-TNL-1008</t>
  </si>
  <si>
    <t>T5-ÇIKIŞ</t>
  </si>
  <si>
    <t>102-TNL-1009</t>
  </si>
  <si>
    <t>GT-1</t>
  </si>
  <si>
    <t>102-TNL-1010</t>
  </si>
  <si>
    <t>GT-2</t>
  </si>
  <si>
    <t>102-TNL-1011</t>
  </si>
  <si>
    <t>GT-7</t>
  </si>
  <si>
    <t>102-TNL-1012</t>
  </si>
  <si>
    <t>GT-5</t>
  </si>
  <si>
    <t>102-TNL-1013</t>
  </si>
  <si>
    <t>GT-4</t>
  </si>
  <si>
    <t>102-TNL-1014</t>
  </si>
  <si>
    <t>T7-ÇIKIŞ</t>
  </si>
  <si>
    <t>103-KPR</t>
  </si>
  <si>
    <t>KÖPRÜ</t>
  </si>
  <si>
    <t>103-KPR-1000</t>
  </si>
  <si>
    <t>103-KPR-1001</t>
  </si>
  <si>
    <t>K1 - 0+950-1+280</t>
  </si>
  <si>
    <t>103-KPR-1002</t>
  </si>
  <si>
    <t>TANAP KÖPRÜSÜ - 1+633-1+663</t>
  </si>
  <si>
    <t>103-KPR-1003</t>
  </si>
  <si>
    <t>K2 - 2+260-2+320</t>
  </si>
  <si>
    <t>103-KPR-1004</t>
  </si>
  <si>
    <t>K3 - 3+322-4+884</t>
  </si>
  <si>
    <t>103-KPR-1005</t>
  </si>
  <si>
    <t>K5 - 8+451-8+778</t>
  </si>
  <si>
    <t>103-KPR-1006</t>
  </si>
  <si>
    <t>K6 - 12+812-13+333</t>
  </si>
  <si>
    <t>103-KPR-1007</t>
  </si>
  <si>
    <t>K7 - 19+094-19+322</t>
  </si>
  <si>
    <t>103-KPR-1008</t>
  </si>
  <si>
    <t>K8 - 22+365-22+397</t>
  </si>
  <si>
    <t>103-KPR-1009</t>
  </si>
  <si>
    <t>K9 - 37+690-38+067</t>
  </si>
  <si>
    <t>103-KPR-1010</t>
  </si>
  <si>
    <t>K10 - 46+011-46+041</t>
  </si>
  <si>
    <t>103-KPR-1011</t>
  </si>
  <si>
    <t>K11 - 65+120-65+180</t>
  </si>
  <si>
    <t>103-KPR-1012</t>
  </si>
  <si>
    <t>K12 - 73+748-73+578</t>
  </si>
  <si>
    <t>103-KPR-1013</t>
  </si>
  <si>
    <t>K13 - 80+593-80+623</t>
  </si>
  <si>
    <t>103-KPR-1014</t>
  </si>
  <si>
    <t>K14 - 117+209-117+239</t>
  </si>
  <si>
    <t>103-KPR-1015</t>
  </si>
  <si>
    <t>K15 - 121+592-122+046</t>
  </si>
  <si>
    <t>103-KPR-1016</t>
  </si>
  <si>
    <t>K16 - 127+035-127+065</t>
  </si>
  <si>
    <t>103-KPR-1017</t>
  </si>
  <si>
    <t>K17 - 131+805-131+975</t>
  </si>
  <si>
    <t>103-KPR-1018</t>
  </si>
  <si>
    <t>K18 - 138+015-138+078</t>
  </si>
  <si>
    <t>103-KPR-1030</t>
  </si>
  <si>
    <t>ÜSTGEÇİT KÖPRÜLERİ - 1 (6+593, 9+495, 17+038, 18+458, 20+129)</t>
  </si>
  <si>
    <t>103-KPR-1031</t>
  </si>
  <si>
    <t>ÜSTGEÇİT KÖPRÜLERİ - 2 (21+873, 22+193, 27+578, 29+529, 32+187, 32+894, 38+756)</t>
  </si>
  <si>
    <t>103-KPR-1032</t>
  </si>
  <si>
    <t>ÜSTGEÇİT KÖPRÜLERİ - 3 (50+363, 53+429, 57+640, 64+41 , 75+300)</t>
  </si>
  <si>
    <t>103-KPR-1033</t>
  </si>
  <si>
    <t>ÜSTGEÇİT KÖPRÜLERİ - 4 (84+228, 100+480, 103+580, 106+652, 111+368)</t>
  </si>
  <si>
    <t>103-KPR-1034</t>
  </si>
  <si>
    <t>ÜSTGEÇİT KÖPRÜLERİ - 5 (122+415, 124+141, 125+865, 132+929, 136+933)</t>
  </si>
  <si>
    <t>104-AÇK</t>
  </si>
  <si>
    <t>AÇ KAPA</t>
  </si>
  <si>
    <t>104-AÇK-1000</t>
  </si>
  <si>
    <t>104-AÇK-1001</t>
  </si>
  <si>
    <t>AÇ KAPA - 1 5+800-6+270</t>
  </si>
  <si>
    <t>104-AÇK-1002</t>
  </si>
  <si>
    <t>AÇ KAPA - 2 20+998-21+763</t>
  </si>
  <si>
    <t>104-AÇK-1003</t>
  </si>
  <si>
    <t>AÇ KAPA - 3 50+618-51+208</t>
  </si>
  <si>
    <t>104-AÇK-1004</t>
  </si>
  <si>
    <t>AÇ KAPA - 4 62+403-63+213</t>
  </si>
  <si>
    <t>104-AÇK-1005</t>
  </si>
  <si>
    <t>AÇ KAPA - 5 102+943-103+058</t>
  </si>
  <si>
    <t>104-AÇK-1006</t>
  </si>
  <si>
    <t>AÇ KAPA - 6 107+880-108+260</t>
  </si>
  <si>
    <t>105-ALG</t>
  </si>
  <si>
    <t>ALT GEÇİT</t>
  </si>
  <si>
    <t>105-ALG-1000</t>
  </si>
  <si>
    <t>105-ALT-1001</t>
  </si>
  <si>
    <t>AG 1 - 10x5,5 (3+224 4+791 (İPTAL) 11+937 16+137)</t>
  </si>
  <si>
    <t>105-ALT-1002</t>
  </si>
  <si>
    <t>AG - 2 7x5 (10+523 11+504 16+271)</t>
  </si>
  <si>
    <t>105-ALT-1003</t>
  </si>
  <si>
    <t>AG 3 - 7x5 (23+031 23+354 24+791 25+814 31+169 31+392 33+611 35+979 40+832)</t>
  </si>
  <si>
    <t>105-ALT-1004</t>
  </si>
  <si>
    <t>AG 4 - 10x5,5 (41+659 46+375 56+345 65+970)</t>
  </si>
  <si>
    <t>105-ALT-1005</t>
  </si>
  <si>
    <t>AG 5 - 7x5 (43+253 44+476 44+804 45+898 47+570 48+440 51+435 54+498..)</t>
  </si>
  <si>
    <t>105-ALT-1006</t>
  </si>
  <si>
    <t>AG 6 - 12x5,5 (59+825)</t>
  </si>
  <si>
    <t>105-ALT-1007</t>
  </si>
  <si>
    <t>AG 7 - 7x5 (Km:70+017 70+868 72+624 73+197 74+298 77+762 78+094 78+538 78+851..)</t>
  </si>
  <si>
    <t>105-ALT-1008</t>
  </si>
  <si>
    <t>AG 8 - 7x5 (90+815 91+242 91+757 94+022..)</t>
  </si>
  <si>
    <t>105-ALT-1009</t>
  </si>
  <si>
    <t>AG 9 - 7x5 (Km:117+158 118+194 119+066 119+560 119+785..)</t>
  </si>
  <si>
    <t>105-ALT-1010</t>
  </si>
  <si>
    <t>AG 10 - 10x5,5 (119+330)</t>
  </si>
  <si>
    <t>999-SHG</t>
  </si>
  <si>
    <t>SAHA GENELİ</t>
  </si>
  <si>
    <t>M2 Desc</t>
  </si>
  <si>
    <t>T1 Desc</t>
  </si>
  <si>
    <t>GÜZERGAH GENEL</t>
  </si>
  <si>
    <t>TÜNEL GENEL</t>
  </si>
  <si>
    <t>KÖPRÜ GENEL</t>
  </si>
  <si>
    <t>AÇ KAPA GENEL</t>
  </si>
  <si>
    <t>ALT GEÇİT GENEL</t>
  </si>
  <si>
    <t>YALITIM</t>
  </si>
  <si>
    <t>KAZI</t>
  </si>
  <si>
    <t>RYS.02</t>
  </si>
  <si>
    <t>D-07.KMK-03.EKS-800</t>
  </si>
  <si>
    <t>KİRALIK - EKSKAVATÖR</t>
  </si>
  <si>
    <t>D-07.KMK-04.LDR-800</t>
  </si>
  <si>
    <t>D-07.KMK-06.KMY-800</t>
  </si>
  <si>
    <t>KİRALIK - KAMYON</t>
  </si>
  <si>
    <t>D-09.TSR-90.KST-600</t>
  </si>
  <si>
    <t>KESİNTİ - MAKİNE VE EKİPMAN KİRASI</t>
  </si>
  <si>
    <t>600</t>
  </si>
  <si>
    <t>E-06.MBL-90.DGR-120</t>
  </si>
  <si>
    <t>E-09.MGD-90.DGR-120</t>
  </si>
  <si>
    <t>ENDİREKT İŞÇİLİK MAAŞ GIDERLERI GENEL (SAP GERÇEKLEŞME GIRIŞI)</t>
  </si>
  <si>
    <t>999-SHG-1104</t>
  </si>
  <si>
    <t>102-TNL-1104</t>
  </si>
  <si>
    <t>ÖZDOĞAN İNŞAAT - GENEL</t>
  </si>
  <si>
    <t>RAYSAN - GENEL</t>
  </si>
  <si>
    <t>OZD.01</t>
  </si>
  <si>
    <t>OZD.02</t>
  </si>
  <si>
    <t>EMANET EKİP</t>
  </si>
  <si>
    <t>4 TAŞERON</t>
  </si>
  <si>
    <t>KONTROL</t>
  </si>
  <si>
    <t>FARK DAĞILIM</t>
  </si>
  <si>
    <t>D-01.ALT-02.SNT-004</t>
  </si>
  <si>
    <t>BETON - DEMİRLİ - BETON DUVAR ALTGEÇİT, BACA, AÇ KAPA</t>
  </si>
  <si>
    <t>D-09.TSR-80.KNS-101</t>
  </si>
  <si>
    <t>GENEL - NAKLİYE BEDELİ</t>
  </si>
  <si>
    <t>D-09.TSR-80.KNS-120</t>
  </si>
  <si>
    <t>GENEL - BAKIM ONARIM BEDELİ</t>
  </si>
  <si>
    <t>D-09.TSR-80.KNS-880</t>
  </si>
  <si>
    <t>MALZEME DAĞILIM İÇİN</t>
  </si>
  <si>
    <t>Taşeron Giderleri</t>
  </si>
  <si>
    <t>CİNSİ</t>
  </si>
  <si>
    <t>2023
TOPLAM</t>
  </si>
  <si>
    <t>2024
TOPLAM</t>
  </si>
  <si>
    <t>2025
TOPLAM</t>
  </si>
  <si>
    <t>2026
TOPLAM</t>
  </si>
  <si>
    <t>2027
TOPLAM</t>
  </si>
  <si>
    <t>2028
TOPLAM</t>
  </si>
  <si>
    <t>GENEL
TOPLAM</t>
  </si>
  <si>
    <t>Akademi (Tasarım)</t>
  </si>
  <si>
    <t>Yetkin (Sondaj)</t>
  </si>
  <si>
    <t>Kayseri Geçiş Tasarım+Sondaj işi</t>
  </si>
  <si>
    <t>Deplasman Tasarım İşleri</t>
  </si>
  <si>
    <t>SNG (YTK)</t>
  </si>
  <si>
    <t>Ölçen Harita (Jeodezik Ağ)</t>
  </si>
  <si>
    <t>Özerler Harita (Kamulaştırma)</t>
  </si>
  <si>
    <t>Golder (ÇSED Revizyonu)</t>
  </si>
  <si>
    <t>Çınar (ÇSED-Sosyal)</t>
  </si>
  <si>
    <t>DOA (ÇSED-RAP)</t>
  </si>
  <si>
    <t>Umut FİRİG (Kuş İzleme)</t>
  </si>
  <si>
    <t>FEBAS (Hava-Ses Ölçümü)</t>
  </si>
  <si>
    <t>Makine Kiralama</t>
  </si>
  <si>
    <t>Asfalt taşeronları</t>
  </si>
  <si>
    <t>Deplasman taşeronları</t>
  </si>
  <si>
    <t>Sertifikasyon taşeronu</t>
  </si>
  <si>
    <t>Diğer</t>
  </si>
  <si>
    <t>Yemek Taşeronu</t>
  </si>
  <si>
    <t>Şantiye Kurulum Giderleri</t>
  </si>
  <si>
    <t>Şantiye Giderleri</t>
  </si>
  <si>
    <t>Binek Araç Kira</t>
  </si>
  <si>
    <t>Binek Araç Akaryakıt</t>
  </si>
  <si>
    <t>Elektrik</t>
  </si>
  <si>
    <t>Merkez Giderleri</t>
  </si>
  <si>
    <t>Maaşlar (Brüt)</t>
  </si>
  <si>
    <t>AYGM Giderleri</t>
  </si>
  <si>
    <t>Bilgisayar, Telefon</t>
  </si>
  <si>
    <t>Netcad - Autocad</t>
  </si>
  <si>
    <t>Araç ve Diğer</t>
  </si>
  <si>
    <t>Taş Ocakları-Döküm Yerleri-Şantiyeler Resmî Giderleri</t>
  </si>
  <si>
    <t>Teminat Mektup Komisyonları</t>
  </si>
  <si>
    <t>All Risks Taksit</t>
  </si>
  <si>
    <t>Kasko ve Diğer Sigortalar</t>
  </si>
  <si>
    <t>Ramboll (Kreditör Çevre Danışman)</t>
  </si>
  <si>
    <t>Yurtdışı Şirket Giderleri</t>
  </si>
  <si>
    <t xml:space="preserve">  </t>
  </si>
  <si>
    <t>RYS.03</t>
  </si>
  <si>
    <t>E-02.MAK-01.AMR-125</t>
  </si>
  <si>
    <t>E-02.MAK-05.OPS-010</t>
  </si>
  <si>
    <t>E-02.MAK-05.OPS-020</t>
  </si>
  <si>
    <t>E-02.MAK-05.OPS-064</t>
  </si>
  <si>
    <t>E-02.MAK-05.OPS-065</t>
  </si>
  <si>
    <t>E-02.MAK-05.OPS-066</t>
  </si>
  <si>
    <t>E-02.MAK-05.OPS-100</t>
  </si>
  <si>
    <t>E-02.MAK-05.OPS-106</t>
  </si>
  <si>
    <t>E-02.MAK-04.BKM-095</t>
  </si>
  <si>
    <t>E-02.MAK-04.BKM-106</t>
  </si>
  <si>
    <t>E-02.MAK-03.YKT-106</t>
  </si>
  <si>
    <t>E-02.MAK-03.YKT-125</t>
  </si>
  <si>
    <t>E-02.MAK-04.BKM-100</t>
  </si>
  <si>
    <t>E-02.MAK-04.BKM-125</t>
  </si>
  <si>
    <t>E-06.MBL-08.MBE-050</t>
  </si>
  <si>
    <t>E-06.MBL-08.MBE-051</t>
  </si>
  <si>
    <t>E-05.GNL-55.KİR-100</t>
  </si>
  <si>
    <t>E-05.GNL-99.DGR-311</t>
  </si>
  <si>
    <t>E-05.GNL-12.AGR-211</t>
  </si>
  <si>
    <t>E-05.GNL-99.DGR-410</t>
  </si>
  <si>
    <t>E-05.GNL-05.ISI-111</t>
  </si>
  <si>
    <t>E-05.GNL-01.YMK-111</t>
  </si>
  <si>
    <t>E-05.GNL-02.TMZ-111</t>
  </si>
  <si>
    <t>E-05.GNL-03.ISG-411</t>
  </si>
  <si>
    <t>E-05.GNL-15.GUV-111</t>
  </si>
  <si>
    <t>D-11.ALT-10.MLZ-100</t>
  </si>
  <si>
    <t>1.10.2023</t>
  </si>
  <si>
    <t>1.11.2023</t>
  </si>
  <si>
    <t>1.12.2023</t>
  </si>
  <si>
    <t>1.01.2024</t>
  </si>
  <si>
    <t>1.02.2024</t>
  </si>
  <si>
    <t>1.03.2024</t>
  </si>
  <si>
    <t>1.04.2024</t>
  </si>
  <si>
    <t>1.05.2024</t>
  </si>
  <si>
    <t>1.06.2024</t>
  </si>
  <si>
    <t>1.07.2024</t>
  </si>
  <si>
    <t>1.08.2024</t>
  </si>
  <si>
    <t>1.09.2024</t>
  </si>
  <si>
    <t>1.10.2024</t>
  </si>
  <si>
    <t>1.11.2024</t>
  </si>
  <si>
    <t>1.12.2024</t>
  </si>
  <si>
    <t>1.01.2025</t>
  </si>
  <si>
    <t>1.02.2025</t>
  </si>
  <si>
    <t>1.03.2025</t>
  </si>
  <si>
    <t>1.04.2025</t>
  </si>
  <si>
    <t>1.05.2025</t>
  </si>
  <si>
    <t>1.06.2025</t>
  </si>
  <si>
    <t>1.07.2025</t>
  </si>
  <si>
    <t>1.08.2025</t>
  </si>
  <si>
    <t>1.09.2025</t>
  </si>
  <si>
    <t>1.10.2025</t>
  </si>
  <si>
    <t>1.11.2025</t>
  </si>
  <si>
    <t>1.12.2025</t>
  </si>
  <si>
    <t>1.01.2026</t>
  </si>
  <si>
    <t>1.02.2026</t>
  </si>
  <si>
    <t>1.03.2026</t>
  </si>
  <si>
    <t>1.04.2026</t>
  </si>
  <si>
    <t>1.05.2026</t>
  </si>
  <si>
    <t>1.06.2026</t>
  </si>
  <si>
    <t>1.07.2026</t>
  </si>
  <si>
    <t>1.08.2026</t>
  </si>
  <si>
    <t>1.09.2026</t>
  </si>
  <si>
    <t>1.10.2026</t>
  </si>
  <si>
    <t>1.11.2026</t>
  </si>
  <si>
    <t>1.12.2026</t>
  </si>
  <si>
    <t>1.01.2027</t>
  </si>
  <si>
    <t>1.02.2027</t>
  </si>
  <si>
    <t>1.03.2027</t>
  </si>
  <si>
    <t>1.04.2027</t>
  </si>
  <si>
    <t>1.05.2027</t>
  </si>
  <si>
    <t>1.06.2027</t>
  </si>
  <si>
    <t>1.07.2027</t>
  </si>
  <si>
    <t>1.08.2027</t>
  </si>
  <si>
    <t>1.09.2027</t>
  </si>
  <si>
    <t>1.10.2027</t>
  </si>
  <si>
    <t>1.11.2027</t>
  </si>
  <si>
    <t>1.12.2027</t>
  </si>
  <si>
    <t>1.01.2028</t>
  </si>
  <si>
    <t>1.02.2028</t>
  </si>
  <si>
    <t>1.03.2028</t>
  </si>
  <si>
    <t>1.04.2028</t>
  </si>
  <si>
    <t>1.05.2028</t>
  </si>
  <si>
    <t>1.06.2028</t>
  </si>
  <si>
    <t>1.07.2028</t>
  </si>
  <si>
    <t>1.08.2028</t>
  </si>
  <si>
    <t>1.09.2028</t>
  </si>
  <si>
    <t>1.10.2028</t>
  </si>
  <si>
    <t>1.11.2028</t>
  </si>
  <si>
    <t>1.12.2028</t>
  </si>
  <si>
    <t>D-11.ALT-10.MLZ-101</t>
  </si>
  <si>
    <t>D-11.ALT-10.MLZ-102</t>
  </si>
  <si>
    <t>D-11.ALT-10.MLZ-103</t>
  </si>
  <si>
    <t>D-11.ALT-12.SRV-100</t>
  </si>
  <si>
    <t>D-11.ALT-12.SRV-101</t>
  </si>
  <si>
    <t>D-02.UST-01.UST-990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</si>
</sst>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3" formatCode="_-* #,##0.00_-;\-* #,##0.00_-;_-* &quot;-&quot;??_-;_-@_-"/>
    <numFmt numFmtId="164" formatCode="#,##0.00;[Red]\-#,##0.00;\-"/>
    <numFmt numFmtId="165" formatCode="#,##0.00;\-#,##0.00;\-"/>
    <numFmt numFmtId="166" formatCode="#,##0;[Red]\-#,##0;\-"/>
    <numFmt numFmtId="167" formatCode="#,##0\ %;[Red]\-#,##0\ %;\-"/>
    <numFmt numFmtId="168" formatCode="[$-41F]mmmm\ yy;@"/>
    <numFmt numFmtId="169" formatCode="#,##0.0000000000_ ;[Red]\-#,##0.0000000000\ "/>
    <numFmt numFmtId="170" formatCode="#,##0.000000_ ;[Red]\-#,##0.000000\ "/>
    <numFmt numFmtId="171" formatCode="#,##0.0000000000000_ ;[Red]\-#,##0.0000000000000\ "/>
    <numFmt numFmtId="172" formatCode="#,##0.000000000000_ ;[Red]\-#,##0.000000000000\ "/>
    <numFmt numFmtId="173" formatCode="#,##0.00000000000_ ;[Red]\-#,##0.00000000000\ "/>
    <numFmt numFmtId="174" formatCode="#,##0.000_ ;[Red]\-#,##0.000\ "/>
    <numFmt numFmtId="175" formatCode="#,##0.00000_ ;[Red]\-#,##0.00000\ "/>
    <numFmt numFmtId="176" formatCode="#,##0\ \T\L"/>
    <numFmt numFmtId="177" formatCode="#,##0.0000"/>
  </numFmts>
  <fonts count="21">
    <font>
      <sz val="11"/>
      <color theme="1"/>
      <name val="Calibri"/>
      <family val="2"/>
      <scheme val="minor"/>
    </font>
    <font>
      <sz val="11"/>
      <color theme="1"/>
      <name val="Segoe UI Bold"/>
      <family val="2"/>
      <charset val="162"/>
    </font>
    <font>
      <sz val="11"/>
      <color theme="1"/>
      <name val="Segoe UI Bold"/>
      <family val="2"/>
      <charset val="162"/>
    </font>
    <font>
      <b/>
      <sz val="9"/>
      <color rgb="FF000000"/>
      <name val="Segoe UI Semibold"/>
      <family val="2"/>
      <charset val="162"/>
    </font>
    <font>
      <sz val="8"/>
      <name val="Calibri"/>
      <family val="2"/>
      <scheme val="minor"/>
    </font>
    <font>
      <sz val="11"/>
      <color theme="1"/>
      <name val="Calibri"/>
      <family val="2"/>
      <charset val="162"/>
      <scheme val="minor"/>
    </font>
    <font>
      <sz val="11"/>
      <color theme="1"/>
      <name val="Calibri"/>
      <family val="2"/>
      <scheme val="minor"/>
    </font>
    <font>
      <sz val="9"/>
      <color indexed="81"/>
      <name val="Tahoma"/>
      <family val="2"/>
      <charset val="162"/>
    </font>
    <font>
      <b/>
      <sz val="9"/>
      <color indexed="81"/>
      <name val="Tahoma"/>
      <family val="2"/>
      <charset val="162"/>
    </font>
    <font>
      <b/>
      <sz val="11"/>
      <color rgb="FFFFFFFF"/>
      <name val="Aptos Narrow"/>
      <family val="2"/>
    </font>
    <font>
      <b/>
      <sz val="11"/>
      <color rgb="FF000000"/>
      <name val="Aptos Narrow"/>
      <family val="2"/>
    </font>
    <font>
      <b/>
      <sz val="12"/>
      <color rgb="FFFFFFFF"/>
      <name val="Segoe UI Semibold"/>
      <family val="2"/>
      <charset val="162"/>
    </font>
    <font>
      <sz val="11"/>
      <color rgb="FF000000"/>
      <name val="Aptos Narrow"/>
      <family val="2"/>
      <charset val="162"/>
    </font>
    <font>
      <sz val="11"/>
      <name val="Calibri"/>
      <family val="2"/>
      <charset val="162"/>
      <scheme val="minor"/>
    </font>
    <font>
      <b/>
      <sz val="11"/>
      <name val="Calibri"/>
      <family val="2"/>
      <charset val="162"/>
      <scheme val="minor"/>
    </font>
    <font>
      <sz val="12"/>
      <name val="Calibri"/>
      <family val="2"/>
      <charset val="162"/>
      <scheme val="minor"/>
    </font>
    <font>
      <b/>
      <sz val="11"/>
      <color theme="1"/>
      <name val="Calibri"/>
      <family val="2"/>
      <charset val="162"/>
      <scheme val="minor"/>
    </font>
    <font>
      <sz val="8"/>
      <color theme="1"/>
      <name val="Tahoma"/>
      <family val="2"/>
      <charset val="162"/>
    </font>
    <font>
      <b/>
      <sz val="8"/>
      <name val="Tahoma"/>
      <family val="2"/>
      <charset val="162"/>
    </font>
    <font>
      <i/>
      <sz val="8"/>
      <color theme="1"/>
      <name val="Tahoma"/>
      <family val="2"/>
      <charset val="162"/>
    </font>
    <font>
      <sz val="10"/>
      <name val="Arial"/>
      <family val="2"/>
      <charset val="162"/>
    </font>
  </fonts>
  <fills count="1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92D050"/>
        <bgColor indexed="6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rgb="FF0F243E"/>
        <bgColor rgb="FF000000"/>
      </patternFill>
    </fill>
    <fill>
      <patternFill patternType="solid">
        <fgColor rgb="FF061320"/>
        <bgColor rgb="FF000000"/>
      </patternFill>
    </fill>
    <fill>
      <patternFill patternType="solid">
        <fgColor rgb="FF0B3040"/>
        <bgColor rgb="FF000000"/>
      </patternFill>
    </fill>
    <fill>
      <patternFill patternType="solid">
        <fgColor theme="0" tint="-0.14999847407452621"/>
        <bgColor indexed="64"/>
      </patternFill>
    </fill>
    <fill>
      <patternFill patternType="solid">
        <fgColor rgb="FFFFC000"/>
        <bgColor indexed="64"/>
      </patternFill>
    </fill>
    <fill>
      <patternFill patternType="solid">
        <fgColor theme="7"/>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000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rgb="FFFF0000"/>
      </left>
      <right style="thin">
        <color auto="1"/>
      </right>
      <top style="thin">
        <color auto="1"/>
      </top>
      <bottom style="thin">
        <color auto="1"/>
      </bottom>
      <diagonal/>
    </border>
    <border>
      <left style="thick">
        <color rgb="FFFF0000"/>
      </left>
      <right/>
      <top/>
      <bottom/>
      <diagonal/>
    </border>
    <border>
      <left/>
      <right style="thick">
        <color rgb="FFFF0000"/>
      </right>
      <top/>
      <bottom/>
      <diagonal/>
    </border>
    <border>
      <left/>
      <right/>
      <top style="medium">
        <color rgb="FF000000"/>
      </top>
      <bottom style="medium">
        <color rgb="FF000000"/>
      </bottom>
      <diagonal/>
    </border>
    <border>
      <left style="thin">
        <color auto="1"/>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auto="1"/>
      </right>
      <top/>
      <bottom style="thin">
        <color rgb="FFD9D9D9"/>
      </bottom>
      <diagonal/>
    </border>
    <border>
      <left style="thin">
        <color auto="1"/>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auto="1"/>
      </right>
      <top style="thin">
        <color rgb="FFD9D9D9"/>
      </top>
      <bottom style="thin">
        <color rgb="FFD9D9D9"/>
      </bottom>
      <diagonal/>
    </border>
    <border>
      <left style="thin">
        <color auto="1"/>
      </left>
      <right style="thin">
        <color rgb="FFA6A6A6"/>
      </right>
      <top style="thin">
        <color rgb="FFD9D9D9"/>
      </top>
      <bottom style="medium">
        <color rgb="FF000000"/>
      </bottom>
      <diagonal/>
    </border>
    <border>
      <left style="thin">
        <color rgb="FFA6A6A6"/>
      </left>
      <right style="thin">
        <color rgb="FFA6A6A6"/>
      </right>
      <top style="thin">
        <color rgb="FFD9D9D9"/>
      </top>
      <bottom style="medium">
        <color rgb="FF000000"/>
      </bottom>
      <diagonal/>
    </border>
    <border>
      <left style="thin">
        <color rgb="FFA6A6A6"/>
      </left>
      <right style="thin">
        <color auto="1"/>
      </right>
      <top style="thin">
        <color rgb="FFD9D9D9"/>
      </top>
      <bottom style="medium">
        <color rgb="FF000000"/>
      </bottom>
      <diagonal/>
    </border>
    <border>
      <left style="thin">
        <color rgb="FF0F243E"/>
      </left>
      <right/>
      <top style="thin">
        <color rgb="FF0F243E"/>
      </top>
      <bottom/>
      <diagonal/>
    </border>
    <border>
      <left style="thin">
        <color rgb="FF061320"/>
      </left>
      <right/>
      <top style="thin">
        <color rgb="FF061320"/>
      </top>
      <bottom/>
      <diagonal/>
    </border>
    <border>
      <left/>
      <right/>
      <top style="thin">
        <color rgb="FF061320"/>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ck">
        <color rgb="FFFF0000"/>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bottom style="thin">
        <color auto="1"/>
      </bottom>
      <diagonal/>
    </border>
    <border>
      <left style="thick">
        <color rgb="FFFF0000"/>
      </left>
      <right style="thin">
        <color auto="1"/>
      </right>
      <top/>
      <bottom style="thin">
        <color auto="1"/>
      </bottom>
      <diagonal/>
    </border>
  </borders>
  <cellStyleXfs count="6">
    <xf numFmtId="0" fontId="0" fillId="0" borderId="0"/>
    <xf numFmtId="0" fontId="5" fillId="3" borderId="0"/>
    <xf numFmtId="43" fontId="6" fillId="0" borderId="0" applyFont="0" applyFill="0" applyBorder="0" applyAlignment="0" applyProtection="0"/>
    <xf numFmtId="0" fontId="5" fillId="3" borderId="0"/>
    <xf numFmtId="0" fontId="1" fillId="3" borderId="0"/>
    <xf numFmtId="0" fontId="20" fillId="3" borderId="0"/>
  </cellStyleXfs>
  <cellXfs count="141">
    <xf numFmtId="0" fontId="0" fillId="0" borderId="0" xfId="0"/>
    <xf numFmtId="0" fontId="3" fillId="2" borderId="1" xfId="0" applyFont="1" applyFill="1" applyBorder="1" applyAlignment="1">
      <alignment horizontal="center" vertical="center"/>
    </xf>
    <xf numFmtId="14" fontId="3" fillId="2" borderId="1" xfId="0" quotePrefix="1" applyNumberFormat="1" applyFont="1" applyFill="1" applyBorder="1" applyAlignment="1">
      <alignment horizontal="center" vertical="center"/>
    </xf>
    <xf numFmtId="0" fontId="0" fillId="0" borderId="0" xfId="0" quotePrefix="1"/>
    <xf numFmtId="14" fontId="0" fillId="0" borderId="0" xfId="0" applyNumberFormat="1"/>
    <xf numFmtId="40" fontId="3" fillId="2" borderId="1" xfId="0" applyNumberFormat="1" applyFont="1" applyFill="1" applyBorder="1" applyAlignment="1">
      <alignment horizontal="center" vertical="center"/>
    </xf>
    <xf numFmtId="40" fontId="0" fillId="0" borderId="0" xfId="0" applyNumberFormat="1"/>
    <xf numFmtId="14" fontId="3" fillId="2" borderId="2" xfId="0" quotePrefix="1" applyNumberFormat="1" applyFont="1" applyFill="1" applyBorder="1" applyAlignment="1">
      <alignment horizontal="center" vertical="center"/>
    </xf>
    <xf numFmtId="14" fontId="3" fillId="2" borderId="3" xfId="0" quotePrefix="1" applyNumberFormat="1" applyFont="1" applyFill="1" applyBorder="1" applyAlignment="1">
      <alignment horizontal="center" vertical="center"/>
    </xf>
    <xf numFmtId="164" fontId="0" fillId="0" borderId="0" xfId="0" applyNumberFormat="1"/>
    <xf numFmtId="164" fontId="0" fillId="0" borderId="4" xfId="0" applyNumberFormat="1" applyBorder="1"/>
    <xf numFmtId="164" fontId="0" fillId="0" borderId="5" xfId="0" applyNumberFormat="1" applyBorder="1"/>
    <xf numFmtId="0" fontId="2" fillId="3" borderId="0" xfId="0" applyFont="1" applyFill="1"/>
    <xf numFmtId="0" fontId="9" fillId="5" borderId="6" xfId="0" applyFont="1" applyFill="1" applyBorder="1" applyAlignment="1">
      <alignment vertical="center" wrapText="1"/>
    </xf>
    <xf numFmtId="0" fontId="9" fillId="5"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6" xfId="0" applyFont="1" applyFill="1" applyBorder="1" applyAlignment="1">
      <alignment horizontal="left" vertical="center" wrapText="1"/>
    </xf>
    <xf numFmtId="165" fontId="9" fillId="6" borderId="6" xfId="0" applyNumberFormat="1" applyFont="1" applyFill="1" applyBorder="1" applyAlignment="1">
      <alignment horizontal="center" vertical="center" wrapText="1"/>
    </xf>
    <xf numFmtId="166" fontId="9" fillId="5" borderId="6" xfId="0" applyNumberFormat="1" applyFont="1" applyFill="1" applyBorder="1" applyAlignment="1">
      <alignment horizontal="center" vertical="center" wrapText="1"/>
    </xf>
    <xf numFmtId="167" fontId="9" fillId="6" borderId="6" xfId="0" applyNumberFormat="1" applyFont="1" applyFill="1" applyBorder="1" applyAlignment="1">
      <alignment horizontal="center" vertical="center" wrapText="1"/>
    </xf>
    <xf numFmtId="0" fontId="9" fillId="7" borderId="7" xfId="0" applyFont="1" applyFill="1" applyBorder="1"/>
    <xf numFmtId="0" fontId="9" fillId="7" borderId="8" xfId="0" applyFont="1" applyFill="1" applyBorder="1"/>
    <xf numFmtId="0" fontId="9" fillId="7" borderId="8" xfId="0" applyFont="1" applyFill="1" applyBorder="1" applyAlignment="1">
      <alignment horizontal="center" vertical="center"/>
    </xf>
    <xf numFmtId="0" fontId="9" fillId="7" borderId="8" xfId="0" applyFont="1" applyFill="1" applyBorder="1" applyAlignment="1">
      <alignment horizontal="left" vertical="center" indent="1"/>
    </xf>
    <xf numFmtId="165" fontId="9" fillId="7" borderId="8" xfId="0" applyNumberFormat="1" applyFont="1" applyFill="1" applyBorder="1" applyAlignment="1">
      <alignment horizontal="right" indent="1"/>
    </xf>
    <xf numFmtId="166" fontId="9" fillId="7" borderId="8" xfId="0" applyNumberFormat="1" applyFont="1" applyFill="1" applyBorder="1" applyAlignment="1">
      <alignment horizontal="center" vertical="center"/>
    </xf>
    <xf numFmtId="167" fontId="9" fillId="7" borderId="8" xfId="0" applyNumberFormat="1" applyFont="1" applyFill="1" applyBorder="1" applyAlignment="1">
      <alignment horizontal="right" indent="1"/>
    </xf>
    <xf numFmtId="0" fontId="9" fillId="7" borderId="9" xfId="0" applyFont="1" applyFill="1" applyBorder="1" applyAlignment="1">
      <alignment horizontal="center" vertical="center"/>
    </xf>
    <xf numFmtId="0" fontId="10" fillId="8" borderId="10" xfId="0" applyFont="1" applyFill="1" applyBorder="1"/>
    <xf numFmtId="0" fontId="10" fillId="8" borderId="11" xfId="0" applyFont="1" applyFill="1" applyBorder="1" applyAlignment="1">
      <alignment horizontal="left" indent="2"/>
    </xf>
    <xf numFmtId="0" fontId="10" fillId="8" borderId="11" xfId="0" applyFont="1" applyFill="1" applyBorder="1" applyAlignment="1">
      <alignment horizontal="center" vertical="center"/>
    </xf>
    <xf numFmtId="0" fontId="10" fillId="8" borderId="11" xfId="0" applyFont="1" applyFill="1" applyBorder="1" applyAlignment="1">
      <alignment horizontal="left" vertical="center" indent="1"/>
    </xf>
    <xf numFmtId="165" fontId="10" fillId="8" borderId="11" xfId="0" applyNumberFormat="1" applyFont="1" applyFill="1" applyBorder="1" applyAlignment="1">
      <alignment horizontal="right" indent="1"/>
    </xf>
    <xf numFmtId="166" fontId="10" fillId="8" borderId="11" xfId="0" applyNumberFormat="1" applyFont="1" applyFill="1" applyBorder="1" applyAlignment="1">
      <alignment horizontal="center" vertical="center"/>
    </xf>
    <xf numFmtId="167" fontId="10" fillId="8" borderId="11" xfId="0" applyNumberFormat="1" applyFont="1" applyFill="1" applyBorder="1" applyAlignment="1">
      <alignment horizontal="right" indent="1"/>
    </xf>
    <xf numFmtId="0" fontId="10" fillId="8" borderId="12" xfId="0" applyFont="1" applyFill="1" applyBorder="1" applyAlignment="1">
      <alignment horizontal="center" vertical="center"/>
    </xf>
    <xf numFmtId="0" fontId="10" fillId="9" borderId="10" xfId="0" applyFont="1" applyFill="1" applyBorder="1"/>
    <xf numFmtId="0" fontId="10" fillId="9" borderId="11" xfId="0" applyFont="1" applyFill="1" applyBorder="1" applyAlignment="1">
      <alignment horizontal="left" indent="4"/>
    </xf>
    <xf numFmtId="0" fontId="10" fillId="9" borderId="11" xfId="0" applyFont="1" applyFill="1" applyBorder="1" applyAlignment="1">
      <alignment horizontal="center" vertical="center"/>
    </xf>
    <xf numFmtId="0" fontId="10" fillId="9" borderId="11" xfId="0" applyFont="1" applyFill="1" applyBorder="1" applyAlignment="1">
      <alignment horizontal="left" vertical="center" indent="1"/>
    </xf>
    <xf numFmtId="165" fontId="10" fillId="9" borderId="11" xfId="0" applyNumberFormat="1" applyFont="1" applyFill="1" applyBorder="1" applyAlignment="1">
      <alignment horizontal="right" indent="1"/>
    </xf>
    <xf numFmtId="166" fontId="10" fillId="9" borderId="11" xfId="0" applyNumberFormat="1" applyFont="1" applyFill="1" applyBorder="1" applyAlignment="1">
      <alignment horizontal="center" vertical="center"/>
    </xf>
    <xf numFmtId="167" fontId="10" fillId="9" borderId="11" xfId="0" applyNumberFormat="1" applyFont="1" applyFill="1" applyBorder="1" applyAlignment="1">
      <alignment horizontal="right" indent="1"/>
    </xf>
    <xf numFmtId="0" fontId="10" fillId="9" borderId="12" xfId="0" applyFont="1" applyFill="1" applyBorder="1" applyAlignment="1">
      <alignment horizontal="center" vertical="center"/>
    </xf>
    <xf numFmtId="0" fontId="10" fillId="3" borderId="10" xfId="0" applyFont="1" applyFill="1" applyBorder="1"/>
    <xf numFmtId="0" fontId="10" fillId="3" borderId="11" xfId="0" applyFont="1" applyFill="1" applyBorder="1" applyAlignment="1">
      <alignment horizontal="left" indent="6"/>
    </xf>
    <xf numFmtId="0" fontId="10" fillId="3" borderId="11" xfId="0" applyFont="1" applyFill="1" applyBorder="1" applyAlignment="1">
      <alignment horizontal="center" vertical="center"/>
    </xf>
    <xf numFmtId="0" fontId="10" fillId="3" borderId="11" xfId="0" applyFont="1" applyFill="1" applyBorder="1" applyAlignment="1">
      <alignment horizontal="left" vertical="center" indent="1"/>
    </xf>
    <xf numFmtId="165" fontId="10" fillId="3" borderId="11" xfId="0" applyNumberFormat="1" applyFont="1" applyFill="1" applyBorder="1" applyAlignment="1">
      <alignment horizontal="right" indent="1"/>
    </xf>
    <xf numFmtId="166" fontId="10" fillId="3" borderId="11" xfId="0" applyNumberFormat="1" applyFont="1" applyFill="1" applyBorder="1" applyAlignment="1">
      <alignment horizontal="center" vertical="center"/>
    </xf>
    <xf numFmtId="167" fontId="10" fillId="3" borderId="11" xfId="0" applyNumberFormat="1" applyFont="1" applyFill="1" applyBorder="1" applyAlignment="1">
      <alignment horizontal="right" indent="1"/>
    </xf>
    <xf numFmtId="0" fontId="10" fillId="3" borderId="12" xfId="0" applyFont="1" applyFill="1" applyBorder="1" applyAlignment="1">
      <alignment horizontal="center" vertical="center"/>
    </xf>
    <xf numFmtId="0" fontId="9" fillId="7" borderId="10" xfId="0" applyFont="1" applyFill="1" applyBorder="1"/>
    <xf numFmtId="0" fontId="9" fillId="7" borderId="11" xfId="0" applyFont="1" applyFill="1" applyBorder="1"/>
    <xf numFmtId="0" fontId="9" fillId="7" borderId="11" xfId="0" applyFont="1" applyFill="1" applyBorder="1" applyAlignment="1">
      <alignment horizontal="center" vertical="center"/>
    </xf>
    <xf numFmtId="0" fontId="9" fillId="7" borderId="11" xfId="0" applyFont="1" applyFill="1" applyBorder="1" applyAlignment="1">
      <alignment horizontal="left" vertical="center" indent="1"/>
    </xf>
    <xf numFmtId="165" fontId="9" fillId="7" borderId="11" xfId="0" applyNumberFormat="1" applyFont="1" applyFill="1" applyBorder="1" applyAlignment="1">
      <alignment horizontal="right" indent="1"/>
    </xf>
    <xf numFmtId="166" fontId="9" fillId="7" borderId="11" xfId="0" applyNumberFormat="1" applyFont="1" applyFill="1" applyBorder="1" applyAlignment="1">
      <alignment horizontal="center" vertical="center"/>
    </xf>
    <xf numFmtId="167" fontId="9" fillId="7" borderId="11" xfId="0" applyNumberFormat="1" applyFont="1" applyFill="1" applyBorder="1" applyAlignment="1">
      <alignment horizontal="right" indent="1"/>
    </xf>
    <xf numFmtId="0" fontId="9" fillId="7" borderId="12" xfId="0" applyFont="1" applyFill="1" applyBorder="1" applyAlignment="1">
      <alignment horizontal="center" vertical="center"/>
    </xf>
    <xf numFmtId="0" fontId="10" fillId="3" borderId="13" xfId="0" applyFont="1" applyFill="1" applyBorder="1"/>
    <xf numFmtId="0" fontId="10" fillId="3" borderId="14" xfId="0" applyFont="1" applyFill="1" applyBorder="1" applyAlignment="1">
      <alignment horizontal="left" indent="6"/>
    </xf>
    <xf numFmtId="0" fontId="10" fillId="3" borderId="14" xfId="0" applyFont="1" applyFill="1" applyBorder="1" applyAlignment="1">
      <alignment horizontal="center" vertical="center"/>
    </xf>
    <xf numFmtId="0" fontId="10" fillId="3" borderId="14" xfId="0" applyFont="1" applyFill="1" applyBorder="1" applyAlignment="1">
      <alignment horizontal="left" vertical="center" indent="1"/>
    </xf>
    <xf numFmtId="165" fontId="10" fillId="3" borderId="14" xfId="0" applyNumberFormat="1" applyFont="1" applyFill="1" applyBorder="1" applyAlignment="1">
      <alignment horizontal="right" indent="1"/>
    </xf>
    <xf numFmtId="166" fontId="10" fillId="3" borderId="14" xfId="0" applyNumberFormat="1" applyFont="1" applyFill="1" applyBorder="1" applyAlignment="1">
      <alignment horizontal="center" vertical="center"/>
    </xf>
    <xf numFmtId="167" fontId="10" fillId="3" borderId="14" xfId="0" applyNumberFormat="1" applyFont="1" applyFill="1" applyBorder="1" applyAlignment="1">
      <alignment horizontal="right" indent="1"/>
    </xf>
    <xf numFmtId="0" fontId="10" fillId="3" borderId="15" xfId="0" applyFont="1" applyFill="1" applyBorder="1" applyAlignment="1">
      <alignment horizontal="center" vertical="center"/>
    </xf>
    <xf numFmtId="0" fontId="11" fillId="10" borderId="16" xfId="0" applyFont="1" applyFill="1" applyBorder="1" applyAlignment="1">
      <alignment horizontal="left"/>
    </xf>
    <xf numFmtId="0" fontId="11" fillId="10" borderId="0" xfId="0" applyFont="1" applyFill="1"/>
    <xf numFmtId="0" fontId="11" fillId="11" borderId="17" xfId="0" applyFont="1" applyFill="1" applyBorder="1" applyAlignment="1">
      <alignment horizontal="left"/>
    </xf>
    <xf numFmtId="0" fontId="11" fillId="11" borderId="18" xfId="0" applyFont="1" applyFill="1" applyBorder="1"/>
    <xf numFmtId="0" fontId="9" fillId="12" borderId="0" xfId="0" applyFont="1" applyFill="1"/>
    <xf numFmtId="0" fontId="12" fillId="3" borderId="1" xfId="0" applyFont="1" applyFill="1" applyBorder="1"/>
    <xf numFmtId="0" fontId="0" fillId="0" borderId="19" xfId="0" applyBorder="1"/>
    <xf numFmtId="0" fontId="0" fillId="0" borderId="20" xfId="0" applyBorder="1"/>
    <xf numFmtId="0" fontId="13" fillId="3" borderId="0" xfId="3" applyFont="1" applyAlignment="1">
      <alignment horizontal="center"/>
    </xf>
    <xf numFmtId="0" fontId="14" fillId="3" borderId="0" xfId="3" applyFont="1" applyAlignment="1">
      <alignment horizontal="center"/>
    </xf>
    <xf numFmtId="168" fontId="15" fillId="13" borderId="21" xfId="3" applyNumberFormat="1" applyFont="1" applyFill="1" applyBorder="1" applyAlignment="1">
      <alignment vertical="center" wrapText="1"/>
    </xf>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4" fontId="3" fillId="2" borderId="22" xfId="0" quotePrefix="1" applyNumberFormat="1" applyFont="1" applyFill="1" applyBorder="1" applyAlignment="1">
      <alignment horizontal="center" vertical="center"/>
    </xf>
    <xf numFmtId="14" fontId="3" fillId="2" borderId="23" xfId="0" quotePrefix="1" applyNumberFormat="1" applyFont="1" applyFill="1" applyBorder="1" applyAlignment="1">
      <alignment horizontal="center" vertical="center"/>
    </xf>
    <xf numFmtId="164" fontId="0" fillId="14" borderId="0" xfId="0" applyNumberFormat="1" applyFill="1"/>
    <xf numFmtId="0" fontId="16" fillId="14" borderId="24" xfId="0" applyFont="1" applyFill="1" applyBorder="1"/>
    <xf numFmtId="49" fontId="3" fillId="2" borderId="1" xfId="0" applyNumberFormat="1" applyFont="1" applyFill="1" applyBorder="1" applyAlignment="1">
      <alignment horizontal="center" vertical="center"/>
    </xf>
    <xf numFmtId="49" fontId="0" fillId="0" borderId="0" xfId="0" applyNumberFormat="1"/>
    <xf numFmtId="0" fontId="17" fillId="0" borderId="25" xfId="0" applyFont="1" applyBorder="1" applyAlignment="1">
      <alignment horizontal="left" vertical="center" indent="1"/>
    </xf>
    <xf numFmtId="0" fontId="17" fillId="15" borderId="25" xfId="0" applyFont="1" applyFill="1" applyBorder="1" applyAlignment="1">
      <alignment horizontal="left" vertical="center" indent="1"/>
    </xf>
    <xf numFmtId="3" fontId="17" fillId="16" borderId="25" xfId="0" applyNumberFormat="1" applyFont="1" applyFill="1" applyBorder="1" applyAlignment="1">
      <alignment horizontal="right" vertical="center"/>
    </xf>
    <xf numFmtId="3" fontId="17" fillId="0" borderId="25" xfId="0" applyNumberFormat="1" applyFont="1" applyBorder="1" applyAlignment="1">
      <alignment horizontal="right" vertical="center"/>
    </xf>
    <xf numFmtId="3" fontId="17" fillId="15" borderId="25" xfId="0" applyNumberFormat="1" applyFont="1" applyFill="1" applyBorder="1" applyAlignment="1">
      <alignment horizontal="right" vertical="center"/>
    </xf>
    <xf numFmtId="0" fontId="17" fillId="0" borderId="0" xfId="0" applyFont="1" applyAlignment="1">
      <alignment vertical="center"/>
    </xf>
    <xf numFmtId="176" fontId="17" fillId="0" borderId="0" xfId="0" applyNumberFormat="1" applyFont="1" applyAlignment="1">
      <alignment vertical="center"/>
    </xf>
    <xf numFmtId="168" fontId="18" fillId="17" borderId="2" xfId="0" applyNumberFormat="1" applyFont="1" applyFill="1" applyBorder="1" applyAlignment="1">
      <alignment horizontal="center" vertical="center"/>
    </xf>
    <xf numFmtId="168" fontId="18" fillId="15" borderId="1" xfId="0" applyNumberFormat="1" applyFont="1" applyFill="1" applyBorder="1" applyAlignment="1">
      <alignment horizontal="center" vertical="center" wrapText="1"/>
    </xf>
    <xf numFmtId="168" fontId="18" fillId="16" borderId="1" xfId="0" applyNumberFormat="1" applyFont="1" applyFill="1" applyBorder="1" applyAlignment="1">
      <alignment horizontal="center" vertical="center"/>
    </xf>
    <xf numFmtId="168" fontId="18" fillId="17" borderId="1" xfId="0" applyNumberFormat="1" applyFont="1" applyFill="1" applyBorder="1" applyAlignment="1">
      <alignment horizontal="center" vertical="center"/>
    </xf>
    <xf numFmtId="0" fontId="19" fillId="0" borderId="25" xfId="0" applyFont="1" applyBorder="1" applyAlignment="1">
      <alignment horizontal="left" vertical="center" indent="2"/>
    </xf>
    <xf numFmtId="0" fontId="19" fillId="15" borderId="25" xfId="0" applyFont="1" applyFill="1" applyBorder="1" applyAlignment="1">
      <alignment horizontal="left" vertical="center" indent="2"/>
    </xf>
    <xf numFmtId="3" fontId="19" fillId="16" borderId="25" xfId="0" applyNumberFormat="1" applyFont="1" applyFill="1" applyBorder="1" applyAlignment="1">
      <alignment horizontal="right" vertical="center"/>
    </xf>
    <xf numFmtId="3" fontId="19" fillId="0" borderId="25" xfId="0" applyNumberFormat="1" applyFont="1" applyBorder="1" applyAlignment="1">
      <alignment horizontal="right" vertical="center"/>
    </xf>
    <xf numFmtId="3" fontId="19" fillId="15" borderId="25" xfId="0" applyNumberFormat="1" applyFont="1" applyFill="1" applyBorder="1" applyAlignment="1">
      <alignment horizontal="right" vertical="center"/>
    </xf>
    <xf numFmtId="3" fontId="17" fillId="0" borderId="0" xfId="0" applyNumberFormat="1" applyFont="1" applyAlignment="1">
      <alignment vertical="center"/>
    </xf>
    <xf numFmtId="177" fontId="17" fillId="0" borderId="25" xfId="0" applyNumberFormat="1" applyFont="1" applyBorder="1" applyAlignment="1">
      <alignment horizontal="right" vertical="center"/>
    </xf>
    <xf numFmtId="177" fontId="17" fillId="0" borderId="0" xfId="0" applyNumberFormat="1" applyFont="1" applyAlignment="1">
      <alignment vertical="center"/>
    </xf>
    <xf numFmtId="0" fontId="19" fillId="4" borderId="25" xfId="0" applyFont="1" applyFill="1" applyBorder="1" applyAlignment="1">
      <alignment horizontal="left" vertical="center" indent="2"/>
    </xf>
    <xf numFmtId="3" fontId="0" fillId="0" borderId="0" xfId="0" applyNumberFormat="1"/>
    <xf numFmtId="0" fontId="19" fillId="15" borderId="26" xfId="0" applyFont="1" applyFill="1" applyBorder="1" applyAlignment="1">
      <alignment horizontal="left" vertical="center" indent="2"/>
    </xf>
    <xf numFmtId="3" fontId="19" fillId="16" borderId="26" xfId="0" applyNumberFormat="1" applyFont="1" applyFill="1" applyBorder="1" applyAlignment="1">
      <alignment vertical="center"/>
    </xf>
    <xf numFmtId="3" fontId="19" fillId="0" borderId="26" xfId="0" applyNumberFormat="1" applyFont="1" applyBorder="1" applyAlignment="1">
      <alignment vertical="center"/>
    </xf>
    <xf numFmtId="3" fontId="19" fillId="15" borderId="26" xfId="0" applyNumberFormat="1" applyFont="1" applyFill="1" applyBorder="1" applyAlignment="1">
      <alignment vertical="center"/>
    </xf>
    <xf numFmtId="0" fontId="19" fillId="0" borderId="0" xfId="0" applyFont="1" applyAlignment="1">
      <alignment horizontal="left" vertical="center" indent="2"/>
    </xf>
    <xf numFmtId="0" fontId="19" fillId="15" borderId="0" xfId="0" applyFont="1" applyFill="1" applyAlignment="1">
      <alignment horizontal="left" vertical="center" indent="2"/>
    </xf>
    <xf numFmtId="3" fontId="19" fillId="16" borderId="0" xfId="0" applyNumberFormat="1" applyFont="1" applyFill="1" applyAlignment="1">
      <alignment horizontal="right" vertical="center"/>
    </xf>
    <xf numFmtId="3" fontId="19" fillId="15" borderId="0" xfId="0" applyNumberFormat="1" applyFont="1" applyFill="1" applyAlignment="1">
      <alignment horizontal="right" vertical="center"/>
    </xf>
    <xf numFmtId="3" fontId="19" fillId="16" borderId="26" xfId="0" applyNumberFormat="1" applyFont="1" applyFill="1" applyBorder="1" applyAlignment="1">
      <alignment horizontal="right" vertical="center"/>
    </xf>
    <xf numFmtId="3" fontId="19" fillId="0" borderId="26" xfId="0" applyNumberFormat="1" applyFont="1" applyBorder="1" applyAlignment="1">
      <alignment horizontal="right" vertical="center"/>
    </xf>
    <xf numFmtId="3" fontId="19" fillId="15" borderId="26" xfId="0" applyNumberFormat="1" applyFont="1" applyFill="1" applyBorder="1" applyAlignment="1">
      <alignment horizontal="right" vertical="center"/>
    </xf>
    <xf numFmtId="40" fontId="0" fillId="0" borderId="0" xfId="2" quotePrefix="1" applyNumberFormat="1" applyFont="1" applyFill="1"/>
    <xf numFmtId="0" fontId="0" fillId="18" borderId="0" xfId="0" applyFill="1"/>
    <xf numFmtId="43" fontId="0" fillId="0" borderId="0" xfId="2" applyFont="1"/>
    <xf numFmtId="0" fontId="3" fillId="2" borderId="27" xfId="0" applyFont="1" applyFill="1" applyBorder="1" applyAlignment="1">
      <alignment horizontal="center" vertical="center"/>
    </xf>
    <xf numFmtId="49" fontId="3" fillId="2" borderId="27" xfId="0" applyNumberFormat="1" applyFont="1" applyFill="1" applyBorder="1" applyAlignment="1">
      <alignment horizontal="center" vertical="center"/>
    </xf>
    <xf numFmtId="40" fontId="3" fillId="2" borderId="27" xfId="0" applyNumberFormat="1" applyFont="1" applyFill="1" applyBorder="1" applyAlignment="1">
      <alignment horizontal="center" vertical="center"/>
    </xf>
    <xf numFmtId="14" fontId="3" fillId="2" borderId="27" xfId="0" quotePrefix="1" applyNumberFormat="1" applyFont="1" applyFill="1" applyBorder="1" applyAlignment="1">
      <alignment horizontal="center" vertical="center"/>
    </xf>
    <xf numFmtId="14" fontId="3" fillId="2" borderId="21" xfId="0" quotePrefix="1" applyNumberFormat="1" applyFont="1" applyFill="1" applyBorder="1" applyAlignment="1">
      <alignment horizontal="center" vertical="center"/>
    </xf>
    <xf numFmtId="14" fontId="3" fillId="2" borderId="28" xfId="0" quotePrefix="1" applyNumberFormat="1" applyFont="1" applyFill="1" applyBorder="1" applyAlignment="1">
      <alignment horizontal="center" vertical="center"/>
    </xf>
    <xf numFmtId="0" fontId="0" fillId="14" borderId="0" xfId="0" applyFill="1"/>
    <xf numFmtId="0" fontId="0" fillId="14" borderId="0" xfId="0" quotePrefix="1" applyFill="1"/>
    <xf numFmtId="49" fontId="0" fillId="14" borderId="0" xfId="0" applyNumberFormat="1" applyFill="1"/>
    <xf numFmtId="40" fontId="0" fillId="14" borderId="0" xfId="2" applyNumberFormat="1" applyFont="1" applyFill="1"/>
    <xf numFmtId="40" fontId="0" fillId="14" borderId="0" xfId="0" applyNumberFormat="1" applyFill="1"/>
    <xf numFmtId="164" fontId="0" fillId="14" borderId="4" xfId="0" applyNumberFormat="1" applyFill="1" applyBorder="1"/>
    <xf numFmtId="4" fontId="0" fillId="0" borderId="0" xfId="0" applyNumberFormat="1"/>
    <xf numFmtId="0" fontId="0" fillId="0" borderId="4" xfId="0" applyBorder="1"/>
  </cellXfs>
  <cellStyles count="6">
    <cellStyle name="Comma" xfId="2" builtinId="3"/>
    <cellStyle name="Normal" xfId="0" builtinId="0"/>
    <cellStyle name="Normal 13 2" xfId="3" xr:uid="{D6139EB2-4034-404B-AF28-AB6F58A1CAD0}"/>
    <cellStyle name="Normal 2" xfId="5" xr:uid="{B886E6DC-52C5-4F6F-B5A9-A89D1283F4B7}"/>
    <cellStyle name="Normal 3" xfId="4" xr:uid="{5FC20AE3-76F8-4A53-AE10-657120E5A626}"/>
    <cellStyle name="Normal 8" xfId="1" xr:uid="{2B69EC02-94F9-4D65-B019-A99824B96977}"/>
  </cellStyles>
  <dxfs count="89">
    <dxf>
      <numFmt numFmtId="0" formatCode="General"/>
      <border diagonalUp="0" diagonalDown="0">
        <left/>
        <right style="thin">
          <color auto="1"/>
        </right>
        <top/>
        <bottom/>
        <vertical/>
        <horizontal/>
      </border>
    </dxf>
    <dxf>
      <numFmt numFmtId="0" formatCode="General"/>
      <border diagonalUp="0" diagonalDown="0">
        <left style="thin">
          <color auto="1"/>
        </left>
        <right/>
        <top/>
        <bottom/>
        <vertical/>
        <horizontal/>
      </border>
    </dxf>
    <dxf>
      <numFmt numFmtId="0" formatCode="General"/>
    </dxf>
    <dxf>
      <numFmt numFmtId="0" formatCode="General"/>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border diagonalUp="0" diagonalDown="0">
        <left style="thick">
          <color rgb="FFFF0000"/>
        </left>
        <right/>
        <top/>
        <bottom/>
        <vertical/>
        <horizontal/>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numFmt numFmtId="8"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numFmt numFmtId="30" formatCode="@"/>
    </dxf>
    <dxf>
      <border outline="0">
        <top style="thin">
          <color auto="1"/>
        </top>
      </border>
    </dxf>
    <dxf>
      <border outline="0">
        <bottom style="thin">
          <color auto="1"/>
        </bottom>
      </border>
    </dxf>
    <dxf>
      <font>
        <b/>
        <i val="0"/>
        <strike val="0"/>
        <condense val="0"/>
        <extend val="0"/>
        <outline val="0"/>
        <shadow val="0"/>
        <u val="none"/>
        <vertAlign val="baseline"/>
        <sz val="9"/>
        <color rgb="FF000000"/>
        <name val="Segoe UI Semibold"/>
        <family val="2"/>
        <charset val="162"/>
        <scheme val="none"/>
      </font>
      <numFmt numFmtId="19" formatCode="d/mm/yyyy"/>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156082"/>
          <bgColor rgb="FF156082"/>
        </patternFill>
      </fill>
    </dxf>
    <dxf>
      <font>
        <b/>
        <color rgb="FFFFFFFF"/>
      </font>
      <fill>
        <patternFill patternType="solid">
          <fgColor rgb="FF156082"/>
          <bgColor rgb="FF156082"/>
        </patternFill>
      </fill>
    </dxf>
    <dxf>
      <border>
        <top style="double">
          <color rgb="FF000000"/>
        </top>
      </border>
    </dxf>
    <dxf>
      <font>
        <b/>
        <color rgb="FFFFFFFF"/>
      </font>
      <fill>
        <patternFill patternType="solid">
          <fgColor rgb="FF156082"/>
          <bgColor rgb="FF156082"/>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2" defaultTableStyle="TableStyleMedium9" defaultPivotStyle="PivotStyleLight16">
    <tableStyle name="TableStyleMedium16 2" pivot="0" count="7" xr9:uid="{AE5B41E6-A2CA-4E98-A00C-18573AE5D250}">
      <tableStyleElement type="wholeTable" dxfId="88"/>
      <tableStyleElement type="headerRow" dxfId="87"/>
      <tableStyleElement type="totalRow" dxfId="86"/>
      <tableStyleElement type="firstColumn" dxfId="85"/>
      <tableStyleElement type="lastColumn" dxfId="84"/>
      <tableStyleElement type="firstRowStripe" dxfId="83"/>
      <tableStyleElement type="firstColumnStripe" dxfId="82"/>
    </tableStyle>
    <tableStyle name="TableStyleMedium16 3" pivot="0" count="7" xr9:uid="{4FB28886-9BE7-4A27-86C8-864C2CA444A7}">
      <tableStyleElement type="wholeTable" dxfId="81"/>
      <tableStyleElement type="headerRow" dxfId="80"/>
      <tableStyleElement type="totalRow" dxfId="79"/>
      <tableStyleElement type="firstColumn" dxfId="78"/>
      <tableStyleElement type="lastColumn" dxfId="77"/>
      <tableStyleElement type="firstRowStripe" dxfId="76"/>
      <tableStyleElement type="firstColumnStrip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37267749-B9A1-4523-B457-8EF62AFE520D}" autoFormatId="16" applyNumberFormats="0" applyBorderFormats="0" applyFontFormats="0" applyPatternFormats="0" applyAlignmentFormats="0" applyWidthHeightFormats="0">
  <queryTableRefresh nextId="67">
    <queryTableFields count="66">
      <queryTableField id="1" name="Rep Month" tableColumnId="1"/>
      <queryTableField id="2" name="L4 Code" tableColumnId="2"/>
      <queryTableField id="3" name="L4 Desc" tableColumnId="3"/>
      <queryTableField id="4" name="1.10.2023" tableColumnId="4"/>
      <queryTableField id="5" name="1.11.2023" tableColumnId="5"/>
      <queryTableField id="6" name="1.12.2023" tableColumnId="6"/>
      <queryTableField id="7" name="1.01.2024" tableColumnId="7"/>
      <queryTableField id="8" name="1.02.2024" tableColumnId="8"/>
      <queryTableField id="9" name="1.03.2024" tableColumnId="9"/>
      <queryTableField id="10" name="1.04.2024" tableColumnId="10"/>
      <queryTableField id="11" name="1.05.2024" tableColumnId="11"/>
      <queryTableField id="12" name="1.06.2024" tableColumnId="12"/>
      <queryTableField id="13" name="1.07.2024" tableColumnId="13"/>
      <queryTableField id="14" name="1.08.2024" tableColumnId="14"/>
      <queryTableField id="15" name="1.09.2024" tableColumnId="15"/>
      <queryTableField id="16" name="1.10.2024" tableColumnId="16"/>
      <queryTableField id="17" name="1.11.2024" tableColumnId="17"/>
      <queryTableField id="18" name="1.12.2024" tableColumnId="18"/>
      <queryTableField id="19" name="1.01.2025" tableColumnId="19"/>
      <queryTableField id="20" name="1.02.2025" tableColumnId="20"/>
      <queryTableField id="21" name="1.03.2025" tableColumnId="21"/>
      <queryTableField id="22" name="1.04.2025" tableColumnId="22"/>
      <queryTableField id="23" name="1.05.2025" tableColumnId="23"/>
      <queryTableField id="24" name="1.06.2025" tableColumnId="24"/>
      <queryTableField id="25" name="1.07.2025" tableColumnId="25"/>
      <queryTableField id="26" name="1.08.2025" tableColumnId="26"/>
      <queryTableField id="27" name="1.09.2025" tableColumnId="27"/>
      <queryTableField id="28" name="1.10.2025" tableColumnId="28"/>
      <queryTableField id="29" name="1.11.2025" tableColumnId="29"/>
      <queryTableField id="30" name="1.12.2025" tableColumnId="30"/>
      <queryTableField id="31" name="1.01.2026" tableColumnId="31"/>
      <queryTableField id="32" name="1.02.2026" tableColumnId="32"/>
      <queryTableField id="33" name="1.03.2026" tableColumnId="33"/>
      <queryTableField id="34" name="1.04.2026" tableColumnId="34"/>
      <queryTableField id="35" name="1.05.2026" tableColumnId="35"/>
      <queryTableField id="36" name="1.06.2026" tableColumnId="36"/>
      <queryTableField id="37" name="1.07.2026" tableColumnId="37"/>
      <queryTableField id="38" name="1.08.2026" tableColumnId="38"/>
      <queryTableField id="39" name="1.09.2026" tableColumnId="39"/>
      <queryTableField id="40" name="1.10.2026" tableColumnId="40"/>
      <queryTableField id="41" name="1.11.2026" tableColumnId="41"/>
      <queryTableField id="42" name="1.12.2026" tableColumnId="42"/>
      <queryTableField id="43" name="1.01.2027" tableColumnId="43"/>
      <queryTableField id="44" name="1.02.2027" tableColumnId="44"/>
      <queryTableField id="45" name="1.03.2027" tableColumnId="45"/>
      <queryTableField id="46" name="1.04.2027" tableColumnId="46"/>
      <queryTableField id="47" name="1.05.2027" tableColumnId="47"/>
      <queryTableField id="48" name="1.06.2027" tableColumnId="48"/>
      <queryTableField id="49" name="1.07.2027" tableColumnId="49"/>
      <queryTableField id="50" name="1.08.2027" tableColumnId="50"/>
      <queryTableField id="51" name="1.09.2027" tableColumnId="51"/>
      <queryTableField id="52" name="1.10.2027" tableColumnId="52"/>
      <queryTableField id="53" name="1.11.2027" tableColumnId="53"/>
      <queryTableField id="54" name="1.12.2027" tableColumnId="54"/>
      <queryTableField id="55" name="1.01.2028" tableColumnId="55"/>
      <queryTableField id="56" name="1.02.2028" tableColumnId="56"/>
      <queryTableField id="57" name="1.03.2028" tableColumnId="57"/>
      <queryTableField id="58" name="1.04.2028" tableColumnId="58"/>
      <queryTableField id="59" name="1.05.2028" tableColumnId="59"/>
      <queryTableField id="60" name="1.06.2028" tableColumnId="60"/>
      <queryTableField id="61" name="1.07.2028" tableColumnId="61"/>
      <queryTableField id="62" name="1.08.2028" tableColumnId="62"/>
      <queryTableField id="63" name="1.09.2028" tableColumnId="63"/>
      <queryTableField id="64" name="1.10.2028" tableColumnId="64"/>
      <queryTableField id="65" name="1.11.2028" tableColumnId="65"/>
      <queryTableField id="66" name="1.12.2028" tableColumnId="6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12" xr16:uid="{EB634E4D-5E1F-426A-917B-D15C5E1E7CE3}" autoFormatId="16" applyNumberFormats="0" applyBorderFormats="0" applyFontFormats="0" applyPatternFormats="0" applyAlignmentFormats="0" applyWidthHeightFormats="0">
  <queryTableRefresh nextId="3">
    <queryTableFields count="2">
      <queryTableField id="1" name="KOD" tableColumnId="1"/>
      <queryTableField id="2" name="AÇIKLAMA"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EAC03-5ADD-46D1-BB5D-9A2211493634}" name="Table1" displayName="Table1" ref="A1:BX520" totalsRowShown="0" headerRowDxfId="74" headerRowBorderDxfId="73" tableBorderDxfId="72">
  <autoFilter ref="A1:BX520" xr:uid="{00000000-0001-0000-0000-000000000000}"/>
  <tableColumns count="76">
    <tableColumn id="1" xr3:uid="{BFEBC757-8469-45AF-9BA9-AC35ECA986CE}" name="Rep Month"/>
    <tableColumn id="2" xr3:uid="{C4585366-D4BC-453A-A07F-7BCD6183D675}" name="L4 Code"/>
    <tableColumn id="3" xr3:uid="{7C052D44-7EB9-4904-9251-2F76518ACDA2}" name="L4 Desc"/>
    <tableColumn id="4" xr3:uid="{FD4E88D2-44A3-4CB6-9EC4-068FFE29A139}" name="M2 Code"/>
    <tableColumn id="5" xr3:uid="{0DA9D3DD-A5F8-42DA-A51A-BA20C78D10F1}" name="M2 Desc"/>
    <tableColumn id="6" xr3:uid="{E4172371-A071-473B-BBBA-73A61469103B}" name="T1 Code" dataDxfId="71"/>
    <tableColumn id="7" xr3:uid="{2320C59D-733E-4CC0-8E78-7468646FA0D4}" name="T1 Desc"/>
    <tableColumn id="8" xr3:uid="{2880375C-A880-4256-A922-944749EF6DB3}" name="FFAK"/>
    <tableColumn id="9" xr3:uid="{CFE6BB0A-0981-4B2F-A9DB-2AD711BCFF4C}" name="Taşeron Kod"/>
    <tableColumn id="10" xr3:uid="{3BDBF393-1E46-461D-8BF0-F2D191218EBA}" name="Sözleşme Miktar" dataDxfId="70" dataCellStyle="Comma"/>
    <tableColumn id="11" xr3:uid="{A4F52D3B-1672-4AE7-952F-A6988216B559}" name="Kalan Miktar" dataDxfId="69" dataCellStyle="Comma"/>
    <tableColumn id="12" xr3:uid="{EAB11F2C-225E-4DF7-9379-385975FEAAA3}" name="Kalan Dağılan Fark" dataDxfId="68"/>
    <tableColumn id="13" xr3:uid="{3552123D-0943-4518-87FC-C9AE2B93762A}" name="Toplam Miktar" dataDxfId="67" dataCellStyle="Comma"/>
    <tableColumn id="14" xr3:uid="{B7E11B84-661D-418A-9DE9-E09774655FCD}" name="1.10.2023" dataDxfId="66"/>
    <tableColumn id="15" xr3:uid="{AFFF0CB8-65C3-4D76-A09C-B9FC299080B9}" name="1.11.2023" dataDxfId="65"/>
    <tableColumn id="16" xr3:uid="{5585925E-4449-4F6B-BEC5-3150FB6ABD15}" name="1.12.2023" dataDxfId="64"/>
    <tableColumn id="17" xr3:uid="{9C89D215-9B73-40F6-A344-2A86C80FD8E2}" name="1.01.2024" dataDxfId="63"/>
    <tableColumn id="18" xr3:uid="{AC6928DC-6321-4E42-ADE5-A7066A5A4538}" name="1.02.2024" dataDxfId="62"/>
    <tableColumn id="19" xr3:uid="{9672CB4E-3A8B-4EEC-B70B-B2DB90844F25}" name="1.03.2024" dataDxfId="61"/>
    <tableColumn id="20" xr3:uid="{D52B1F22-F372-40F5-97EC-52440D86E83B}" name="1.04.2024" dataDxfId="60"/>
    <tableColumn id="21" xr3:uid="{E6167B93-711E-462B-8530-E2AF0A657077}" name="1.05.2024" dataDxfId="59"/>
    <tableColumn id="22" xr3:uid="{424EAD35-AC52-4A57-BC62-B733471E00B2}" name="1.06.2024" dataDxfId="58"/>
    <tableColumn id="23" xr3:uid="{2C52892D-009F-4882-979A-0B3B6840C9A0}" name="1.07.2024" dataDxfId="57"/>
    <tableColumn id="24" xr3:uid="{7C25AF6F-ABF8-4323-B9EA-877C77C35B34}" name="1.08.2024" dataDxfId="56"/>
    <tableColumn id="25" xr3:uid="{ECC84A29-E685-4DE3-AA9C-7324DEA5578B}" name="1.09.2024" dataDxfId="55"/>
    <tableColumn id="26" xr3:uid="{2B407A90-05D9-4121-BCB5-C7B544CEE29F}" name="1.10.2024" dataDxfId="54"/>
    <tableColumn id="27" xr3:uid="{D2FA5867-69D3-4822-9A4B-557A3780D632}" name="1.11.2024" dataDxfId="53"/>
    <tableColumn id="28" xr3:uid="{BF10DE85-0971-455A-9B77-D0CBEC0D4B81}" name="1.12.2024" dataDxfId="52"/>
    <tableColumn id="29" xr3:uid="{0D24134B-4C23-4D80-99B2-65706746B330}" name="1.01.2025" dataDxfId="51"/>
    <tableColumn id="30" xr3:uid="{856CFC69-4133-4160-81B8-DD1F353618A0}" name="1.02.2025" dataDxfId="50"/>
    <tableColumn id="31" xr3:uid="{B3C67FD1-5BCB-4B6B-AA1D-0BDC1D18F8EC}" name="1.03.2025" dataDxfId="49"/>
    <tableColumn id="32" xr3:uid="{2836488B-153E-4B94-9B26-61F089253A04}" name="1.04.2025" dataDxfId="48"/>
    <tableColumn id="33" xr3:uid="{1FD49296-5F87-403C-A4BD-8E2AD5F3A082}" name="1.05.2025" dataDxfId="47"/>
    <tableColumn id="34" xr3:uid="{09D26DBA-0371-4A5F-AA8D-917026C6E444}" name="1.06.2025" dataDxfId="46"/>
    <tableColumn id="35" xr3:uid="{7C5D5D82-615C-4EC2-8724-FE1C08FDA638}" name="1.07.2025" dataDxfId="45"/>
    <tableColumn id="36" xr3:uid="{C14F36D8-F7D1-4320-995E-1F39C0F251A8}" name="1.08.2025" dataDxfId="44"/>
    <tableColumn id="37" xr3:uid="{1272A712-BF4B-4912-994D-6ACE086AB9F8}" name="1.09.2025" dataDxfId="43"/>
    <tableColumn id="38" xr3:uid="{DAC98D3E-7D17-4AA7-BBB0-E5A65B251667}" name="1.10.2025" dataDxfId="42"/>
    <tableColumn id="39" xr3:uid="{C41E40BC-8050-4AC5-A8F5-9F4984CA6F41}" name="1.11.2025" dataDxfId="41"/>
    <tableColumn id="40" xr3:uid="{1FC54405-32E6-4F4E-BFFB-4794083CC706}" name="1.12.2025" dataDxfId="40"/>
    <tableColumn id="41" xr3:uid="{C9B7A0F3-0C66-48BC-98F0-5401C127411C}" name="1.01.2026" dataDxfId="39"/>
    <tableColumn id="42" xr3:uid="{F48FB81C-536B-4701-9EC9-89586D69A54B}" name="1.02.2026" dataDxfId="38"/>
    <tableColumn id="43" xr3:uid="{9E846EA4-AD81-4DC4-BF2B-00A34C02B9DD}" name="1.03.2026" dataDxfId="37"/>
    <tableColumn id="44" xr3:uid="{6AFC3F3A-B5ED-41DA-BA85-4052D9AB45B9}" name="1.04.2026" dataDxfId="36"/>
    <tableColumn id="45" xr3:uid="{03C93F38-70C5-45C4-9ED5-312F78920825}" name="1.05.2026" dataDxfId="35"/>
    <tableColumn id="46" xr3:uid="{766B0A33-93C7-45D4-888F-7E8457B92709}" name="1.06.2026" dataDxfId="34"/>
    <tableColumn id="47" xr3:uid="{C49C6EB1-C980-4D75-A933-324979D2F920}" name="1.07.2026" dataDxfId="33"/>
    <tableColumn id="48" xr3:uid="{F8FB6040-5E2F-460E-A084-72C2CE892714}" name="1.08.2026" dataDxfId="32"/>
    <tableColumn id="49" xr3:uid="{4ED47C0A-E46B-4335-A014-3C28D0151F88}" name="1.09.2026" dataDxfId="31"/>
    <tableColumn id="50" xr3:uid="{70D7F562-D331-49BE-A09C-91A2B636D182}" name="1.10.2026" dataDxfId="30"/>
    <tableColumn id="51" xr3:uid="{6D4C2011-7417-4422-A468-13141FAF62E7}" name="1.11.2026" dataDxfId="29"/>
    <tableColumn id="52" xr3:uid="{8E80BA48-D495-4D15-9E6B-4D37D0D26885}" name="1.12.2026" dataDxfId="28"/>
    <tableColumn id="53" xr3:uid="{C1270B76-4B45-4162-B2DB-28A9B446DF95}" name="1.01.2027" dataDxfId="27"/>
    <tableColumn id="54" xr3:uid="{D4457348-4DB6-410E-99E4-A4DC96F6A2AC}" name="1.02.2027" dataDxfId="26"/>
    <tableColumn id="55" xr3:uid="{C6CC2DA1-5FDE-48ED-96FC-93618759C678}" name="1.03.2027" dataDxfId="25"/>
    <tableColumn id="56" xr3:uid="{AE269F0B-EAEE-40C4-B3F9-6AA7DA82516D}" name="1.04.2027" dataDxfId="24"/>
    <tableColumn id="57" xr3:uid="{E4D95735-EB99-49CC-AB65-6462A12E5EC0}" name="1.05.2027" dataDxfId="23"/>
    <tableColumn id="58" xr3:uid="{C4B0DB98-FB1E-4D63-AD62-69319C4FDDF8}" name="1.06.2027" dataDxfId="22"/>
    <tableColumn id="59" xr3:uid="{B0BCED5D-0035-465C-A6E4-BB72477CABED}" name="1.07.2027" dataDxfId="21"/>
    <tableColumn id="60" xr3:uid="{343F196C-2235-441A-A4AE-617066C0F724}" name="1.08.2027" dataDxfId="20"/>
    <tableColumn id="61" xr3:uid="{17671FDB-2AAD-49A5-BE52-52DB8491CDE1}" name="1.09.2027" dataDxfId="19"/>
    <tableColumn id="62" xr3:uid="{B3DAEE03-9733-481B-8691-3BDA2CC1C4F7}" name="1.10.2027" dataDxfId="18"/>
    <tableColumn id="63" xr3:uid="{B78F8F10-EFE4-44F4-B5AA-8428486815EF}" name="1.11.2027" dataDxfId="17"/>
    <tableColumn id="64" xr3:uid="{C176E959-3364-4847-AF8D-89E3A79E420D}" name="1.12.2027" dataDxfId="16"/>
    <tableColumn id="65" xr3:uid="{37954031-9F58-448E-9AAE-C7314D81A78F}" name="1.01.2028" dataDxfId="15"/>
    <tableColumn id="66" xr3:uid="{3F88F8FC-A5E3-42B0-A0A7-7DD2700B0A3E}" name="1.02.2028" dataDxfId="14"/>
    <tableColumn id="67" xr3:uid="{2B33A452-AA0C-4582-A7C0-993EB20333C7}" name="1.03.2028" dataDxfId="13"/>
    <tableColumn id="68" xr3:uid="{2452F1BA-C8D1-4993-8024-0EA144112C16}" name="1.04.2028" dataDxfId="12"/>
    <tableColumn id="69" xr3:uid="{0935826B-7B81-4B0F-98BF-A871EA6D2523}" name="1.05.2028" dataDxfId="11"/>
    <tableColumn id="70" xr3:uid="{EA26C0DD-A671-4FBF-A057-22EBDCBD0E48}" name="1.06.2028" dataDxfId="10"/>
    <tableColumn id="71" xr3:uid="{5217242C-FAE8-4AEE-9D8B-B0E4D197A3F0}" name="1.07.2028" dataDxfId="9"/>
    <tableColumn id="72" xr3:uid="{BFDC6A2E-1AF9-4A9C-B29D-17D64E0D702F}" name="1.08.2028" dataDxfId="8"/>
    <tableColumn id="73" xr3:uid="{27A596D0-665B-44A7-8AD2-7C08DFCFC258}" name="1.09.2028" dataDxfId="7"/>
    <tableColumn id="74" xr3:uid="{41AC5CBC-83E2-4982-96F0-B701E6AA389E}" name="1.10.2028" dataDxfId="6"/>
    <tableColumn id="75" xr3:uid="{46703371-87F3-4E7A-926F-D31F6FE4FD0C}" name="1.11.2028" dataDxfId="5"/>
    <tableColumn id="76" xr3:uid="{378E736B-C92E-4649-91A4-9B999B466913}" name="1.12.2028" dataDxfId="4"/>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53C260-1AC8-40A1-BDC1-C624DC197DB5}" name="GİDER_MİKTAR_GROUPED" displayName="GİDER_MİKTAR_GROUPED" ref="A1:BN60" tableType="queryTable" totalsRowShown="0">
  <autoFilter ref="A1:BN60" xr:uid="{EB53C260-1AC8-40A1-BDC1-C624DC197DB5}"/>
  <sortState xmlns:xlrd2="http://schemas.microsoft.com/office/spreadsheetml/2017/richdata2" ref="A2:BN60">
    <sortCondition ref="B1:B60"/>
  </sortState>
  <tableColumns count="66">
    <tableColumn id="1" xr3:uid="{0FF9DDCD-BDFC-4514-BF56-C19FBDAA1B38}" uniqueName="1" name="Rep Month" queryTableFieldId="1"/>
    <tableColumn id="2" xr3:uid="{FED55D23-0E5F-4D16-AB21-CD2DA3E0BC3C}" uniqueName="2" name="L4 Code" queryTableFieldId="2" dataDxfId="3"/>
    <tableColumn id="3" xr3:uid="{D4696E78-86EF-401F-A80A-FF940F53A80C}" uniqueName="3" name="L4 Desc" queryTableFieldId="3" dataDxfId="2"/>
    <tableColumn id="4" xr3:uid="{CBFC8C87-C04F-482F-98E2-A558E61A1862}" uniqueName="4" name="1.10.2023" queryTableFieldId="4"/>
    <tableColumn id="5" xr3:uid="{79CD0B31-CC21-48D3-A41F-F96539113699}" uniqueName="5" name="1.11.2023" queryTableFieldId="5"/>
    <tableColumn id="6" xr3:uid="{CBAC360A-2220-4C20-90BC-1E6E0DB20A86}" uniqueName="6" name="1.12.2023" queryTableFieldId="6"/>
    <tableColumn id="7" xr3:uid="{809F5773-9A7D-45FF-B8AE-5350182D0A8B}" uniqueName="7" name="1.01.2024" queryTableFieldId="7"/>
    <tableColumn id="8" xr3:uid="{87BE47C2-B8B2-43BD-8279-BCA056C58164}" uniqueName="8" name="1.02.2024" queryTableFieldId="8"/>
    <tableColumn id="9" xr3:uid="{67156EBD-0426-4943-A859-BDCCFEE8ACE5}" uniqueName="9" name="1.03.2024" queryTableFieldId="9"/>
    <tableColumn id="10" xr3:uid="{2E8155A6-D81A-4473-9FA5-A05A9DCA6008}" uniqueName="10" name="1.04.2024" queryTableFieldId="10"/>
    <tableColumn id="11" xr3:uid="{78D07595-4103-473A-BDA2-281FC1F2F07F}" uniqueName="11" name="1.05.2024" queryTableFieldId="11"/>
    <tableColumn id="12" xr3:uid="{6977AEEC-663A-4350-AC1B-EC89E10F91DB}" uniqueName="12" name="1.06.2024" queryTableFieldId="12"/>
    <tableColumn id="13" xr3:uid="{B4176272-3F64-472F-8799-3D739937328C}" uniqueName="13" name="1.07.2024" queryTableFieldId="13"/>
    <tableColumn id="14" xr3:uid="{5E14D6A1-1810-4EE7-9D8D-72ED3AF39402}" uniqueName="14" name="1.08.2024" queryTableFieldId="14"/>
    <tableColumn id="15" xr3:uid="{DCF08A5A-A3EB-4FF4-808C-E31FEE516ABC}" uniqueName="15" name="1.09.2024" queryTableFieldId="15"/>
    <tableColumn id="16" xr3:uid="{0BBFE2B8-8228-4F0C-8E9D-816CBD01AC6B}" uniqueName="16" name="1.10.2024" queryTableFieldId="16"/>
    <tableColumn id="17" xr3:uid="{B5A9296F-60ED-4793-86B3-A1DEF02B767A}" uniqueName="17" name="1.11.2024" queryTableFieldId="17"/>
    <tableColumn id="18" xr3:uid="{0D9BC8FB-6CB0-4A78-B3D6-14AE4A41C191}" uniqueName="18" name="1.12.2024" queryTableFieldId="18"/>
    <tableColumn id="19" xr3:uid="{8960BF7D-1437-44FD-A4F7-8221364EBAFD}" uniqueName="19" name="1.01.2025" queryTableFieldId="19"/>
    <tableColumn id="20" xr3:uid="{BAAAEC1B-E11C-46FD-AF95-0C5F52F84CB6}" uniqueName="20" name="1.02.2025" queryTableFieldId="20"/>
    <tableColumn id="21" xr3:uid="{CB49C190-3B4B-4AF0-A89D-89358036AB10}" uniqueName="21" name="1.03.2025" queryTableFieldId="21"/>
    <tableColumn id="22" xr3:uid="{7BBB3269-53B0-477D-8DA4-0BB4590FCF7B}" uniqueName="22" name="1.04.2025" queryTableFieldId="22"/>
    <tableColumn id="23" xr3:uid="{6AAAB973-7975-44FC-B762-912F8898FDBA}" uniqueName="23" name="1.05.2025" queryTableFieldId="23"/>
    <tableColumn id="24" xr3:uid="{35CF67A1-F998-4107-98A7-C1549FD67C9D}" uniqueName="24" name="1.06.2025" queryTableFieldId="24"/>
    <tableColumn id="25" xr3:uid="{B4CF0321-9955-41CE-A620-D888FB6FA713}" uniqueName="25" name="1.07.2025" queryTableFieldId="25"/>
    <tableColumn id="26" xr3:uid="{D66398E2-5725-4159-8B1C-6727BC1D3259}" uniqueName="26" name="1.08.2025" queryTableFieldId="26"/>
    <tableColumn id="27" xr3:uid="{6C9139F6-9D86-4749-BAFA-8803D114B565}" uniqueName="27" name="1.09.2025" queryTableFieldId="27"/>
    <tableColumn id="28" xr3:uid="{B9868157-1566-4B19-A6F9-307D882C60EF}" uniqueName="28" name="1.10.2025" queryTableFieldId="28"/>
    <tableColumn id="29" xr3:uid="{7F4D76B7-E632-4CD7-96AC-569ED08B6C15}" uniqueName="29" name="1.11.2025" queryTableFieldId="29"/>
    <tableColumn id="30" xr3:uid="{D7936209-E6C6-4411-BB80-2545555F1C40}" uniqueName="30" name="1.12.2025" queryTableFieldId="30"/>
    <tableColumn id="31" xr3:uid="{607328E2-87C6-43DC-A23D-C70F424D7075}" uniqueName="31" name="1.01.2026" queryTableFieldId="31"/>
    <tableColumn id="32" xr3:uid="{E7D914A9-0B4A-4FE3-A2EF-5F425D90EDDB}" uniqueName="32" name="1.02.2026" queryTableFieldId="32"/>
    <tableColumn id="33" xr3:uid="{E38B6925-0B10-4862-B076-812DE7BD82C0}" uniqueName="33" name="1.03.2026" queryTableFieldId="33"/>
    <tableColumn id="34" xr3:uid="{183D40DC-B7BF-46E1-BFA1-BA3A4CDBDD44}" uniqueName="34" name="1.04.2026" queryTableFieldId="34"/>
    <tableColumn id="35" xr3:uid="{A40051D7-CC68-4CFE-BD58-C8CFE6164EA7}" uniqueName="35" name="1.05.2026" queryTableFieldId="35"/>
    <tableColumn id="36" xr3:uid="{62CA2632-6C0F-4B21-9174-3C79C5D71AE4}" uniqueName="36" name="1.06.2026" queryTableFieldId="36"/>
    <tableColumn id="37" xr3:uid="{4F11A161-CC07-4F81-8C65-79B1EDB388DB}" uniqueName="37" name="1.07.2026" queryTableFieldId="37"/>
    <tableColumn id="38" xr3:uid="{DC2A0647-1FB3-4FCB-877C-1FE3C23BF854}" uniqueName="38" name="1.08.2026" queryTableFieldId="38"/>
    <tableColumn id="39" xr3:uid="{520F6789-7EA9-4E8B-9F72-CB3A6D836669}" uniqueName="39" name="1.09.2026" queryTableFieldId="39"/>
    <tableColumn id="40" xr3:uid="{B5D1B580-1AE2-429B-95BF-15F826A2EDFD}" uniqueName="40" name="1.10.2026" queryTableFieldId="40"/>
    <tableColumn id="41" xr3:uid="{E504A584-23CA-4D67-B74B-01B7C77EC6D2}" uniqueName="41" name="1.11.2026" queryTableFieldId="41"/>
    <tableColumn id="42" xr3:uid="{19A2F57C-069B-4627-BE80-4C4F162E569D}" uniqueName="42" name="1.12.2026" queryTableFieldId="42"/>
    <tableColumn id="43" xr3:uid="{A2E00FF1-2B66-4C9C-8BDB-E4598EAC83F8}" uniqueName="43" name="1.01.2027" queryTableFieldId="43"/>
    <tableColumn id="44" xr3:uid="{9B803C41-D44C-4815-9156-B54FA9630BE3}" uniqueName="44" name="1.02.2027" queryTableFieldId="44"/>
    <tableColumn id="45" xr3:uid="{1A6038B2-FE45-46E1-B435-B66DB4E4B9EB}" uniqueName="45" name="1.03.2027" queryTableFieldId="45"/>
    <tableColumn id="46" xr3:uid="{DEAA6424-6A02-45FB-8AB4-D47CB9989113}" uniqueName="46" name="1.04.2027" queryTableFieldId="46"/>
    <tableColumn id="47" xr3:uid="{1C3BEC2F-3F5F-4DA2-817A-C22DBCB30293}" uniqueName="47" name="1.05.2027" queryTableFieldId="47"/>
    <tableColumn id="48" xr3:uid="{5ED9983B-D11A-4C5D-A03A-ABE45C124D0B}" uniqueName="48" name="1.06.2027" queryTableFieldId="48"/>
    <tableColumn id="49" xr3:uid="{2756DD53-F766-4A22-9789-CBB08ADABB9A}" uniqueName="49" name="1.07.2027" queryTableFieldId="49"/>
    <tableColumn id="50" xr3:uid="{CA648B7B-C31A-44C5-AFD9-1812F59113BA}" uniqueName="50" name="1.08.2027" queryTableFieldId="50"/>
    <tableColumn id="51" xr3:uid="{BE41CD25-5BC7-4795-A558-604FDF165A33}" uniqueName="51" name="1.09.2027" queryTableFieldId="51"/>
    <tableColumn id="52" xr3:uid="{67CFF73D-4509-4F2B-89B2-E4A06361393D}" uniqueName="52" name="1.10.2027" queryTableFieldId="52"/>
    <tableColumn id="53" xr3:uid="{EE07D609-8C17-4B25-9D64-C7085A1FFF12}" uniqueName="53" name="1.11.2027" queryTableFieldId="53"/>
    <tableColumn id="54" xr3:uid="{D657D4E0-E5A9-4365-9FF1-7FF1E6AD5AFC}" uniqueName="54" name="1.12.2027" queryTableFieldId="54"/>
    <tableColumn id="55" xr3:uid="{85A0069C-94C8-45ED-AA6C-38E97F1CA691}" uniqueName="55" name="1.01.2028" queryTableFieldId="55"/>
    <tableColumn id="56" xr3:uid="{47F30C8D-A290-4795-8068-B054C4DAA28C}" uniqueName="56" name="1.02.2028" queryTableFieldId="56"/>
    <tableColumn id="57" xr3:uid="{D3673B09-C165-44D8-BDDF-E890C355673B}" uniqueName="57" name="1.03.2028" queryTableFieldId="57"/>
    <tableColumn id="58" xr3:uid="{B863F3C9-D542-484D-8AD0-87E9D58E3D44}" uniqueName="58" name="1.04.2028" queryTableFieldId="58"/>
    <tableColumn id="59" xr3:uid="{F0EC3396-9CC8-48B8-9C1F-7D83561ADBC7}" uniqueName="59" name="1.05.2028" queryTableFieldId="59"/>
    <tableColumn id="60" xr3:uid="{908FA929-A0F4-41BC-AC4C-008B93F71457}" uniqueName="60" name="1.06.2028" queryTableFieldId="60"/>
    <tableColumn id="61" xr3:uid="{A99F990A-5B83-466C-878C-CCE13A0236E9}" uniqueName="61" name="1.07.2028" queryTableFieldId="61"/>
    <tableColumn id="62" xr3:uid="{97920FF3-4556-4E86-AE9B-B0CD31A119BF}" uniqueName="62" name="1.08.2028" queryTableFieldId="62"/>
    <tableColumn id="63" xr3:uid="{AD956DB5-CF83-44E6-A35E-B000CE75E18F}" uniqueName="63" name="1.09.2028" queryTableFieldId="63"/>
    <tableColumn id="64" xr3:uid="{4BBB437B-E665-47F0-B268-7C323E613348}" uniqueName="64" name="1.10.2028" queryTableFieldId="64"/>
    <tableColumn id="65" xr3:uid="{B369B2C0-03AA-4812-9AF6-B4D7C6126FAB}" uniqueName="65" name="1.11.2028" queryTableFieldId="65"/>
    <tableColumn id="66" xr3:uid="{2B9FE31C-A9E5-467D-A5B0-E4A624F4F09B}" uniqueName="66" name="1.12.2028" queryTableFieldId="66"/>
  </tableColumns>
  <tableStyleInfo name="TableStyleMedium16"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FBAE-F99E-4ACD-81C6-8E7259CE0E72}" name="M2T" displayName="M2T" ref="H3:I100" tableType="queryTable" totalsRowShown="0">
  <autoFilter ref="H3:I100" xr:uid="{7312FBAE-F99E-4ACD-81C6-8E7259CE0E72}"/>
  <tableColumns count="2">
    <tableColumn id="1" xr3:uid="{3D77F9D6-3116-47C3-B35A-A4FC87F7E7EB}" uniqueName="1" name="KOD" queryTableFieldId="1" dataDxfId="1"/>
    <tableColumn id="2" xr3:uid="{D8A5D04D-A28D-4517-9957-B8E856D3042C}" uniqueName="2" name="AÇIKLAMA" queryTableFieldId="2" dataDxfId="0"/>
  </tableColumns>
  <tableStyleInfo name="TableStyleMedium16 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X536"/>
  <sheetViews>
    <sheetView tabSelected="1" zoomScale="70" zoomScaleNormal="70" workbookViewId="0">
      <pane xSplit="13" ySplit="1" topLeftCell="N2" activePane="bottomRight" state="frozen"/>
      <selection pane="topRight" activeCell="N1" sqref="N1"/>
      <selection pane="bottomLeft" activeCell="A2" sqref="A2"/>
      <selection pane="bottomRight" activeCell="M28" sqref="M28"/>
    </sheetView>
  </sheetViews>
  <sheetFormatPr defaultRowHeight="14.5"/>
  <cols>
    <col min="1" max="1" width="11.08984375" customWidth="1"/>
    <col min="2" max="2" width="22.7265625" customWidth="1"/>
    <col min="3" max="3" width="39.90625" customWidth="1"/>
    <col min="4" max="4" width="16.26953125" bestFit="1" customWidth="1"/>
    <col min="5" max="5" width="26.453125" customWidth="1"/>
    <col min="6" max="6" width="8.7265625" style="91" customWidth="1"/>
    <col min="7" max="7" width="21.6328125" bestFit="1" customWidth="1"/>
    <col min="8" max="8" width="9.26953125" customWidth="1"/>
    <col min="9" max="9" width="15.6328125" customWidth="1"/>
    <col min="10" max="10" width="15.81640625" style="6" customWidth="1"/>
    <col min="11" max="12" width="16.54296875" style="6" customWidth="1"/>
    <col min="13" max="13" width="17.81640625" style="6" bestFit="1" customWidth="1"/>
    <col min="14" max="76" width="11.81640625" style="9" customWidth="1"/>
  </cols>
  <sheetData>
    <row r="1" spans="1:76">
      <c r="A1" s="127" t="s">
        <v>0</v>
      </c>
      <c r="B1" s="127" t="s">
        <v>1</v>
      </c>
      <c r="C1" s="127" t="s">
        <v>4966</v>
      </c>
      <c r="D1" s="127" t="s">
        <v>3</v>
      </c>
      <c r="E1" s="127" t="s">
        <v>5162</v>
      </c>
      <c r="F1" s="128" t="s">
        <v>4</v>
      </c>
      <c r="G1" s="127" t="s">
        <v>5163</v>
      </c>
      <c r="H1" s="127" t="s">
        <v>31</v>
      </c>
      <c r="I1" s="127" t="s">
        <v>65</v>
      </c>
      <c r="J1" s="129" t="s">
        <v>35</v>
      </c>
      <c r="K1" s="129" t="s">
        <v>36</v>
      </c>
      <c r="L1" s="129" t="s">
        <v>67</v>
      </c>
      <c r="M1" s="129" t="s">
        <v>37</v>
      </c>
      <c r="N1" s="130" t="s">
        <v>5273</v>
      </c>
      <c r="O1" s="130" t="s">
        <v>5274</v>
      </c>
      <c r="P1" s="130" t="s">
        <v>5275</v>
      </c>
      <c r="Q1" s="130" t="s">
        <v>5276</v>
      </c>
      <c r="R1" s="130" t="s">
        <v>5277</v>
      </c>
      <c r="S1" s="130" t="s">
        <v>5278</v>
      </c>
      <c r="T1" s="130" t="s">
        <v>5279</v>
      </c>
      <c r="U1" s="130" t="s">
        <v>5280</v>
      </c>
      <c r="V1" s="130" t="s">
        <v>5281</v>
      </c>
      <c r="W1" s="131" t="s">
        <v>5282</v>
      </c>
      <c r="X1" s="132" t="s">
        <v>5283</v>
      </c>
      <c r="Y1" s="130" t="s">
        <v>5284</v>
      </c>
      <c r="Z1" s="130" t="s">
        <v>5285</v>
      </c>
      <c r="AA1" s="130" t="s">
        <v>5286</v>
      </c>
      <c r="AB1" s="130" t="s">
        <v>5287</v>
      </c>
      <c r="AC1" s="130" t="s">
        <v>5288</v>
      </c>
      <c r="AD1" s="130" t="s">
        <v>5289</v>
      </c>
      <c r="AE1" s="130" t="s">
        <v>5290</v>
      </c>
      <c r="AF1" s="130" t="s">
        <v>5291</v>
      </c>
      <c r="AG1" s="130" t="s">
        <v>5292</v>
      </c>
      <c r="AH1" s="130" t="s">
        <v>5293</v>
      </c>
      <c r="AI1" s="130" t="s">
        <v>5294</v>
      </c>
      <c r="AJ1" s="130" t="s">
        <v>5295</v>
      </c>
      <c r="AK1" s="130" t="s">
        <v>5296</v>
      </c>
      <c r="AL1" s="130" t="s">
        <v>5297</v>
      </c>
      <c r="AM1" s="130" t="s">
        <v>5298</v>
      </c>
      <c r="AN1" s="130" t="s">
        <v>5299</v>
      </c>
      <c r="AO1" s="130" t="s">
        <v>5300</v>
      </c>
      <c r="AP1" s="130" t="s">
        <v>5301</v>
      </c>
      <c r="AQ1" s="130" t="s">
        <v>5302</v>
      </c>
      <c r="AR1" s="130" t="s">
        <v>5303</v>
      </c>
      <c r="AS1" s="130" t="s">
        <v>5304</v>
      </c>
      <c r="AT1" s="130" t="s">
        <v>5305</v>
      </c>
      <c r="AU1" s="130" t="s">
        <v>5306</v>
      </c>
      <c r="AV1" s="130" t="s">
        <v>5307</v>
      </c>
      <c r="AW1" s="130" t="s">
        <v>5308</v>
      </c>
      <c r="AX1" s="130" t="s">
        <v>5309</v>
      </c>
      <c r="AY1" s="130" t="s">
        <v>5310</v>
      </c>
      <c r="AZ1" s="130" t="s">
        <v>5311</v>
      </c>
      <c r="BA1" s="130" t="s">
        <v>5312</v>
      </c>
      <c r="BB1" s="130" t="s">
        <v>5313</v>
      </c>
      <c r="BC1" s="130" t="s">
        <v>5314</v>
      </c>
      <c r="BD1" s="130" t="s">
        <v>5315</v>
      </c>
      <c r="BE1" s="130" t="s">
        <v>5316</v>
      </c>
      <c r="BF1" s="130" t="s">
        <v>5317</v>
      </c>
      <c r="BG1" s="130" t="s">
        <v>5318</v>
      </c>
      <c r="BH1" s="130" t="s">
        <v>5319</v>
      </c>
      <c r="BI1" s="130" t="s">
        <v>5320</v>
      </c>
      <c r="BJ1" s="130" t="s">
        <v>5321</v>
      </c>
      <c r="BK1" s="130" t="s">
        <v>5322</v>
      </c>
      <c r="BL1" s="130" t="s">
        <v>5323</v>
      </c>
      <c r="BM1" s="130" t="s">
        <v>5324</v>
      </c>
      <c r="BN1" s="130" t="s">
        <v>5325</v>
      </c>
      <c r="BO1" s="130" t="s">
        <v>5326</v>
      </c>
      <c r="BP1" s="130" t="s">
        <v>5327</v>
      </c>
      <c r="BQ1" s="130" t="s">
        <v>5328</v>
      </c>
      <c r="BR1" s="130" t="s">
        <v>5329</v>
      </c>
      <c r="BS1" s="130" t="s">
        <v>5330</v>
      </c>
      <c r="BT1" s="130" t="s">
        <v>5331</v>
      </c>
      <c r="BU1" s="130" t="s">
        <v>5332</v>
      </c>
      <c r="BV1" s="130" t="s">
        <v>5333</v>
      </c>
      <c r="BW1" s="130" t="s">
        <v>5334</v>
      </c>
      <c r="BX1" s="130" t="s">
        <v>5335</v>
      </c>
    </row>
    <row r="2" spans="1:76">
      <c r="A2" s="3" t="s">
        <v>66</v>
      </c>
      <c r="B2" t="s">
        <v>2</v>
      </c>
      <c r="C2" t="str">
        <f>+_xlfn.XLOOKUP(B2,'L4'!B:B,'L4'!C:C)</f>
        <v>KAZI - YARMA VE YAN ARIYET</v>
      </c>
      <c r="D2" t="s">
        <v>71</v>
      </c>
      <c r="E2" t="str">
        <f>+_xlfn.XLOOKUP(D2,'M2'!H:H,'M2'!I:I)</f>
        <v>DOĞUŞ T. - GENEL</v>
      </c>
      <c r="F2" s="91" t="s">
        <v>30</v>
      </c>
      <c r="G2" t="str">
        <f>+_xlfn.XLOOKUP(F2,'M2'!B:B,'M2'!C:C)</f>
        <v>DOĞUŞ TEKNİK</v>
      </c>
      <c r="H2" s="3" t="s">
        <v>32</v>
      </c>
      <c r="I2" s="3" t="s">
        <v>38</v>
      </c>
      <c r="J2" s="124">
        <v>35000</v>
      </c>
      <c r="K2" s="124">
        <f>+M2-SUM(N2:W2)</f>
        <v>49230.3</v>
      </c>
      <c r="L2" s="6">
        <f t="shared" ref="L2:L65" si="0">+SUM(X2:BT2)-K2</f>
        <v>0</v>
      </c>
      <c r="M2" s="124">
        <v>100000</v>
      </c>
      <c r="R2" s="9">
        <v>12090</v>
      </c>
      <c r="S2" s="9">
        <v>9489.42</v>
      </c>
      <c r="T2" s="9">
        <v>0</v>
      </c>
      <c r="U2" s="9">
        <v>7730.1640000000007</v>
      </c>
      <c r="V2" s="9">
        <v>3281</v>
      </c>
      <c r="W2" s="9">
        <v>18179.115999999998</v>
      </c>
      <c r="X2" s="10">
        <f>(+$K2)*0.0494481236203091</f>
        <v>2434.3459602649032</v>
      </c>
      <c r="Y2" s="9">
        <f>(+$K2)*0.0777041942604857</f>
        <v>3825.4007947019895</v>
      </c>
      <c r="Z2" s="9">
        <f>(+$K2)*0.071523178807947</f>
        <v>3521.1075496688732</v>
      </c>
      <c r="AA2" s="9">
        <f>(+$K2)*0.0388520971302428</f>
        <v>1912.700397350992</v>
      </c>
      <c r="AB2" s="9">
        <f>(+$K2)*0.0388520971302428</f>
        <v>1912.700397350992</v>
      </c>
      <c r="AC2" s="9">
        <f>(+$K2)*0.0388520971302428</f>
        <v>1912.700397350992</v>
      </c>
      <c r="AD2" s="9">
        <f>(+$K2)*0.0388520971302428</f>
        <v>1912.700397350992</v>
      </c>
      <c r="AE2" s="9">
        <f>(+$K2)*0.0388520971302428</f>
        <v>1912.700397350992</v>
      </c>
      <c r="AF2" s="9">
        <f>(+$K2)*0.0291390728476821</f>
        <v>1434.5252980132441</v>
      </c>
      <c r="AG2" s="9">
        <f>(+$K2)*0.0388520971302428</f>
        <v>1912.700397350992</v>
      </c>
      <c r="AH2" s="9">
        <f>(+$K2)*0.0291390728476821</f>
        <v>1434.5252980132441</v>
      </c>
      <c r="AI2" s="9">
        <f t="shared" ref="AI2:AP2" si="1">(+$K2)*0.0388520971302428</f>
        <v>1912.700397350992</v>
      </c>
      <c r="AJ2" s="9">
        <f t="shared" si="1"/>
        <v>1912.700397350992</v>
      </c>
      <c r="AK2" s="9">
        <f t="shared" si="1"/>
        <v>1912.700397350992</v>
      </c>
      <c r="AL2" s="9">
        <f t="shared" si="1"/>
        <v>1912.700397350992</v>
      </c>
      <c r="AM2" s="9">
        <f t="shared" si="1"/>
        <v>1912.700397350992</v>
      </c>
      <c r="AN2" s="9">
        <f t="shared" si="1"/>
        <v>1912.700397350992</v>
      </c>
      <c r="AO2" s="9">
        <f t="shared" si="1"/>
        <v>1912.700397350992</v>
      </c>
      <c r="AP2" s="9">
        <f t="shared" si="1"/>
        <v>1912.700397350992</v>
      </c>
      <c r="AQ2" s="9">
        <f>(+$K2)*0.0291390728476821</f>
        <v>1434.5252980132441</v>
      </c>
      <c r="AR2" s="9">
        <f>(+$K2)*0.0344370860927152</f>
        <v>1695.3480794701973</v>
      </c>
      <c r="AS2" s="9">
        <f>(+$K2)*0.0211920529801325</f>
        <v>1043.291125827817</v>
      </c>
      <c r="AT2" s="9">
        <f>(+$K2)*0.0158940397350993</f>
        <v>782.46834437085909</v>
      </c>
      <c r="AU2" s="9">
        <f>(+$K2)*0.0211920529801325</f>
        <v>1043.291125827817</v>
      </c>
      <c r="AV2" s="9">
        <f>(+$K2)*0.0211920529801325</f>
        <v>1043.291125827817</v>
      </c>
      <c r="AW2" s="9">
        <f>(+$K2)*0.0211920529801325</f>
        <v>1043.291125827817</v>
      </c>
      <c r="AX2" s="9">
        <f>(+$K2)*0.0211920529801325</f>
        <v>1043.291125827817</v>
      </c>
      <c r="AY2" s="9">
        <f>(+$K2)*0.0136865342163355</f>
        <v>673.79218543046159</v>
      </c>
      <c r="AZ2" s="9">
        <v>0</v>
      </c>
    </row>
    <row r="3" spans="1:76">
      <c r="A3" s="3" t="s">
        <v>66</v>
      </c>
      <c r="B3" t="s">
        <v>5</v>
      </c>
      <c r="C3" t="str">
        <f>+_xlfn.XLOOKUP(B3,'L4'!B:B,'L4'!C:C)</f>
        <v>KAZI - SANAT YAPISI ( KÖPRÜ HARIÇ )</v>
      </c>
      <c r="D3" t="s">
        <v>71</v>
      </c>
      <c r="E3" t="str">
        <f>+_xlfn.XLOOKUP(D3,'M2'!H:H,'M2'!I:I)</f>
        <v>DOĞUŞ T. - GENEL</v>
      </c>
      <c r="F3" s="91" t="s">
        <v>30</v>
      </c>
      <c r="G3" t="str">
        <f>+_xlfn.XLOOKUP(F3,'M2'!B:B,'M2'!C:C)</f>
        <v>DOĞUŞ TEKNİK</v>
      </c>
      <c r="H3" s="3" t="s">
        <v>32</v>
      </c>
      <c r="I3" s="3" t="s">
        <v>39</v>
      </c>
      <c r="J3" s="124">
        <v>750</v>
      </c>
      <c r="K3" s="124">
        <f t="shared" ref="K3:K66" si="2">+M3-SUM(N3:W3)</f>
        <v>813.00964489150067</v>
      </c>
      <c r="L3" s="6">
        <f t="shared" si="0"/>
        <v>0</v>
      </c>
      <c r="M3" s="124">
        <v>1700</v>
      </c>
      <c r="R3" s="9">
        <v>393</v>
      </c>
      <c r="S3" s="9">
        <v>-39.189</v>
      </c>
      <c r="T3" s="9">
        <v>326.76600000000002</v>
      </c>
      <c r="U3" s="9">
        <v>7.3551084993823679E-3</v>
      </c>
      <c r="V3" s="9">
        <v>172.98299999999995</v>
      </c>
      <c r="W3" s="9">
        <v>33.423000000000002</v>
      </c>
      <c r="X3" s="10">
        <f>((+$K3))*0.00998302416283691</f>
        <v>8.1162949295713069</v>
      </c>
      <c r="Y3" s="9">
        <f>((+$K3))*0.0234647417611078</f>
        <v>19.077061366669017</v>
      </c>
      <c r="Z3" s="9">
        <f>((+$K3))*0.0160172440537002</f>
        <v>13.0221739002393</v>
      </c>
      <c r="AA3" s="9">
        <f>((+$K3))*0.0249581733757012</f>
        <v>20.291235673319338</v>
      </c>
      <c r="AB3" s="9">
        <f>((+$K3))*0.0175106756682936</f>
        <v>14.236348206889621</v>
      </c>
      <c r="AC3" s="9">
        <f>((+$K3))*0.0223842517859311</f>
        <v>18.198612595641784</v>
      </c>
      <c r="AD3" s="9">
        <f>((+$K3))*0.0482373479881093</f>
        <v>39.217429158320492</v>
      </c>
      <c r="AE3" s="9">
        <f>((+$K3))*0.0426069217591158</f>
        <v>34.639838329298691</v>
      </c>
      <c r="AF3" s="9">
        <f>((+$K3))*0.0365727018682525</f>
        <v>29.733959358630685</v>
      </c>
      <c r="AG3" s="9">
        <f>((+$K3))*0.0411134901445225</f>
        <v>33.425664022648448</v>
      </c>
      <c r="AH3" s="9">
        <f>((+$K3))*0.0411134901445225</f>
        <v>33.425664022648448</v>
      </c>
      <c r="AI3" s="9">
        <f>((+$K3))*0.0350792702536591</f>
        <v>28.519785051980371</v>
      </c>
      <c r="AJ3" s="9">
        <f>((+$K3))*0.0350792702536591</f>
        <v>28.519785051980371</v>
      </c>
      <c r="AK3" s="9">
        <f>((+$K3))*0.0331031561062724</f>
        <v>26.913185190748436</v>
      </c>
      <c r="AL3" s="9">
        <f>((+$K3))*0.0331031561062724</f>
        <v>26.913185190748436</v>
      </c>
      <c r="AM3" s="9">
        <f>((+$K3))*0.0312741749833369</f>
        <v>25.426205897477388</v>
      </c>
      <c r="AN3" s="9">
        <f>((+$K3))*0.0238266772759292</f>
        <v>19.371318431047587</v>
      </c>
      <c r="AO3" s="9">
        <f>((+$K3))*0.0247989267776964</f>
        <v>20.161766653225275</v>
      </c>
      <c r="AP3" s="9">
        <f>((+$K3))*0.0457281420833749</f>
        <v>37.177420556752715</v>
      </c>
      <c r="AQ3" s="9">
        <f>((+$K3))*0.0517623619742382</f>
        <v>42.083299527420714</v>
      </c>
      <c r="AR3" s="9">
        <f>((+$K3))*0.0517623619742382</f>
        <v>42.083299527420714</v>
      </c>
      <c r="AS3" s="9">
        <f>((+$K3))*0.0517623619742382</f>
        <v>42.083299527420714</v>
      </c>
      <c r="AT3" s="9">
        <f>((+$K3))*0.0457281420833749</f>
        <v>37.177420556752715</v>
      </c>
      <c r="AU3" s="9">
        <f>((+$K3))*0.0396939221925116</f>
        <v>32.271541586084716</v>
      </c>
      <c r="AV3" s="9">
        <f>((+$K3))*0.0396939221925116</f>
        <v>32.271541586084716</v>
      </c>
      <c r="AW3" s="9">
        <f>((+$K3))*0.0297899908296304</f>
        <v>24.219549865718875</v>
      </c>
      <c r="AX3" s="9">
        <f>((+$K3))*0.0370310546986664</f>
        <v>30.106604630520511</v>
      </c>
      <c r="AY3" s="9">
        <f>((+$K3))*0.0370310546986664</f>
        <v>30.106604630520511</v>
      </c>
      <c r="AZ3" s="9">
        <f>((+$K3))*0.0297899908296304</f>
        <v>24.219549865718875</v>
      </c>
    </row>
    <row r="4" spans="1:76">
      <c r="A4" s="3" t="s">
        <v>66</v>
      </c>
      <c r="B4" t="s">
        <v>6</v>
      </c>
      <c r="C4" t="str">
        <f>+_xlfn.XLOOKUP(B4,'L4'!B:B,'L4'!C:C)</f>
        <v>BETON - DEMIRSIZ - TEMEL - KÖPRÜ HARICI</v>
      </c>
      <c r="D4" t="s">
        <v>71</v>
      </c>
      <c r="E4" t="str">
        <f>+_xlfn.XLOOKUP(D4,'M2'!H:H,'M2'!I:I)</f>
        <v>DOĞUŞ T. - GENEL</v>
      </c>
      <c r="F4" s="91" t="s">
        <v>30</v>
      </c>
      <c r="G4" t="str">
        <f>+_xlfn.XLOOKUP(F4,'M2'!B:B,'M2'!C:C)</f>
        <v>DOĞUŞ TEKNİK</v>
      </c>
      <c r="H4" s="3" t="s">
        <v>32</v>
      </c>
      <c r="I4" s="3" t="s">
        <v>40</v>
      </c>
      <c r="J4" s="124">
        <v>2325.5</v>
      </c>
      <c r="K4" s="124">
        <f t="shared" si="2"/>
        <v>2325.5</v>
      </c>
      <c r="L4" s="6">
        <f t="shared" si="0"/>
        <v>0</v>
      </c>
      <c r="M4" s="124">
        <v>2325.5</v>
      </c>
      <c r="R4" s="9">
        <v>0</v>
      </c>
      <c r="S4" s="9">
        <v>0</v>
      </c>
      <c r="T4" s="9">
        <v>0</v>
      </c>
      <c r="U4" s="9">
        <v>0</v>
      </c>
      <c r="V4" s="9">
        <v>0</v>
      </c>
      <c r="W4" s="9">
        <v>0</v>
      </c>
      <c r="X4" s="10">
        <f>((+$K4))*0.0111550732384452</f>
        <v>25.941122816004313</v>
      </c>
      <c r="Y4" s="9">
        <f>((+$K4))*0.0145148407184903</f>
        <v>33.754262090849188</v>
      </c>
      <c r="Z4" s="9">
        <f>((+$K4))*0.0265218405192253</f>
        <v>61.676540127458431</v>
      </c>
      <c r="AA4" s="9">
        <f>((+$K4))*0.0306443281624845</f>
        <v>71.263385141857711</v>
      </c>
      <c r="AB4" s="9">
        <f>((+$K4))*0.0281906072942687</f>
        <v>65.557257262821864</v>
      </c>
      <c r="AC4" s="9">
        <f>((+$K4))*0.0394872038481905</f>
        <v>91.827492548967015</v>
      </c>
      <c r="AD4" s="9">
        <f>((+$K4))*0.0588418489677388</f>
        <v>136.83671977447659</v>
      </c>
      <c r="AE4" s="9">
        <f>((+$K4))*0.0380896663205734</f>
        <v>88.577519028493441</v>
      </c>
      <c r="AF4" s="9">
        <f>((+$K4))*0.0371836197087442</f>
        <v>86.470507632684644</v>
      </c>
      <c r="AG4" s="9">
        <f>((+$K4))*0.0502373378795371</f>
        <v>116.82692923886353</v>
      </c>
      <c r="AH4" s="9">
        <f>((+$K4))*0.0645385635235093</f>
        <v>150.08442947392086</v>
      </c>
      <c r="AI4" s="9">
        <f>((+$K4))*0.0636325169116801</f>
        <v>147.97741807811209</v>
      </c>
      <c r="AJ4" s="9">
        <f>((+$K4))*0.0636325169116801</f>
        <v>147.97741807811209</v>
      </c>
      <c r="AK4" s="9">
        <f>((+$K4))*0.0559752881485116</f>
        <v>130.17053258936372</v>
      </c>
      <c r="AL4" s="9">
        <f>((+$K4))*0.042067952193886</f>
        <v>97.829022826881896</v>
      </c>
      <c r="AM4" s="9">
        <f>((+$K4))*0.0316616598883103</f>
        <v>73.629190070265608</v>
      </c>
      <c r="AN4" s="9">
        <f>((+$K4))*0.0279959707451816</f>
        <v>65.104629967919806</v>
      </c>
      <c r="AO4" s="9">
        <f>((+$K4))*0.0290752482973947</f>
        <v>67.614489915591378</v>
      </c>
      <c r="AP4" s="9">
        <f>((+$K4))*0.0348887366456556</f>
        <v>81.133757069472097</v>
      </c>
      <c r="AQ4" s="9">
        <f>((+$K4))*0.0357947832574848</f>
        <v>83.240768465280908</v>
      </c>
      <c r="AR4" s="9">
        <f>((+$K4))*0.0357947832574848</f>
        <v>83.240768465280908</v>
      </c>
      <c r="AS4" s="9">
        <f>((+$K4))*0.0357947832574848</f>
        <v>83.240768465280908</v>
      </c>
      <c r="AT4" s="9">
        <f>((+$K4))*0.0348887366456556</f>
        <v>81.133757069472097</v>
      </c>
      <c r="AU4" s="9">
        <f>((+$K4))*0.0339826900338263</f>
        <v>79.026745673663058</v>
      </c>
      <c r="AV4" s="9">
        <f>((+$K4))*0.0339826900338263</f>
        <v>79.026745673663058</v>
      </c>
      <c r="AW4" s="9">
        <f>((+$K4))*0.0098148834728633</f>
        <v>22.824511516143605</v>
      </c>
      <c r="AX4" s="9">
        <f>((+$K4))*0.0108984733225018</f>
        <v>25.344399711477937</v>
      </c>
      <c r="AY4" s="9">
        <f>((+$K4))*0.0108984733225018</f>
        <v>25.344399711477937</v>
      </c>
      <c r="AZ4" s="9">
        <f>((+$K4))*0.0098148834728633</f>
        <v>22.824511516143605</v>
      </c>
    </row>
    <row r="5" spans="1:76">
      <c r="A5" s="3" t="s">
        <v>66</v>
      </c>
      <c r="B5" t="s">
        <v>7</v>
      </c>
      <c r="C5" t="str">
        <f>+_xlfn.XLOOKUP(B5,'L4'!B:B,'L4'!C:C)</f>
        <v>BETON - DRENAJ HENDEĞI. TÜNEL DOLGU</v>
      </c>
      <c r="D5" t="s">
        <v>71</v>
      </c>
      <c r="E5" t="str">
        <f>+_xlfn.XLOOKUP(D5,'M2'!H:H,'M2'!I:I)</f>
        <v>DOĞUŞ T. - GENEL</v>
      </c>
      <c r="F5" s="91" t="s">
        <v>30</v>
      </c>
      <c r="G5" t="str">
        <f>+_xlfn.XLOOKUP(F5,'M2'!B:B,'M2'!C:C)</f>
        <v>DOĞUŞ TEKNİK</v>
      </c>
      <c r="H5" s="3" t="s">
        <v>32</v>
      </c>
      <c r="I5" s="3" t="s">
        <v>41</v>
      </c>
      <c r="J5" s="124">
        <v>858</v>
      </c>
      <c r="K5" s="124">
        <f t="shared" si="2"/>
        <v>274.27330796572585</v>
      </c>
      <c r="L5" s="6">
        <f t="shared" si="0"/>
        <v>0</v>
      </c>
      <c r="M5" s="124">
        <v>521.27728186572585</v>
      </c>
      <c r="R5" s="9">
        <v>23</v>
      </c>
      <c r="S5" s="9">
        <v>117.965</v>
      </c>
      <c r="T5" s="9">
        <v>55</v>
      </c>
      <c r="U5" s="9">
        <v>-2.6099999985262912E-5</v>
      </c>
      <c r="V5" s="9">
        <v>51.039000000000016</v>
      </c>
      <c r="W5" s="9">
        <v>0</v>
      </c>
      <c r="X5" s="10">
        <f>((+$K5))*0</f>
        <v>0</v>
      </c>
      <c r="Y5" s="9">
        <f>((+$K5))*0</f>
        <v>0</v>
      </c>
      <c r="Z5" s="9">
        <f>((+$K5))*0.0314935939058961</f>
        <v>8.6378521802993475</v>
      </c>
      <c r="AA5" s="9">
        <f>((+$K5))*0.0314935939058961</f>
        <v>8.6378521802993475</v>
      </c>
      <c r="AB5" s="9">
        <f>((+$K5))*0.0314935939058961</f>
        <v>8.6378521802993475</v>
      </c>
      <c r="AC5" s="9">
        <f>((+$K5))*0.0314935939058961</f>
        <v>8.6378521802993475</v>
      </c>
      <c r="AD5" s="9">
        <f>((+$K5))*0.0617819869185816</f>
        <v>16.945149924854576</v>
      </c>
      <c r="AE5" s="9">
        <f>((+$K5))*0.0302883930126855</f>
        <v>8.3072977445552283</v>
      </c>
      <c r="AF5" s="9">
        <f>((+$K5))*0.0302883930126855</f>
        <v>8.3072977445552283</v>
      </c>
      <c r="AG5" s="9">
        <f>((+$K5))*0.0603788226723469</f>
        <v>16.560299425420553</v>
      </c>
      <c r="AH5" s="9">
        <f>((+$K5))*0.0915250568814701</f>
        <v>25.102880112632025</v>
      </c>
      <c r="AI5" s="9">
        <f>((+$K5))*0.0915250568814701</f>
        <v>25.102880112632025</v>
      </c>
      <c r="AJ5" s="9">
        <f>((+$K5))*0.0915250568814701</f>
        <v>25.102880112632025</v>
      </c>
      <c r="AK5" s="9">
        <f>((+$K5))*0.0796472557000248</f>
        <v>21.845116291237815</v>
      </c>
      <c r="AL5" s="9">
        <f>((+$K5))*0.0493588626873393</f>
        <v>13.537818546682587</v>
      </c>
      <c r="AM5" s="9">
        <f>((+$K5))*0.0311462342091232</f>
        <v>8.5425806872114727</v>
      </c>
      <c r="AN5" s="9">
        <f t="shared" ref="AN5:AV5" si="3">((+$K5))*0.0285067228354687</f>
        <v>7.8186331713460966</v>
      </c>
      <c r="AO5" s="9">
        <f t="shared" si="3"/>
        <v>7.8186331713460966</v>
      </c>
      <c r="AP5" s="9">
        <f t="shared" si="3"/>
        <v>7.8186331713460966</v>
      </c>
      <c r="AQ5" s="9">
        <f t="shared" si="3"/>
        <v>7.8186331713460966</v>
      </c>
      <c r="AR5" s="9">
        <f t="shared" si="3"/>
        <v>7.8186331713460966</v>
      </c>
      <c r="AS5" s="9">
        <f t="shared" si="3"/>
        <v>7.8186331713460966</v>
      </c>
      <c r="AT5" s="9">
        <f t="shared" si="3"/>
        <v>7.8186331713460966</v>
      </c>
      <c r="AU5" s="9">
        <f t="shared" si="3"/>
        <v>7.8186331713460966</v>
      </c>
      <c r="AV5" s="9">
        <f t="shared" si="3"/>
        <v>7.8186331713460966</v>
      </c>
      <c r="AW5" s="9">
        <f>((+$K5))*0</f>
        <v>0</v>
      </c>
      <c r="AX5" s="9">
        <f>((+$K5))*0</f>
        <v>0</v>
      </c>
      <c r="AY5" s="9">
        <f>((+$K5))*0</f>
        <v>0</v>
      </c>
      <c r="AZ5" s="9">
        <f>((+$K5))*0</f>
        <v>0</v>
      </c>
    </row>
    <row r="6" spans="1:76">
      <c r="A6" s="3" t="s">
        <v>66</v>
      </c>
      <c r="B6" t="s">
        <v>8</v>
      </c>
      <c r="C6" t="str">
        <f>+_xlfn.XLOOKUP(B6,'L4'!B:B,'L4'!C:C)</f>
        <v>NERVÜRLÜ ÇELIK ZATI BEDELI</v>
      </c>
      <c r="D6" t="s">
        <v>71</v>
      </c>
      <c r="E6" t="str">
        <f>+_xlfn.XLOOKUP(D6,'M2'!H:H,'M2'!I:I)</f>
        <v>DOĞUŞ T. - GENEL</v>
      </c>
      <c r="F6" s="91" t="s">
        <v>30</v>
      </c>
      <c r="G6" t="str">
        <f>+_xlfn.XLOOKUP(F6,'M2'!B:B,'M2'!C:C)</f>
        <v>DOĞUŞ TEKNİK</v>
      </c>
      <c r="H6" s="3" t="s">
        <v>32</v>
      </c>
      <c r="I6" s="3" t="s">
        <v>42</v>
      </c>
      <c r="J6" s="124">
        <v>873.99400000000003</v>
      </c>
      <c r="K6" s="124">
        <f t="shared" si="2"/>
        <v>829.98104020920448</v>
      </c>
      <c r="L6" s="6">
        <f t="shared" si="0"/>
        <v>0</v>
      </c>
      <c r="M6" s="124">
        <v>873.99400000000003</v>
      </c>
      <c r="R6" s="9">
        <v>0</v>
      </c>
      <c r="S6" s="9">
        <v>0</v>
      </c>
      <c r="T6" s="9">
        <v>1.954</v>
      </c>
      <c r="U6" s="9">
        <v>12.275138200000002</v>
      </c>
      <c r="V6" s="9">
        <v>26.611166600000036</v>
      </c>
      <c r="W6" s="9">
        <v>3.172654990795472</v>
      </c>
      <c r="X6" s="10">
        <f>((+$K6))*0.00727227750918604</f>
        <v>6.0358524517642325</v>
      </c>
      <c r="Y6" s="9">
        <f>((+$K6))*0.0115410180021323</f>
        <v>9.5788261264829213</v>
      </c>
      <c r="Z6" s="9">
        <f>((+$K6))*0.0266373244917462</f>
        <v>22.108474290049632</v>
      </c>
      <c r="AA6" s="9">
        <f>((+$K6))*0.029859010429513</f>
        <v>24.782412535904687</v>
      </c>
      <c r="AB6" s="9">
        <f>((+$K6))*0.027490119898227</f>
        <v>22.816278308606197</v>
      </c>
      <c r="AC6" s="9">
        <f>((+$K6))*0.0337606457249117</f>
        <v>28.020695856896644</v>
      </c>
      <c r="AD6" s="9">
        <f>((+$K6))*0.0586166948538854</f>
        <v>48.650745368453322</v>
      </c>
      <c r="AE6" s="9">
        <f>((+$K6))*0.0358709338712884</f>
        <v>29.772195007767536</v>
      </c>
      <c r="AF6" s="9">
        <f>((+$K6))*0.0339710839096281</f>
        <v>28.195355560347302</v>
      </c>
      <c r="AG6" s="9">
        <f>((+$K6))*0.0517051918388949</f>
        <v>42.914328906662462</v>
      </c>
      <c r="AH6" s="9">
        <f>((+$K6))*0.0689777558576869</f>
        <v>57.250229558059516</v>
      </c>
      <c r="AI6" s="9">
        <f>((+$K6))*0.0670779058960266</f>
        <v>55.673390110639282</v>
      </c>
      <c r="AJ6" s="9">
        <f>((+$K6))*0.0670779058960266</f>
        <v>55.673390110639282</v>
      </c>
      <c r="AK6" s="9">
        <f>((+$K6))*0.0594783079391817</f>
        <v>49.365867893245408</v>
      </c>
      <c r="AL6" s="9">
        <f>((+$K6))*0.0426814713192123</f>
        <v>35.424811963179152</v>
      </c>
      <c r="AM6" s="9">
        <f>((+$K6))*0.0315370081970794</f>
        <v>26.175118868498167</v>
      </c>
      <c r="AN6" s="9">
        <f>((+$K6))*0.0277043410540313</f>
        <v>22.994077806335468</v>
      </c>
      <c r="AO6" s="9">
        <f>((+$K6))*0.0284405808351657</f>
        <v>23.605142865724794</v>
      </c>
      <c r="AP6" s="9">
        <f>((+$K6))*0.0350782118593981</f>
        <v>29.114250767742089</v>
      </c>
      <c r="AQ6" s="9">
        <f>((+$K6))*0.0369780618210584</f>
        <v>30.691090215162323</v>
      </c>
      <c r="AR6" s="9">
        <f>((+$K6))*0.0369780618210584</f>
        <v>30.691090215162323</v>
      </c>
      <c r="AS6" s="9">
        <f>((+$K6))*0.0369780618210584</f>
        <v>30.691090215162323</v>
      </c>
      <c r="AT6" s="9">
        <f>((+$K6))*0.0350782118593981</f>
        <v>29.114250767742089</v>
      </c>
      <c r="AU6" s="9">
        <f>((+$K6))*0.0331783618977378</f>
        <v>27.537411320321851</v>
      </c>
      <c r="AV6" s="9">
        <f>((+$K6))*0.0331783618977378</f>
        <v>27.537411320321851</v>
      </c>
      <c r="AW6" s="9">
        <f>((+$K6))*0.00947556212514416</f>
        <v>7.8645369091940909</v>
      </c>
      <c r="AX6" s="9">
        <f>((+$K6))*0.0119509826242206</f>
        <v>9.9190889899727406</v>
      </c>
      <c r="AY6" s="9">
        <f>((+$K6))*0.0119509826242206</f>
        <v>9.9190889899727406</v>
      </c>
      <c r="AZ6" s="9">
        <f>((+$K6))*0.00947556212514416</f>
        <v>7.8645369091940909</v>
      </c>
    </row>
    <row r="7" spans="1:76">
      <c r="A7" s="3" t="s">
        <v>66</v>
      </c>
      <c r="B7" t="s">
        <v>9</v>
      </c>
      <c r="C7" t="str">
        <f>+_xlfn.XLOOKUP(B7,'L4'!B:B,'L4'!C:C)</f>
        <v>DOLGU - KIRMATAŞ</v>
      </c>
      <c r="D7" t="s">
        <v>71</v>
      </c>
      <c r="E7" t="str">
        <f>+_xlfn.XLOOKUP(D7,'M2'!H:H,'M2'!I:I)</f>
        <v>DOĞUŞ T. - GENEL</v>
      </c>
      <c r="F7" s="91" t="s">
        <v>30</v>
      </c>
      <c r="G7" t="str">
        <f>+_xlfn.XLOOKUP(F7,'M2'!B:B,'M2'!C:C)</f>
        <v>DOĞUŞ TEKNİK</v>
      </c>
      <c r="H7" s="3" t="s">
        <v>32</v>
      </c>
      <c r="I7" s="3" t="s">
        <v>43</v>
      </c>
      <c r="J7" s="124">
        <v>1756.155</v>
      </c>
      <c r="K7" s="124">
        <f t="shared" si="2"/>
        <v>1756.16</v>
      </c>
      <c r="L7" s="6">
        <f t="shared" si="0"/>
        <v>0</v>
      </c>
      <c r="M7" s="124">
        <v>1756.16</v>
      </c>
      <c r="R7" s="9">
        <v>0</v>
      </c>
      <c r="S7" s="9">
        <v>0</v>
      </c>
      <c r="T7" s="9">
        <v>0</v>
      </c>
      <c r="U7" s="9">
        <v>0</v>
      </c>
      <c r="V7" s="9">
        <v>0</v>
      </c>
      <c r="W7" s="9">
        <v>0</v>
      </c>
      <c r="X7" s="10">
        <f>((+$K7))*0</f>
        <v>0</v>
      </c>
      <c r="Y7" s="9">
        <f>((+$K7))*0</f>
        <v>0</v>
      </c>
      <c r="Z7" s="9">
        <f>((+$K7))*0.0314935939058961</f>
        <v>55.307789873778503</v>
      </c>
      <c r="AA7" s="9">
        <f>((+$K7))*0.0314935939058961</f>
        <v>55.307789873778503</v>
      </c>
      <c r="AB7" s="9">
        <f>((+$K7))*0.0314935939058961</f>
        <v>55.307789873778503</v>
      </c>
      <c r="AC7" s="9">
        <f>((+$K7))*0.0314935939058961</f>
        <v>55.307789873778503</v>
      </c>
      <c r="AD7" s="9">
        <f>((+$K7))*0.0617819869185816</f>
        <v>108.49905414693626</v>
      </c>
      <c r="AE7" s="9">
        <f>((+$K7))*0.0302883930126855</f>
        <v>53.191264273157771</v>
      </c>
      <c r="AF7" s="9">
        <f>((+$K7))*0.0302883930126855</f>
        <v>53.191264273157771</v>
      </c>
      <c r="AG7" s="9">
        <f>((+$K7))*0.0603788226723469</f>
        <v>106.03487322426874</v>
      </c>
      <c r="AH7" s="9">
        <f>((+$K7))*0.0915250568814701</f>
        <v>160.73264389296253</v>
      </c>
      <c r="AI7" s="9">
        <f>((+$K7))*0.0915250568814701</f>
        <v>160.73264389296253</v>
      </c>
      <c r="AJ7" s="9">
        <f>((+$K7))*0.0915250568814701</f>
        <v>160.73264389296253</v>
      </c>
      <c r="AK7" s="9">
        <f>((+$K7))*0.0796472557000248</f>
        <v>139.87332457015557</v>
      </c>
      <c r="AL7" s="9">
        <f>((+$K7))*0.0493588626873393</f>
        <v>86.68206029699779</v>
      </c>
      <c r="AM7" s="9">
        <f>((+$K7))*0.0311462342091232</f>
        <v>54.697770668693799</v>
      </c>
      <c r="AN7" s="9">
        <f t="shared" ref="AN7:AV7" si="4">((+$K7))*0.0285067228354687</f>
        <v>50.062366374736712</v>
      </c>
      <c r="AO7" s="9">
        <f t="shared" si="4"/>
        <v>50.062366374736712</v>
      </c>
      <c r="AP7" s="9">
        <f t="shared" si="4"/>
        <v>50.062366374736712</v>
      </c>
      <c r="AQ7" s="9">
        <f t="shared" si="4"/>
        <v>50.062366374736712</v>
      </c>
      <c r="AR7" s="9">
        <f t="shared" si="4"/>
        <v>50.062366374736712</v>
      </c>
      <c r="AS7" s="9">
        <f t="shared" si="4"/>
        <v>50.062366374736712</v>
      </c>
      <c r="AT7" s="9">
        <f t="shared" si="4"/>
        <v>50.062366374736712</v>
      </c>
      <c r="AU7" s="9">
        <f t="shared" si="4"/>
        <v>50.062366374736712</v>
      </c>
      <c r="AV7" s="9">
        <f t="shared" si="4"/>
        <v>50.062366374736712</v>
      </c>
      <c r="AW7" s="9">
        <f>((+$K7))*0</f>
        <v>0</v>
      </c>
      <c r="AX7" s="9">
        <f>((+$K7))*0</f>
        <v>0</v>
      </c>
      <c r="AY7" s="9">
        <f>((+$K7))*0</f>
        <v>0</v>
      </c>
      <c r="AZ7" s="9">
        <f>((+$K7))*0</f>
        <v>0</v>
      </c>
    </row>
    <row r="8" spans="1:76">
      <c r="A8" s="3" t="s">
        <v>66</v>
      </c>
      <c r="B8" t="s">
        <v>10</v>
      </c>
      <c r="C8" t="str">
        <f>+_xlfn.XLOOKUP(B8,'L4'!B:B,'L4'!C:C)</f>
        <v>TÜNEL TIPI DRENAJ BORUSU DÖŞENMESI</v>
      </c>
      <c r="D8" t="s">
        <v>71</v>
      </c>
      <c r="E8" t="str">
        <f>+_xlfn.XLOOKUP(D8,'M2'!H:H,'M2'!I:I)</f>
        <v>DOĞUŞ T. - GENEL</v>
      </c>
      <c r="F8" s="91" t="s">
        <v>30</v>
      </c>
      <c r="G8" t="str">
        <f>+_xlfn.XLOOKUP(F8,'M2'!B:B,'M2'!C:C)</f>
        <v>DOĞUŞ TEKNİK</v>
      </c>
      <c r="H8" s="3" t="s">
        <v>32</v>
      </c>
      <c r="I8" s="3" t="s">
        <v>44</v>
      </c>
      <c r="J8" s="124">
        <v>5140</v>
      </c>
      <c r="K8" s="124">
        <f t="shared" si="2"/>
        <v>5005.1499999999996</v>
      </c>
      <c r="L8" s="6">
        <f t="shared" si="0"/>
        <v>0</v>
      </c>
      <c r="M8" s="124">
        <f>10010.3/2</f>
        <v>5005.1499999999996</v>
      </c>
      <c r="R8" s="9">
        <v>0</v>
      </c>
      <c r="S8" s="9">
        <v>0</v>
      </c>
      <c r="T8" s="9">
        <v>0</v>
      </c>
      <c r="U8" s="9">
        <v>0</v>
      </c>
      <c r="V8" s="9">
        <v>0</v>
      </c>
      <c r="W8" s="9">
        <v>0</v>
      </c>
      <c r="X8" s="10">
        <f>((+$K8))*0</f>
        <v>0</v>
      </c>
      <c r="Y8" s="9">
        <f>((+$K8))*0.0046152462963148</f>
        <v>23.100000000000019</v>
      </c>
      <c r="Z8" s="9">
        <f>((+$K8))*0.0198655384953498</f>
        <v>99.430000000000049</v>
      </c>
      <c r="AA8" s="9">
        <f>((+$K8))*0.0244807847916646</f>
        <v>122.53000000000007</v>
      </c>
      <c r="AB8" s="9">
        <f>((+$K8))*0.0198655384953498</f>
        <v>99.430000000000049</v>
      </c>
      <c r="AC8" s="9">
        <f>((+$K8))*0.0198655384953498</f>
        <v>99.430000000000049</v>
      </c>
      <c r="AD8" s="9">
        <f>((+$K8))*0.0528165989031298</f>
        <v>264.35500000000008</v>
      </c>
      <c r="AE8" s="9">
        <f>((+$K8))*0.03295106040778</f>
        <v>164.92500000000007</v>
      </c>
      <c r="AF8" s="9">
        <f>((+$K8))*0.03295106040778</f>
        <v>164.92500000000007</v>
      </c>
      <c r="AG8" s="9">
        <f>((+$K8))*0.0519315105441396</f>
        <v>259.9250000000003</v>
      </c>
      <c r="AH8" s="9">
        <f>((+$K8))*0.0715779413870381</f>
        <v>358.25833333333372</v>
      </c>
      <c r="AI8" s="9">
        <f>((+$K8))*0.0715779413870381</f>
        <v>358.25833333333372</v>
      </c>
      <c r="AJ8" s="9">
        <f>((+$K8))*0.0715779413870381</f>
        <v>358.25833333333372</v>
      </c>
      <c r="AK8" s="9">
        <f>((+$K8))*0.0640856584384751</f>
        <v>320.75833333333361</v>
      </c>
      <c r="AL8" s="9">
        <f>((+$K8))*0.0449803369196395</f>
        <v>225.13333333333361</v>
      </c>
      <c r="AM8" s="9">
        <f>((+$K8))*0.0334921697318429</f>
        <v>167.6333333333335</v>
      </c>
      <c r="AN8" s="9">
        <f>((+$K8))*0.0272119716691808</f>
        <v>136.20000000000027</v>
      </c>
      <c r="AO8" s="9">
        <f>((+$K8))*0.0272119716691808</f>
        <v>136.20000000000027</v>
      </c>
      <c r="AP8" s="9">
        <f t="shared" ref="AP8:AV8" si="5">((+$K8))*0.0364424642618104</f>
        <v>182.40000000000032</v>
      </c>
      <c r="AQ8" s="9">
        <f t="shared" si="5"/>
        <v>182.40000000000032</v>
      </c>
      <c r="AR8" s="9">
        <f t="shared" si="5"/>
        <v>182.40000000000032</v>
      </c>
      <c r="AS8" s="9">
        <f t="shared" si="5"/>
        <v>182.40000000000032</v>
      </c>
      <c r="AT8" s="9">
        <f t="shared" si="5"/>
        <v>182.40000000000032</v>
      </c>
      <c r="AU8" s="9">
        <f t="shared" si="5"/>
        <v>182.40000000000032</v>
      </c>
      <c r="AV8" s="9">
        <f t="shared" si="5"/>
        <v>182.40000000000032</v>
      </c>
      <c r="AW8" s="9">
        <f>((+$K8))*0.0184609851852592</f>
        <v>92.400000000000077</v>
      </c>
      <c r="AX8" s="9">
        <f>((+$K8))*0.0184609851852592</f>
        <v>92.400000000000077</v>
      </c>
      <c r="AY8" s="9">
        <f>((+$K8))*0.0184609851852592</f>
        <v>92.400000000000077</v>
      </c>
      <c r="AZ8" s="9">
        <f>((+$K8))*0.0184609851852592</f>
        <v>92.400000000000077</v>
      </c>
    </row>
    <row r="9" spans="1:76">
      <c r="A9" s="3" t="s">
        <v>66</v>
      </c>
      <c r="B9" t="s">
        <v>11</v>
      </c>
      <c r="C9" t="str">
        <f>+_xlfn.XLOOKUP(B9,'L4'!B:B,'L4'!C:C)</f>
        <v>KORUGE DRENAJ BORUSU - Ø 400 MM</v>
      </c>
      <c r="D9" t="s">
        <v>71</v>
      </c>
      <c r="E9" t="str">
        <f>+_xlfn.XLOOKUP(D9,'M2'!H:H,'M2'!I:I)</f>
        <v>DOĞUŞ T. - GENEL</v>
      </c>
      <c r="F9" s="91" t="s">
        <v>30</v>
      </c>
      <c r="G9" t="str">
        <f>+_xlfn.XLOOKUP(F9,'M2'!B:B,'M2'!C:C)</f>
        <v>DOĞUŞ TEKNİK</v>
      </c>
      <c r="H9" s="3" t="s">
        <v>32</v>
      </c>
      <c r="I9" s="3" t="s">
        <v>45</v>
      </c>
      <c r="J9" s="124">
        <v>1650</v>
      </c>
      <c r="K9" s="124">
        <f t="shared" si="2"/>
        <v>1650</v>
      </c>
      <c r="L9" s="6">
        <f t="shared" si="0"/>
        <v>0</v>
      </c>
      <c r="M9" s="124">
        <v>1650</v>
      </c>
      <c r="R9" s="9">
        <v>0</v>
      </c>
      <c r="S9" s="9">
        <v>0</v>
      </c>
      <c r="T9" s="9">
        <v>0</v>
      </c>
      <c r="U9" s="9">
        <v>0</v>
      </c>
      <c r="V9" s="9">
        <v>0</v>
      </c>
      <c r="W9" s="9">
        <v>0</v>
      </c>
      <c r="X9" s="10">
        <f>((+$K9))*0</f>
        <v>0</v>
      </c>
      <c r="Y9" s="9">
        <f t="shared" ref="Y9:AD9" si="6">((+$K9))*0</f>
        <v>0</v>
      </c>
      <c r="Z9" s="9">
        <f t="shared" si="6"/>
        <v>0</v>
      </c>
      <c r="AA9" s="9">
        <f t="shared" si="6"/>
        <v>0</v>
      </c>
      <c r="AB9" s="9">
        <f t="shared" si="6"/>
        <v>0</v>
      </c>
      <c r="AC9" s="9">
        <f t="shared" si="6"/>
        <v>0</v>
      </c>
      <c r="AD9" s="9">
        <f t="shared" si="6"/>
        <v>0</v>
      </c>
      <c r="AE9" s="9">
        <f t="shared" ref="AE9:AL9" si="7">((+$K9))*0.0625</f>
        <v>103.125</v>
      </c>
      <c r="AF9" s="9">
        <f t="shared" si="7"/>
        <v>103.125</v>
      </c>
      <c r="AG9" s="9">
        <f t="shared" si="7"/>
        <v>103.125</v>
      </c>
      <c r="AH9" s="9">
        <f t="shared" si="7"/>
        <v>103.125</v>
      </c>
      <c r="AI9" s="9">
        <f t="shared" si="7"/>
        <v>103.125</v>
      </c>
      <c r="AJ9" s="9">
        <f t="shared" si="7"/>
        <v>103.125</v>
      </c>
      <c r="AK9" s="9">
        <f t="shared" si="7"/>
        <v>103.125</v>
      </c>
      <c r="AL9" s="9">
        <f t="shared" si="7"/>
        <v>103.125</v>
      </c>
      <c r="AM9" s="9">
        <f>((+$K9))*0</f>
        <v>0</v>
      </c>
      <c r="AN9" s="9">
        <f>((+$K9))*0</f>
        <v>0</v>
      </c>
      <c r="AO9" s="9">
        <f>((+$K9))*0</f>
        <v>0</v>
      </c>
      <c r="AP9" s="9">
        <f>((+$K9))*0</f>
        <v>0</v>
      </c>
      <c r="AQ9" s="9">
        <f t="shared" ref="AQ9:AX9" si="8">((+$K9))*0.0625</f>
        <v>103.125</v>
      </c>
      <c r="AR9" s="9">
        <f t="shared" si="8"/>
        <v>103.125</v>
      </c>
      <c r="AS9" s="9">
        <f t="shared" si="8"/>
        <v>103.125</v>
      </c>
      <c r="AT9" s="9">
        <f t="shared" si="8"/>
        <v>103.125</v>
      </c>
      <c r="AU9" s="9">
        <f t="shared" si="8"/>
        <v>103.125</v>
      </c>
      <c r="AV9" s="9">
        <f t="shared" si="8"/>
        <v>103.125</v>
      </c>
      <c r="AW9" s="9">
        <f t="shared" si="8"/>
        <v>103.125</v>
      </c>
      <c r="AX9" s="9">
        <f t="shared" si="8"/>
        <v>103.125</v>
      </c>
      <c r="AY9" s="9">
        <f>((+$K9))*0</f>
        <v>0</v>
      </c>
      <c r="AZ9" s="9">
        <f>((+$K9))*0</f>
        <v>0</v>
      </c>
    </row>
    <row r="10" spans="1:76">
      <c r="A10" s="3" t="s">
        <v>66</v>
      </c>
      <c r="B10" t="s">
        <v>12</v>
      </c>
      <c r="C10" t="str">
        <f>+_xlfn.XLOOKUP(B10,'L4'!B:B,'L4'!C:C)</f>
        <v>PÜSKÜRTME BETONU YAPILMASI</v>
      </c>
      <c r="D10" t="s">
        <v>71</v>
      </c>
      <c r="E10" t="str">
        <f>+_xlfn.XLOOKUP(D10,'M2'!H:H,'M2'!I:I)</f>
        <v>DOĞUŞ T. - GENEL</v>
      </c>
      <c r="F10" s="91" t="s">
        <v>30</v>
      </c>
      <c r="G10" t="str">
        <f>+_xlfn.XLOOKUP(F10,'M2'!B:B,'M2'!C:C)</f>
        <v>DOĞUŞ TEKNİK</v>
      </c>
      <c r="H10" s="3" t="s">
        <v>32</v>
      </c>
      <c r="I10" s="3" t="s">
        <v>46</v>
      </c>
      <c r="J10" s="124">
        <v>3176.5</v>
      </c>
      <c r="K10" s="124">
        <f t="shared" si="2"/>
        <v>3312.1399000000001</v>
      </c>
      <c r="L10" s="6">
        <f t="shared" si="0"/>
        <v>0</v>
      </c>
      <c r="M10" s="124">
        <v>8500</v>
      </c>
      <c r="R10" s="9">
        <v>343</v>
      </c>
      <c r="S10" s="9">
        <v>762.91</v>
      </c>
      <c r="T10" s="9">
        <v>529.52099999999996</v>
      </c>
      <c r="U10" s="9">
        <v>1062.5190999999995</v>
      </c>
      <c r="V10" s="9">
        <v>1451.63</v>
      </c>
      <c r="W10" s="9">
        <v>1038.2800000000007</v>
      </c>
      <c r="X10" s="10">
        <f>((+$K10))*0.00998302416283691</f>
        <v>33.065172652396228</v>
      </c>
      <c r="Y10" s="9">
        <f>((+$K10))*0.0234647417611078</f>
        <v>77.718507430161409</v>
      </c>
      <c r="Z10" s="9">
        <f>((+$K10))*0.0160172440537002</f>
        <v>53.051353118298181</v>
      </c>
      <c r="AA10" s="9">
        <f>((+$K10))*0.0249581733757012</f>
        <v>82.664961868777638</v>
      </c>
      <c r="AB10" s="9">
        <f>((+$K10))*0.0175106756682936</f>
        <v>57.997807556914402</v>
      </c>
      <c r="AC10" s="9">
        <f>((+$K10))*0.0223842517859311</f>
        <v>74.139773471828647</v>
      </c>
      <c r="AD10" s="9">
        <f>((+$K10))*0.0482373479881093</f>
        <v>159.76884494160154</v>
      </c>
      <c r="AE10" s="9">
        <f>((+$K10))*0.0426069217591158</f>
        <v>141.12008557454561</v>
      </c>
      <c r="AF10" s="9">
        <f>((+$K10))*0.0365727018682525</f>
        <v>121.13390510864365</v>
      </c>
      <c r="AG10" s="9">
        <f t="shared" ref="AG10:AH13" si="9">((+$K10))*0.0411134901445225</f>
        <v>136.17363113592975</v>
      </c>
      <c r="AH10" s="9">
        <f t="shared" si="9"/>
        <v>136.17363113592975</v>
      </c>
      <c r="AI10" s="9">
        <f t="shared" ref="AI10:AJ13" si="10">((+$K10))*0.0350792702536591</f>
        <v>116.18745067002745</v>
      </c>
      <c r="AJ10" s="9">
        <f t="shared" si="10"/>
        <v>116.18745067002745</v>
      </c>
      <c r="AK10" s="9">
        <f t="shared" ref="AK10:AL13" si="11">((+$K10))*0.0331031561062724</f>
        <v>109.64228415551347</v>
      </c>
      <c r="AL10" s="9">
        <f t="shared" si="11"/>
        <v>109.64228415551347</v>
      </c>
      <c r="AM10" s="9">
        <f>((+$K10))*0.0312741749833369</f>
        <v>103.58444280189198</v>
      </c>
      <c r="AN10" s="9">
        <f>((+$K10))*0.0238266772759292</f>
        <v>78.917288490028412</v>
      </c>
      <c r="AO10" s="9">
        <f>((+$K10))*0.0247989267776964</f>
        <v>82.13751485758668</v>
      </c>
      <c r="AP10" s="9">
        <f>((+$K10))*0.0457281420833749</f>
        <v>151.45800394721513</v>
      </c>
      <c r="AQ10" s="9">
        <f t="shared" ref="AQ10:AS13" si="12">((+$K10))*0.0517623619742382</f>
        <v>171.44418441311711</v>
      </c>
      <c r="AR10" s="9">
        <f t="shared" si="12"/>
        <v>171.44418441311711</v>
      </c>
      <c r="AS10" s="9">
        <f t="shared" si="12"/>
        <v>171.44418441311711</v>
      </c>
      <c r="AT10" s="9">
        <f>((+$K10))*0.0457281420833749</f>
        <v>151.45800394721513</v>
      </c>
      <c r="AU10" s="9">
        <f t="shared" ref="AU10:AV13" si="13">((+$K10))*0.0396939221925116</f>
        <v>131.47182348131318</v>
      </c>
      <c r="AV10" s="9">
        <f t="shared" si="13"/>
        <v>131.47182348131318</v>
      </c>
      <c r="AW10" s="9">
        <f>((+$K10))*0.0297899908296304</f>
        <v>98.668617247452957</v>
      </c>
      <c r="AX10" s="9">
        <f t="shared" ref="AX10:AY13" si="14">((+$K10))*0.0370310546986664</f>
        <v>122.65203380653547</v>
      </c>
      <c r="AY10" s="9">
        <f t="shared" si="14"/>
        <v>122.65203380653547</v>
      </c>
      <c r="AZ10" s="9">
        <f>((+$K10))*0.0297899908296304</f>
        <v>98.668617247452957</v>
      </c>
    </row>
    <row r="11" spans="1:76">
      <c r="A11" s="3" t="s">
        <v>66</v>
      </c>
      <c r="B11" t="s">
        <v>13</v>
      </c>
      <c r="C11" t="str">
        <f>+_xlfn.XLOOKUP(B11,'L4'!B:B,'L4'!C:C)</f>
        <v>HASIR ÇELIK TEMINI VE İŞÇILIĞI</v>
      </c>
      <c r="D11" t="s">
        <v>71</v>
      </c>
      <c r="E11" t="str">
        <f>+_xlfn.XLOOKUP(D11,'M2'!H:H,'M2'!I:I)</f>
        <v>DOĞUŞ T. - GENEL</v>
      </c>
      <c r="F11" s="91" t="s">
        <v>30</v>
      </c>
      <c r="G11" t="str">
        <f>+_xlfn.XLOOKUP(F11,'M2'!B:B,'M2'!C:C)</f>
        <v>DOĞUŞ TEKNİK</v>
      </c>
      <c r="H11" s="3" t="s">
        <v>32</v>
      </c>
      <c r="I11" s="3" t="s">
        <v>47</v>
      </c>
      <c r="J11" s="124">
        <v>106.10899999999999</v>
      </c>
      <c r="K11" s="124">
        <f t="shared" si="2"/>
        <v>107.90229982848001</v>
      </c>
      <c r="L11" s="6">
        <f t="shared" si="0"/>
        <v>0</v>
      </c>
      <c r="M11" s="124">
        <v>300</v>
      </c>
      <c r="R11" s="9">
        <v>17.301569999999998</v>
      </c>
      <c r="S11" s="9">
        <v>34.706000000000003</v>
      </c>
      <c r="T11" s="9">
        <v>23.292000000000002</v>
      </c>
      <c r="U11" s="9">
        <v>27.728130171520007</v>
      </c>
      <c r="V11" s="9">
        <v>50.584999999999994</v>
      </c>
      <c r="W11" s="9">
        <v>38.484999999999985</v>
      </c>
      <c r="X11" s="10">
        <f>((+$K11))*0.00998302416283691</f>
        <v>1.0771912664133889</v>
      </c>
      <c r="Y11" s="9">
        <f>((+$K11))*0.0234647417611078</f>
        <v>2.53189960090491</v>
      </c>
      <c r="Z11" s="9">
        <f>((+$K11))*0.0160172440537002</f>
        <v>1.7282974703082976</v>
      </c>
      <c r="AA11" s="9">
        <f>((+$K11))*0.0249581733757012</f>
        <v>2.6930443067560978</v>
      </c>
      <c r="AB11" s="9">
        <f>((+$K11))*0.0175106756682936</f>
        <v>1.8894421761594857</v>
      </c>
      <c r="AC11" s="9">
        <f>((+$K11))*0.0223842517859311</f>
        <v>2.4153122476417268</v>
      </c>
      <c r="AD11" s="9">
        <f>((+$K11))*0.0482373479881093</f>
        <v>5.2049207855436972</v>
      </c>
      <c r="AE11" s="9">
        <f>((+$K11))*0.0426069217591158</f>
        <v>4.5973848464207014</v>
      </c>
      <c r="AF11" s="9">
        <f>((+$K11))*0.0365727018682525</f>
        <v>3.9462786425257921</v>
      </c>
      <c r="AG11" s="9">
        <f t="shared" si="9"/>
        <v>4.4362401405695246</v>
      </c>
      <c r="AH11" s="9">
        <f t="shared" si="9"/>
        <v>4.4362401405695246</v>
      </c>
      <c r="AI11" s="9">
        <f t="shared" si="10"/>
        <v>3.7851339366746046</v>
      </c>
      <c r="AJ11" s="9">
        <f t="shared" si="10"/>
        <v>3.7851339366746046</v>
      </c>
      <c r="AK11" s="9">
        <f t="shared" si="11"/>
        <v>3.5719066754479836</v>
      </c>
      <c r="AL11" s="9">
        <f t="shared" si="11"/>
        <v>3.5719066754479836</v>
      </c>
      <c r="AM11" s="9">
        <f>((+$K11))*0.0312741749833369</f>
        <v>3.3745554059403671</v>
      </c>
      <c r="AN11" s="9">
        <f>((+$K11))*0.0238266772759292</f>
        <v>2.5709532753437441</v>
      </c>
      <c r="AO11" s="9">
        <f>((+$K11))*0.0247989267776964</f>
        <v>2.6758612325915183</v>
      </c>
      <c r="AP11" s="9">
        <f>((+$K11))*0.0457281420833749</f>
        <v>4.9341716976796528</v>
      </c>
      <c r="AQ11" s="9">
        <f t="shared" si="12"/>
        <v>5.5852779015745622</v>
      </c>
      <c r="AR11" s="9">
        <f t="shared" si="12"/>
        <v>5.5852779015745622</v>
      </c>
      <c r="AS11" s="9">
        <f t="shared" si="12"/>
        <v>5.5852779015745622</v>
      </c>
      <c r="AT11" s="9">
        <f>((+$K11))*0.0457281420833749</f>
        <v>4.9341716976796528</v>
      </c>
      <c r="AU11" s="9">
        <f t="shared" si="13"/>
        <v>4.2830654937847434</v>
      </c>
      <c r="AV11" s="9">
        <f t="shared" si="13"/>
        <v>4.2830654937847434</v>
      </c>
      <c r="AW11" s="9">
        <f>((+$K11))*0.0297899908296304</f>
        <v>3.2144085223864494</v>
      </c>
      <c r="AX11" s="9">
        <f t="shared" si="14"/>
        <v>3.9957359670603458</v>
      </c>
      <c r="AY11" s="9">
        <f t="shared" si="14"/>
        <v>3.9957359670603458</v>
      </c>
      <c r="AZ11" s="9">
        <f>((+$K11))*0.0297899908296304</f>
        <v>3.2144085223864494</v>
      </c>
    </row>
    <row r="12" spans="1:76">
      <c r="A12" s="3" t="s">
        <v>66</v>
      </c>
      <c r="B12" t="s">
        <v>14</v>
      </c>
      <c r="C12" t="str">
        <f>+_xlfn.XLOOKUP(B12,'L4'!B:B,'L4'!C:C)</f>
        <v>ZEMIN ÇIVISI VE YERINE YERLEŞTIRILMESI</v>
      </c>
      <c r="D12" t="s">
        <v>71</v>
      </c>
      <c r="E12" t="str">
        <f>+_xlfn.XLOOKUP(D12,'M2'!H:H,'M2'!I:I)</f>
        <v>DOĞUŞ T. - GENEL</v>
      </c>
      <c r="F12" s="91" t="s">
        <v>30</v>
      </c>
      <c r="G12" t="str">
        <f>+_xlfn.XLOOKUP(F12,'M2'!B:B,'M2'!C:C)</f>
        <v>DOĞUŞ TEKNİK</v>
      </c>
      <c r="H12" s="3" t="s">
        <v>32</v>
      </c>
      <c r="I12" s="3" t="s">
        <v>48</v>
      </c>
      <c r="J12" s="124">
        <v>14957.5</v>
      </c>
      <c r="K12" s="124">
        <f t="shared" si="2"/>
        <v>12719.5</v>
      </c>
      <c r="L12" s="6">
        <f t="shared" si="0"/>
        <v>0</v>
      </c>
      <c r="M12" s="124">
        <v>14957.5</v>
      </c>
      <c r="R12" s="9">
        <v>612</v>
      </c>
      <c r="S12" s="9">
        <v>1230</v>
      </c>
      <c r="T12" s="9">
        <v>0</v>
      </c>
      <c r="U12" s="9">
        <v>0</v>
      </c>
      <c r="V12" s="9">
        <v>396</v>
      </c>
      <c r="W12" s="9">
        <v>0</v>
      </c>
      <c r="X12" s="10">
        <f>((+$K12))*0.00998302416283691</f>
        <v>126.97907583920409</v>
      </c>
      <c r="Y12" s="9">
        <f>((+$K12))*0.0234647417611078</f>
        <v>298.45978283041063</v>
      </c>
      <c r="Z12" s="9">
        <f>((+$K12))*0.0160172440537002</f>
        <v>203.73133574103969</v>
      </c>
      <c r="AA12" s="9">
        <f>((+$K12))*0.0249581733757012</f>
        <v>317.45548625223142</v>
      </c>
      <c r="AB12" s="9">
        <f>((+$K12))*0.0175106756682936</f>
        <v>222.72703916286045</v>
      </c>
      <c r="AC12" s="9">
        <f>((+$K12))*0.0223842517859311</f>
        <v>284.7164905911506</v>
      </c>
      <c r="AD12" s="9">
        <f>((+$K12))*0.0482373479881093</f>
        <v>613.5549477347563</v>
      </c>
      <c r="AE12" s="9">
        <f>((+$K12))*0.0426069217591158</f>
        <v>541.93874131507334</v>
      </c>
      <c r="AF12" s="9">
        <f>((+$K12))*0.0365727018682525</f>
        <v>465.18648141323763</v>
      </c>
      <c r="AG12" s="9">
        <f t="shared" si="9"/>
        <v>522.94303789325397</v>
      </c>
      <c r="AH12" s="9">
        <f t="shared" si="9"/>
        <v>522.94303789325397</v>
      </c>
      <c r="AI12" s="9">
        <f t="shared" si="10"/>
        <v>446.19077799141695</v>
      </c>
      <c r="AJ12" s="9">
        <f t="shared" si="10"/>
        <v>446.19077799141695</v>
      </c>
      <c r="AK12" s="9">
        <f t="shared" si="11"/>
        <v>421.05559409373183</v>
      </c>
      <c r="AL12" s="9">
        <f t="shared" si="11"/>
        <v>421.05559409373183</v>
      </c>
      <c r="AM12" s="9">
        <f>((+$K12))*0.0312741749833369</f>
        <v>397.79186870055372</v>
      </c>
      <c r="AN12" s="9">
        <f>((+$K12))*0.0238266772759292</f>
        <v>303.06342161118147</v>
      </c>
      <c r="AO12" s="9">
        <f>((+$K12))*0.0247989267776964</f>
        <v>315.42994914890937</v>
      </c>
      <c r="AP12" s="9">
        <f>((+$K12))*0.0457281420833749</f>
        <v>581.63910322948698</v>
      </c>
      <c r="AQ12" s="9">
        <f t="shared" si="12"/>
        <v>658.39136313132269</v>
      </c>
      <c r="AR12" s="9">
        <f t="shared" si="12"/>
        <v>658.39136313132269</v>
      </c>
      <c r="AS12" s="9">
        <f t="shared" si="12"/>
        <v>658.39136313132269</v>
      </c>
      <c r="AT12" s="9">
        <f>((+$K12))*0.0457281420833749</f>
        <v>581.63910322948698</v>
      </c>
      <c r="AU12" s="9">
        <f t="shared" si="13"/>
        <v>504.88684332765132</v>
      </c>
      <c r="AV12" s="9">
        <f t="shared" si="13"/>
        <v>504.88684332765132</v>
      </c>
      <c r="AW12" s="9">
        <f>((+$K12))*0.0297899908296304</f>
        <v>378.9137883574839</v>
      </c>
      <c r="AX12" s="9">
        <f t="shared" si="14"/>
        <v>471.01650023968733</v>
      </c>
      <c r="AY12" s="9">
        <f t="shared" si="14"/>
        <v>471.01650023968733</v>
      </c>
      <c r="AZ12" s="9">
        <f>((+$K12))*0.0297899908296304</f>
        <v>378.9137883574839</v>
      </c>
    </row>
    <row r="13" spans="1:76">
      <c r="A13" s="3" t="s">
        <v>66</v>
      </c>
      <c r="B13" t="s">
        <v>15</v>
      </c>
      <c r="C13" t="str">
        <f>+_xlfn.XLOOKUP(B13,'L4'!B:B,'L4'!C:C)</f>
        <v>BARBAKAN DELIĞI - GEOTEKSTIL SARIMLI</v>
      </c>
      <c r="D13" t="s">
        <v>71</v>
      </c>
      <c r="E13" t="str">
        <f>+_xlfn.XLOOKUP(D13,'M2'!H:H,'M2'!I:I)</f>
        <v>DOĞUŞ T. - GENEL</v>
      </c>
      <c r="F13" s="91" t="s">
        <v>30</v>
      </c>
      <c r="G13" t="str">
        <f>+_xlfn.XLOOKUP(F13,'M2'!B:B,'M2'!C:C)</f>
        <v>DOĞUŞ TEKNİK</v>
      </c>
      <c r="H13" s="3" t="s">
        <v>32</v>
      </c>
      <c r="I13" s="3" t="s">
        <v>49</v>
      </c>
      <c r="J13" s="124">
        <v>3739.5</v>
      </c>
      <c r="K13" s="124">
        <f t="shared" si="2"/>
        <v>2781.5</v>
      </c>
      <c r="L13" s="6">
        <f t="shared" si="0"/>
        <v>0</v>
      </c>
      <c r="M13" s="124">
        <v>3739.5</v>
      </c>
      <c r="R13" s="9">
        <v>114</v>
      </c>
      <c r="S13" s="9">
        <v>426</v>
      </c>
      <c r="T13" s="9">
        <v>420</v>
      </c>
      <c r="U13" s="9">
        <v>-2</v>
      </c>
      <c r="V13" s="9">
        <v>0</v>
      </c>
      <c r="W13" s="9">
        <v>0</v>
      </c>
      <c r="X13" s="10">
        <f>((+$K13))*0.00998302416283691</f>
        <v>27.767781708930865</v>
      </c>
      <c r="Y13" s="9">
        <f>((+$K13))*0.0234647417611078</f>
        <v>65.267179208521341</v>
      </c>
      <c r="Z13" s="9">
        <f>((+$K13))*0.0160172440537002</f>
        <v>44.55196433536711</v>
      </c>
      <c r="AA13" s="9">
        <f>((+$K13))*0.0249581733757012</f>
        <v>69.421159244512893</v>
      </c>
      <c r="AB13" s="9">
        <f>((+$K13))*0.0175106756682936</f>
        <v>48.705944371358648</v>
      </c>
      <c r="AC13" s="9">
        <f>((+$K13))*0.0223842517859311</f>
        <v>62.261796342567351</v>
      </c>
      <c r="AD13" s="9">
        <f>((+$K13))*0.0482373479881093</f>
        <v>134.17218342892602</v>
      </c>
      <c r="AE13" s="9">
        <f>((+$K13))*0.0426069217591158</f>
        <v>118.51115287298059</v>
      </c>
      <c r="AF13" s="9">
        <f>((+$K13))*0.0365727018682525</f>
        <v>101.72697024654433</v>
      </c>
      <c r="AG13" s="9">
        <f t="shared" si="9"/>
        <v>114.35717283698933</v>
      </c>
      <c r="AH13" s="9">
        <f t="shared" si="9"/>
        <v>114.35717283698933</v>
      </c>
      <c r="AI13" s="9">
        <f t="shared" si="10"/>
        <v>97.572990210552803</v>
      </c>
      <c r="AJ13" s="9">
        <f t="shared" si="10"/>
        <v>97.572990210552803</v>
      </c>
      <c r="AK13" s="9">
        <f t="shared" si="11"/>
        <v>92.076428709596684</v>
      </c>
      <c r="AL13" s="9">
        <f t="shared" si="11"/>
        <v>92.076428709596684</v>
      </c>
      <c r="AM13" s="9">
        <f>((+$K13))*0.0312741749833369</f>
        <v>86.989117716151583</v>
      </c>
      <c r="AN13" s="9">
        <f>((+$K13))*0.0238266772759292</f>
        <v>66.273902842997074</v>
      </c>
      <c r="AO13" s="9">
        <f>((+$K13))*0.0247989267776964</f>
        <v>68.978214832162536</v>
      </c>
      <c r="AP13" s="9">
        <f>((+$K13))*0.0457281420833749</f>
        <v>127.19282720490727</v>
      </c>
      <c r="AQ13" s="9">
        <f t="shared" si="12"/>
        <v>143.97700983134354</v>
      </c>
      <c r="AR13" s="9">
        <f t="shared" si="12"/>
        <v>143.97700983134354</v>
      </c>
      <c r="AS13" s="9">
        <f t="shared" si="12"/>
        <v>143.97700983134354</v>
      </c>
      <c r="AT13" s="9">
        <f>((+$K13))*0.0457281420833749</f>
        <v>127.19282720490727</v>
      </c>
      <c r="AU13" s="9">
        <f t="shared" si="13"/>
        <v>110.40864457847103</v>
      </c>
      <c r="AV13" s="9">
        <f t="shared" si="13"/>
        <v>110.40864457847103</v>
      </c>
      <c r="AW13" s="9">
        <f>((+$K13))*0.0297899908296304</f>
        <v>82.860859492616967</v>
      </c>
      <c r="AX13" s="9">
        <f t="shared" si="14"/>
        <v>103.00187864434061</v>
      </c>
      <c r="AY13" s="9">
        <f t="shared" si="14"/>
        <v>103.00187864434061</v>
      </c>
      <c r="AZ13" s="9">
        <f>((+$K13))*0.0297899908296304</f>
        <v>82.860859492616967</v>
      </c>
    </row>
    <row r="14" spans="1:76">
      <c r="A14" s="3" t="s">
        <v>66</v>
      </c>
      <c r="B14" t="s">
        <v>16</v>
      </c>
      <c r="C14" t="str">
        <f>+_xlfn.XLOOKUP(B14,'L4'!B:B,'L4'!C:C)</f>
        <v>TÜNEL KAZISI YAPILMASI</v>
      </c>
      <c r="D14" t="s">
        <v>72</v>
      </c>
      <c r="E14" t="str">
        <f>+_xlfn.XLOOKUP(D14,'M2'!H:H,'M2'!I:I)</f>
        <v>DOĞUŞ T. - GENEL</v>
      </c>
      <c r="F14" s="91" t="s">
        <v>30</v>
      </c>
      <c r="G14" t="str">
        <f>+_xlfn.XLOOKUP(F14,'M2'!B:B,'M2'!C:C)</f>
        <v>DOĞUŞ TEKNİK</v>
      </c>
      <c r="H14" s="3" t="s">
        <v>32</v>
      </c>
      <c r="I14" s="3" t="s">
        <v>50</v>
      </c>
      <c r="J14" s="124">
        <v>224446.35500000001</v>
      </c>
      <c r="K14" s="124">
        <f t="shared" si="2"/>
        <v>203564.60799999998</v>
      </c>
      <c r="L14" s="6">
        <f t="shared" si="0"/>
        <v>0</v>
      </c>
      <c r="M14" s="124">
        <v>224446.36</v>
      </c>
      <c r="R14" s="9">
        <v>0</v>
      </c>
      <c r="S14" s="9">
        <v>0</v>
      </c>
      <c r="T14" s="9">
        <v>1353.0989999999999</v>
      </c>
      <c r="U14" s="9">
        <v>5832.6714000000029</v>
      </c>
      <c r="V14" s="9">
        <v>5603.6745999999948</v>
      </c>
      <c r="W14" s="9">
        <v>8092.3069999999989</v>
      </c>
      <c r="X14" s="10">
        <f t="shared" ref="X14:X21" si="15">(+$K14)*0.0494481236203091</f>
        <v>10065.887901103761</v>
      </c>
      <c r="Y14" s="9">
        <f t="shared" ref="Y14:Y21" si="16">(+$K14)*0.0777041942604857</f>
        <v>15817.823844591621</v>
      </c>
      <c r="Z14" s="9">
        <f t="shared" ref="Z14:Z21" si="17">(+$K14)*0.071523178807947</f>
        <v>14559.587856953636</v>
      </c>
      <c r="AA14" s="9">
        <f t="shared" ref="AA14:AE21" si="18">(+$K14)*0.0388520971302428</f>
        <v>7908.9119222957988</v>
      </c>
      <c r="AB14" s="9">
        <f t="shared" si="18"/>
        <v>7908.9119222957988</v>
      </c>
      <c r="AC14" s="9">
        <f t="shared" si="18"/>
        <v>7908.9119222957988</v>
      </c>
      <c r="AD14" s="9">
        <f t="shared" si="18"/>
        <v>7908.9119222957988</v>
      </c>
      <c r="AE14" s="9">
        <f t="shared" si="18"/>
        <v>7908.9119222957988</v>
      </c>
      <c r="AF14" s="9">
        <f t="shared" ref="AF14:AF21" si="19">(+$K14)*0.0291390728476821</f>
        <v>5931.6839417218498</v>
      </c>
      <c r="AG14" s="9">
        <f t="shared" ref="AG14:AG21" si="20">(+$K14)*0.0388520971302428</f>
        <v>7908.9119222957988</v>
      </c>
      <c r="AH14" s="9">
        <f t="shared" ref="AH14:AH21" si="21">(+$K14)*0.0291390728476821</f>
        <v>5931.6839417218498</v>
      </c>
      <c r="AI14" s="9">
        <f t="shared" ref="AI14:AP21" si="22">(+$K14)*0.0388520971302428</f>
        <v>7908.9119222957988</v>
      </c>
      <c r="AJ14" s="9">
        <f t="shared" si="22"/>
        <v>7908.9119222957988</v>
      </c>
      <c r="AK14" s="9">
        <f t="shared" si="22"/>
        <v>7908.9119222957988</v>
      </c>
      <c r="AL14" s="9">
        <f t="shared" si="22"/>
        <v>7908.9119222957988</v>
      </c>
      <c r="AM14" s="9">
        <f t="shared" si="22"/>
        <v>7908.9119222957988</v>
      </c>
      <c r="AN14" s="9">
        <f t="shared" si="22"/>
        <v>7908.9119222957988</v>
      </c>
      <c r="AO14" s="9">
        <f t="shared" si="22"/>
        <v>7908.9119222957988</v>
      </c>
      <c r="AP14" s="9">
        <f t="shared" si="22"/>
        <v>7908.9119222957988</v>
      </c>
      <c r="AQ14" s="9">
        <f t="shared" ref="AQ14:AQ21" si="23">(+$K14)*0.0291390728476821</f>
        <v>5931.6839417218498</v>
      </c>
      <c r="AR14" s="9">
        <f t="shared" ref="AR14:AR21" si="24">(+$K14)*0.0344370860927152</f>
        <v>7010.1719311258212</v>
      </c>
      <c r="AS14" s="9">
        <f t="shared" ref="AS14:AS21" si="25">(+$K14)*0.0211920529801325</f>
        <v>4313.9519576159037</v>
      </c>
      <c r="AT14" s="9">
        <f t="shared" ref="AT14:AT21" si="26">(+$K14)*0.0158940397350993</f>
        <v>3235.4639682119123</v>
      </c>
      <c r="AU14" s="9">
        <f t="shared" ref="AU14:AX21" si="27">(+$K14)*0.0211920529801325</f>
        <v>4313.9519576159037</v>
      </c>
      <c r="AV14" s="9">
        <f t="shared" si="27"/>
        <v>4313.9519576159037</v>
      </c>
      <c r="AW14" s="9">
        <f t="shared" si="27"/>
        <v>4313.9519576159037</v>
      </c>
      <c r="AX14" s="9">
        <f t="shared" si="27"/>
        <v>4313.9519576159037</v>
      </c>
      <c r="AY14" s="9">
        <f t="shared" ref="AY14:AY21" si="28">(+$K14)*0.0136865342163355</f>
        <v>2786.093972626923</v>
      </c>
      <c r="AZ14" s="9">
        <v>0</v>
      </c>
    </row>
    <row r="15" spans="1:76">
      <c r="A15" s="3" t="s">
        <v>66</v>
      </c>
      <c r="B15" t="s">
        <v>17</v>
      </c>
      <c r="C15" t="str">
        <f>+_xlfn.XLOOKUP(B15,'L4'!B:B,'L4'!C:C)</f>
        <v>TÜNELLERDE ÇELIK İKSA YAPILMASI (MLZ.+İŞÇ.)</v>
      </c>
      <c r="D15" t="s">
        <v>72</v>
      </c>
      <c r="E15" t="str">
        <f>+_xlfn.XLOOKUP(D15,'M2'!H:H,'M2'!I:I)</f>
        <v>DOĞUŞ T. - GENEL</v>
      </c>
      <c r="F15" s="91" t="s">
        <v>30</v>
      </c>
      <c r="G15" t="str">
        <f>+_xlfn.XLOOKUP(F15,'M2'!B:B,'M2'!C:C)</f>
        <v>DOĞUŞ TEKNİK</v>
      </c>
      <c r="H15" s="3" t="s">
        <v>32</v>
      </c>
      <c r="I15" s="3" t="s">
        <v>51</v>
      </c>
      <c r="J15" s="124">
        <v>731.51</v>
      </c>
      <c r="K15" s="124">
        <f t="shared" si="2"/>
        <v>458.16538250000002</v>
      </c>
      <c r="L15" s="6">
        <f t="shared" si="0"/>
        <v>0</v>
      </c>
      <c r="M15" s="124">
        <v>731.51</v>
      </c>
      <c r="R15" s="9">
        <v>0</v>
      </c>
      <c r="S15" s="9">
        <v>0</v>
      </c>
      <c r="T15" s="9">
        <v>12.093</v>
      </c>
      <c r="U15" s="9">
        <v>86.115600499999942</v>
      </c>
      <c r="V15" s="9">
        <v>66.574017000000012</v>
      </c>
      <c r="W15" s="9">
        <v>108.56200000000001</v>
      </c>
      <c r="X15" s="10">
        <f t="shared" si="15"/>
        <v>22.655418472406204</v>
      </c>
      <c r="Y15" s="9">
        <f t="shared" si="16"/>
        <v>35.601371885209737</v>
      </c>
      <c r="Z15" s="9">
        <f t="shared" si="17"/>
        <v>32.769444576158932</v>
      </c>
      <c r="AA15" s="9">
        <f t="shared" si="18"/>
        <v>17.800685942604844</v>
      </c>
      <c r="AB15" s="9">
        <f t="shared" si="18"/>
        <v>17.800685942604844</v>
      </c>
      <c r="AC15" s="9">
        <f t="shared" si="18"/>
        <v>17.800685942604844</v>
      </c>
      <c r="AD15" s="9">
        <f t="shared" si="18"/>
        <v>17.800685942604844</v>
      </c>
      <c r="AE15" s="9">
        <f t="shared" si="18"/>
        <v>17.800685942604844</v>
      </c>
      <c r="AF15" s="9">
        <f t="shared" si="19"/>
        <v>13.350514456953634</v>
      </c>
      <c r="AG15" s="9">
        <f t="shared" si="20"/>
        <v>17.800685942604844</v>
      </c>
      <c r="AH15" s="9">
        <f t="shared" si="21"/>
        <v>13.350514456953634</v>
      </c>
      <c r="AI15" s="9">
        <f t="shared" si="22"/>
        <v>17.800685942604844</v>
      </c>
      <c r="AJ15" s="9">
        <f t="shared" si="22"/>
        <v>17.800685942604844</v>
      </c>
      <c r="AK15" s="9">
        <f t="shared" si="22"/>
        <v>17.800685942604844</v>
      </c>
      <c r="AL15" s="9">
        <f t="shared" si="22"/>
        <v>17.800685942604844</v>
      </c>
      <c r="AM15" s="9">
        <f t="shared" si="22"/>
        <v>17.800685942604844</v>
      </c>
      <c r="AN15" s="9">
        <f t="shared" si="22"/>
        <v>17.800685942604844</v>
      </c>
      <c r="AO15" s="9">
        <f t="shared" si="22"/>
        <v>17.800685942604844</v>
      </c>
      <c r="AP15" s="9">
        <f t="shared" si="22"/>
        <v>17.800685942604844</v>
      </c>
      <c r="AQ15" s="9">
        <f t="shared" si="23"/>
        <v>13.350514456953634</v>
      </c>
      <c r="AR15" s="9">
        <f t="shared" si="24"/>
        <v>15.777880721854292</v>
      </c>
      <c r="AS15" s="9">
        <f t="shared" si="25"/>
        <v>9.709465059602671</v>
      </c>
      <c r="AT15" s="9">
        <f t="shared" si="26"/>
        <v>7.2820987947019695</v>
      </c>
      <c r="AU15" s="9">
        <f t="shared" si="27"/>
        <v>9.709465059602671</v>
      </c>
      <c r="AV15" s="9">
        <f t="shared" si="27"/>
        <v>9.709465059602671</v>
      </c>
      <c r="AW15" s="9">
        <f t="shared" si="27"/>
        <v>9.709465059602671</v>
      </c>
      <c r="AX15" s="9">
        <f t="shared" si="27"/>
        <v>9.709465059602671</v>
      </c>
      <c r="AY15" s="9">
        <f t="shared" si="28"/>
        <v>6.2706961843266926</v>
      </c>
      <c r="AZ15" s="9">
        <v>0</v>
      </c>
    </row>
    <row r="16" spans="1:76">
      <c r="A16" s="3" t="s">
        <v>66</v>
      </c>
      <c r="B16" t="s">
        <v>18</v>
      </c>
      <c r="C16" t="str">
        <f>+_xlfn.XLOOKUP(B16,'L4'!B:B,'L4'!C:C)</f>
        <v>SÜREN - TÜNEL - Ø 3.5" - K. DELGILI + ENJEKS.</v>
      </c>
      <c r="D16" t="s">
        <v>72</v>
      </c>
      <c r="E16" t="str">
        <f>+_xlfn.XLOOKUP(D16,'M2'!H:H,'M2'!I:I)</f>
        <v>DOĞUŞ T. - GENEL</v>
      </c>
      <c r="F16" s="91" t="s">
        <v>30</v>
      </c>
      <c r="G16" t="str">
        <f>+_xlfn.XLOOKUP(F16,'M2'!B:B,'M2'!C:C)</f>
        <v>DOĞUŞ TEKNİK</v>
      </c>
      <c r="H16" s="3" t="s">
        <v>32</v>
      </c>
      <c r="I16" s="3" t="s">
        <v>52</v>
      </c>
      <c r="J16" s="124">
        <v>0</v>
      </c>
      <c r="K16" s="124">
        <f t="shared" si="2"/>
        <v>12311</v>
      </c>
      <c r="L16" s="6">
        <f t="shared" si="0"/>
        <v>0</v>
      </c>
      <c r="M16" s="124">
        <v>50000</v>
      </c>
      <c r="R16" s="9">
        <v>0</v>
      </c>
      <c r="S16" s="9">
        <v>0</v>
      </c>
      <c r="T16" s="9">
        <v>3366</v>
      </c>
      <c r="U16" s="9">
        <v>10332</v>
      </c>
      <c r="V16" s="9">
        <v>9411</v>
      </c>
      <c r="W16" s="9">
        <v>14580</v>
      </c>
      <c r="X16" s="10">
        <f t="shared" si="15"/>
        <v>608.75584988962532</v>
      </c>
      <c r="Y16" s="9">
        <f t="shared" si="16"/>
        <v>956.61633554083949</v>
      </c>
      <c r="Z16" s="9">
        <f t="shared" si="17"/>
        <v>880.52185430463544</v>
      </c>
      <c r="AA16" s="9">
        <f t="shared" si="18"/>
        <v>478.30816777041906</v>
      </c>
      <c r="AB16" s="9">
        <f t="shared" si="18"/>
        <v>478.30816777041906</v>
      </c>
      <c r="AC16" s="9">
        <f t="shared" si="18"/>
        <v>478.30816777041906</v>
      </c>
      <c r="AD16" s="9">
        <f t="shared" si="18"/>
        <v>478.30816777041906</v>
      </c>
      <c r="AE16" s="9">
        <f t="shared" si="18"/>
        <v>478.30816777041906</v>
      </c>
      <c r="AF16" s="9">
        <f t="shared" si="19"/>
        <v>358.73112582781431</v>
      </c>
      <c r="AG16" s="9">
        <f t="shared" si="20"/>
        <v>478.30816777041906</v>
      </c>
      <c r="AH16" s="9">
        <f t="shared" si="21"/>
        <v>358.73112582781431</v>
      </c>
      <c r="AI16" s="9">
        <f t="shared" si="22"/>
        <v>478.30816777041906</v>
      </c>
      <c r="AJ16" s="9">
        <f t="shared" si="22"/>
        <v>478.30816777041906</v>
      </c>
      <c r="AK16" s="9">
        <f t="shared" si="22"/>
        <v>478.30816777041906</v>
      </c>
      <c r="AL16" s="9">
        <f t="shared" si="22"/>
        <v>478.30816777041906</v>
      </c>
      <c r="AM16" s="9">
        <f t="shared" si="22"/>
        <v>478.30816777041906</v>
      </c>
      <c r="AN16" s="9">
        <f t="shared" si="22"/>
        <v>478.30816777041906</v>
      </c>
      <c r="AO16" s="9">
        <f t="shared" si="22"/>
        <v>478.30816777041906</v>
      </c>
      <c r="AP16" s="9">
        <f t="shared" si="22"/>
        <v>478.30816777041906</v>
      </c>
      <c r="AQ16" s="9">
        <f t="shared" si="23"/>
        <v>358.73112582781431</v>
      </c>
      <c r="AR16" s="9">
        <f t="shared" si="24"/>
        <v>423.95496688741684</v>
      </c>
      <c r="AS16" s="9">
        <f t="shared" si="25"/>
        <v>260.89536423841122</v>
      </c>
      <c r="AT16" s="9">
        <f t="shared" si="26"/>
        <v>195.67152317880749</v>
      </c>
      <c r="AU16" s="9">
        <f t="shared" si="27"/>
        <v>260.89536423841122</v>
      </c>
      <c r="AV16" s="9">
        <f t="shared" si="27"/>
        <v>260.89536423841122</v>
      </c>
      <c r="AW16" s="9">
        <f t="shared" si="27"/>
        <v>260.89536423841122</v>
      </c>
      <c r="AX16" s="9">
        <f t="shared" si="27"/>
        <v>260.89536423841122</v>
      </c>
      <c r="AY16" s="9">
        <f t="shared" si="28"/>
        <v>168.49492273730635</v>
      </c>
      <c r="AZ16" s="9">
        <v>0</v>
      </c>
    </row>
    <row r="17" spans="1:52">
      <c r="A17" s="3" t="s">
        <v>66</v>
      </c>
      <c r="B17" t="s">
        <v>19</v>
      </c>
      <c r="C17" t="str">
        <f>+_xlfn.XLOOKUP(B17,'L4'!B:B,'L4'!C:C)</f>
        <v>SÜREN - TÜNEL - ÇELIK BORU + ENJEKS.</v>
      </c>
      <c r="D17" t="s">
        <v>72</v>
      </c>
      <c r="E17" t="str">
        <f>+_xlfn.XLOOKUP(D17,'M2'!H:H,'M2'!I:I)</f>
        <v>DOĞUŞ T. - GENEL</v>
      </c>
      <c r="F17" s="91" t="s">
        <v>30</v>
      </c>
      <c r="G17" t="str">
        <f>+_xlfn.XLOOKUP(F17,'M2'!B:B,'M2'!C:C)</f>
        <v>DOĞUŞ TEKNİK</v>
      </c>
      <c r="H17" s="3" t="s">
        <v>32</v>
      </c>
      <c r="I17" s="3" t="s">
        <v>53</v>
      </c>
      <c r="J17" s="124">
        <v>97989.111999999994</v>
      </c>
      <c r="K17" s="124">
        <f t="shared" si="2"/>
        <v>97989.11</v>
      </c>
      <c r="L17" s="6">
        <f t="shared" si="0"/>
        <v>0</v>
      </c>
      <c r="M17" s="124">
        <v>97989.11</v>
      </c>
      <c r="R17" s="9">
        <v>0</v>
      </c>
      <c r="S17" s="9">
        <v>0</v>
      </c>
      <c r="T17" s="9">
        <v>0</v>
      </c>
      <c r="U17" s="9">
        <v>0</v>
      </c>
      <c r="V17" s="9">
        <v>0</v>
      </c>
      <c r="W17" s="9">
        <v>0</v>
      </c>
      <c r="X17" s="10">
        <f t="shared" si="15"/>
        <v>4845.3776247240667</v>
      </c>
      <c r="Y17" s="9">
        <f t="shared" si="16"/>
        <v>7614.1648388521025</v>
      </c>
      <c r="Z17" s="9">
        <f t="shared" si="17"/>
        <v>7008.4926357615868</v>
      </c>
      <c r="AA17" s="9">
        <f t="shared" si="18"/>
        <v>3807.0824194260458</v>
      </c>
      <c r="AB17" s="9">
        <f t="shared" si="18"/>
        <v>3807.0824194260458</v>
      </c>
      <c r="AC17" s="9">
        <f t="shared" si="18"/>
        <v>3807.0824194260458</v>
      </c>
      <c r="AD17" s="9">
        <f t="shared" si="18"/>
        <v>3807.0824194260458</v>
      </c>
      <c r="AE17" s="9">
        <f t="shared" si="18"/>
        <v>3807.0824194260458</v>
      </c>
      <c r="AF17" s="9">
        <f t="shared" si="19"/>
        <v>2855.3118145695344</v>
      </c>
      <c r="AG17" s="9">
        <f t="shared" si="20"/>
        <v>3807.0824194260458</v>
      </c>
      <c r="AH17" s="9">
        <f t="shared" si="21"/>
        <v>2855.3118145695344</v>
      </c>
      <c r="AI17" s="9">
        <f t="shared" si="22"/>
        <v>3807.0824194260458</v>
      </c>
      <c r="AJ17" s="9">
        <f t="shared" si="22"/>
        <v>3807.0824194260458</v>
      </c>
      <c r="AK17" s="9">
        <f t="shared" si="22"/>
        <v>3807.0824194260458</v>
      </c>
      <c r="AL17" s="9">
        <f t="shared" si="22"/>
        <v>3807.0824194260458</v>
      </c>
      <c r="AM17" s="9">
        <f t="shared" si="22"/>
        <v>3807.0824194260458</v>
      </c>
      <c r="AN17" s="9">
        <f t="shared" si="22"/>
        <v>3807.0824194260458</v>
      </c>
      <c r="AO17" s="9">
        <f t="shared" si="22"/>
        <v>3807.0824194260458</v>
      </c>
      <c r="AP17" s="9">
        <f t="shared" si="22"/>
        <v>3807.0824194260458</v>
      </c>
      <c r="AQ17" s="9">
        <f t="shared" si="23"/>
        <v>2855.3118145695344</v>
      </c>
      <c r="AR17" s="9">
        <f t="shared" si="24"/>
        <v>3374.4594172185402</v>
      </c>
      <c r="AS17" s="9">
        <f t="shared" si="25"/>
        <v>2076.5904105960312</v>
      </c>
      <c r="AT17" s="9">
        <f t="shared" si="26"/>
        <v>1557.442807947016</v>
      </c>
      <c r="AU17" s="9">
        <f t="shared" si="27"/>
        <v>2076.5904105960312</v>
      </c>
      <c r="AV17" s="9">
        <f t="shared" si="27"/>
        <v>2076.5904105960312</v>
      </c>
      <c r="AW17" s="9">
        <f t="shared" si="27"/>
        <v>2076.5904105960312</v>
      </c>
      <c r="AX17" s="9">
        <f t="shared" si="27"/>
        <v>2076.5904105960312</v>
      </c>
      <c r="AY17" s="9">
        <f t="shared" si="28"/>
        <v>1341.131306843263</v>
      </c>
      <c r="AZ17" s="9">
        <v>0</v>
      </c>
    </row>
    <row r="18" spans="1:52">
      <c r="A18" s="3" t="s">
        <v>66</v>
      </c>
      <c r="B18" t="s">
        <v>20</v>
      </c>
      <c r="C18" t="str">
        <f>+_xlfn.XLOOKUP(B18,'L4'!B:B,'L4'!C:C)</f>
        <v>TÜNELDE HASIR ÇELIK ILE İKSA</v>
      </c>
      <c r="D18" t="s">
        <v>72</v>
      </c>
      <c r="E18" t="str">
        <f>+_xlfn.XLOOKUP(D18,'M2'!H:H,'M2'!I:I)</f>
        <v>DOĞUŞ T. - GENEL</v>
      </c>
      <c r="F18" s="91" t="s">
        <v>30</v>
      </c>
      <c r="G18" t="str">
        <f>+_xlfn.XLOOKUP(F18,'M2'!B:B,'M2'!C:C)</f>
        <v>DOĞUŞ TEKNİK</v>
      </c>
      <c r="H18" s="3" t="s">
        <v>32</v>
      </c>
      <c r="I18" s="3" t="s">
        <v>54</v>
      </c>
      <c r="J18" s="124">
        <v>1991.3610000000001</v>
      </c>
      <c r="K18" s="124">
        <f t="shared" si="2"/>
        <v>1824.3857849999999</v>
      </c>
      <c r="L18" s="6">
        <f t="shared" si="0"/>
        <v>0</v>
      </c>
      <c r="M18" s="124">
        <v>1991.36</v>
      </c>
      <c r="R18" s="9">
        <v>0</v>
      </c>
      <c r="S18" s="9">
        <v>0</v>
      </c>
      <c r="T18" s="9">
        <v>8.7449999999999992</v>
      </c>
      <c r="U18" s="9">
        <v>51.804544899999982</v>
      </c>
      <c r="V18" s="9">
        <v>166.05698710000007</v>
      </c>
      <c r="W18" s="9">
        <v>-59.632317</v>
      </c>
      <c r="X18" s="10">
        <f t="shared" si="15"/>
        <v>90.212453827814656</v>
      </c>
      <c r="Y18" s="9">
        <f t="shared" si="16"/>
        <v>141.7624274437087</v>
      </c>
      <c r="Z18" s="9">
        <f t="shared" si="17"/>
        <v>130.48587071523173</v>
      </c>
      <c r="AA18" s="9">
        <f t="shared" si="18"/>
        <v>70.881213721854252</v>
      </c>
      <c r="AB18" s="9">
        <f t="shared" si="18"/>
        <v>70.881213721854252</v>
      </c>
      <c r="AC18" s="9">
        <f t="shared" si="18"/>
        <v>70.881213721854252</v>
      </c>
      <c r="AD18" s="9">
        <f t="shared" si="18"/>
        <v>70.881213721854252</v>
      </c>
      <c r="AE18" s="9">
        <f t="shared" si="18"/>
        <v>70.881213721854252</v>
      </c>
      <c r="AF18" s="9">
        <f t="shared" si="19"/>
        <v>53.160910291390692</v>
      </c>
      <c r="AG18" s="9">
        <f t="shared" si="20"/>
        <v>70.881213721854252</v>
      </c>
      <c r="AH18" s="9">
        <f t="shared" si="21"/>
        <v>53.160910291390692</v>
      </c>
      <c r="AI18" s="9">
        <f t="shared" si="22"/>
        <v>70.881213721854252</v>
      </c>
      <c r="AJ18" s="9">
        <f t="shared" si="22"/>
        <v>70.881213721854252</v>
      </c>
      <c r="AK18" s="9">
        <f t="shared" si="22"/>
        <v>70.881213721854252</v>
      </c>
      <c r="AL18" s="9">
        <f t="shared" si="22"/>
        <v>70.881213721854252</v>
      </c>
      <c r="AM18" s="9">
        <f t="shared" si="22"/>
        <v>70.881213721854252</v>
      </c>
      <c r="AN18" s="9">
        <f t="shared" si="22"/>
        <v>70.881213721854252</v>
      </c>
      <c r="AO18" s="9">
        <f t="shared" si="22"/>
        <v>70.881213721854252</v>
      </c>
      <c r="AP18" s="9">
        <f t="shared" si="22"/>
        <v>70.881213721854252</v>
      </c>
      <c r="AQ18" s="9">
        <f t="shared" si="23"/>
        <v>53.160910291390692</v>
      </c>
      <c r="AR18" s="9">
        <f t="shared" si="24"/>
        <v>62.826530344370802</v>
      </c>
      <c r="AS18" s="9">
        <f t="shared" si="25"/>
        <v>38.662480211920617</v>
      </c>
      <c r="AT18" s="9">
        <f t="shared" si="26"/>
        <v>28.996860158940326</v>
      </c>
      <c r="AU18" s="9">
        <f t="shared" si="27"/>
        <v>38.662480211920617</v>
      </c>
      <c r="AV18" s="9">
        <f t="shared" si="27"/>
        <v>38.662480211920617</v>
      </c>
      <c r="AW18" s="9">
        <f t="shared" si="27"/>
        <v>38.662480211920617</v>
      </c>
      <c r="AX18" s="9">
        <f t="shared" si="27"/>
        <v>38.662480211920617</v>
      </c>
      <c r="AY18" s="9">
        <f t="shared" si="28"/>
        <v>24.969518470198601</v>
      </c>
      <c r="AZ18" s="9">
        <v>0</v>
      </c>
    </row>
    <row r="19" spans="1:52">
      <c r="A19" s="3" t="s">
        <v>66</v>
      </c>
      <c r="B19" t="s">
        <v>21</v>
      </c>
      <c r="C19" t="str">
        <f>+_xlfn.XLOOKUP(B19,'L4'!B:B,'L4'!C:C)</f>
        <v>TÜNELDE PÜSKÜRTME BETONU YAPILMASI</v>
      </c>
      <c r="D19" t="s">
        <v>72</v>
      </c>
      <c r="E19" t="str">
        <f>+_xlfn.XLOOKUP(D19,'M2'!H:H,'M2'!I:I)</f>
        <v>DOĞUŞ T. - GENEL</v>
      </c>
      <c r="F19" s="91" t="s">
        <v>30</v>
      </c>
      <c r="G19" t="str">
        <f>+_xlfn.XLOOKUP(F19,'M2'!B:B,'M2'!C:C)</f>
        <v>DOĞUŞ TEKNİK</v>
      </c>
      <c r="H19" s="3" t="s">
        <v>32</v>
      </c>
      <c r="I19" s="3" t="s">
        <v>55</v>
      </c>
      <c r="J19" s="124">
        <v>16466.210999999999</v>
      </c>
      <c r="K19" s="124">
        <f t="shared" si="2"/>
        <v>13183.674599999998</v>
      </c>
      <c r="L19" s="6">
        <f t="shared" si="0"/>
        <v>0</v>
      </c>
      <c r="M19" s="124">
        <v>16466.21</v>
      </c>
      <c r="R19" s="9">
        <v>0</v>
      </c>
      <c r="S19" s="9">
        <v>0</v>
      </c>
      <c r="T19" s="9">
        <v>230.51300000000001</v>
      </c>
      <c r="U19" s="9">
        <v>683.12693500724981</v>
      </c>
      <c r="V19" s="9">
        <v>1350.4244649927509</v>
      </c>
      <c r="W19" s="9">
        <v>1018.4710000000005</v>
      </c>
      <c r="X19" s="10">
        <f t="shared" si="15"/>
        <v>651.90797139072902</v>
      </c>
      <c r="Y19" s="9">
        <f t="shared" si="16"/>
        <v>1024.4268121854311</v>
      </c>
      <c r="Z19" s="9">
        <f t="shared" si="17"/>
        <v>942.93831576158891</v>
      </c>
      <c r="AA19" s="9">
        <f t="shared" si="18"/>
        <v>512.21340609271476</v>
      </c>
      <c r="AB19" s="9">
        <f t="shared" si="18"/>
        <v>512.21340609271476</v>
      </c>
      <c r="AC19" s="9">
        <f t="shared" si="18"/>
        <v>512.21340609271476</v>
      </c>
      <c r="AD19" s="9">
        <f t="shared" si="18"/>
        <v>512.21340609271476</v>
      </c>
      <c r="AE19" s="9">
        <f t="shared" si="18"/>
        <v>512.21340609271476</v>
      </c>
      <c r="AF19" s="9">
        <f t="shared" si="19"/>
        <v>384.1600545695361</v>
      </c>
      <c r="AG19" s="9">
        <f t="shared" si="20"/>
        <v>512.21340609271476</v>
      </c>
      <c r="AH19" s="9">
        <f t="shared" si="21"/>
        <v>384.1600545695361</v>
      </c>
      <c r="AI19" s="9">
        <f t="shared" si="22"/>
        <v>512.21340609271476</v>
      </c>
      <c r="AJ19" s="9">
        <f t="shared" si="22"/>
        <v>512.21340609271476</v>
      </c>
      <c r="AK19" s="9">
        <f t="shared" si="22"/>
        <v>512.21340609271476</v>
      </c>
      <c r="AL19" s="9">
        <f t="shared" si="22"/>
        <v>512.21340609271476</v>
      </c>
      <c r="AM19" s="9">
        <f t="shared" si="22"/>
        <v>512.21340609271476</v>
      </c>
      <c r="AN19" s="9">
        <f t="shared" si="22"/>
        <v>512.21340609271476</v>
      </c>
      <c r="AO19" s="9">
        <f t="shared" si="22"/>
        <v>512.21340609271476</v>
      </c>
      <c r="AP19" s="9">
        <f t="shared" si="22"/>
        <v>512.21340609271476</v>
      </c>
      <c r="AQ19" s="9">
        <f t="shared" si="23"/>
        <v>384.1600545695361</v>
      </c>
      <c r="AR19" s="9">
        <f t="shared" si="24"/>
        <v>454.0073372185426</v>
      </c>
      <c r="AS19" s="9">
        <f t="shared" si="25"/>
        <v>279.38913059602709</v>
      </c>
      <c r="AT19" s="9">
        <f t="shared" si="26"/>
        <v>209.54184794701933</v>
      </c>
      <c r="AU19" s="9">
        <f t="shared" si="27"/>
        <v>279.38913059602709</v>
      </c>
      <c r="AV19" s="9">
        <f t="shared" si="27"/>
        <v>279.38913059602709</v>
      </c>
      <c r="AW19" s="9">
        <f t="shared" si="27"/>
        <v>279.38913059602709</v>
      </c>
      <c r="AX19" s="9">
        <f t="shared" si="27"/>
        <v>279.38913059602709</v>
      </c>
      <c r="AY19" s="9">
        <f t="shared" si="28"/>
        <v>180.43881350993323</v>
      </c>
      <c r="AZ19" s="9">
        <v>0</v>
      </c>
    </row>
    <row r="20" spans="1:52">
      <c r="A20" s="3" t="s">
        <v>66</v>
      </c>
      <c r="B20" t="s">
        <v>22</v>
      </c>
      <c r="C20" t="str">
        <f>+_xlfn.XLOOKUP(B20,'L4'!B:B,'L4'!C:C)</f>
        <v>TÜNELLERDE SN KAYA BULONU YAPILMASI</v>
      </c>
      <c r="D20" t="s">
        <v>72</v>
      </c>
      <c r="E20" t="str">
        <f>+_xlfn.XLOOKUP(D20,'M2'!H:H,'M2'!I:I)</f>
        <v>DOĞUŞ T. - GENEL</v>
      </c>
      <c r="F20" s="91" t="s">
        <v>30</v>
      </c>
      <c r="G20" t="str">
        <f>+_xlfn.XLOOKUP(F20,'M2'!B:B,'M2'!C:C)</f>
        <v>DOĞUŞ TEKNİK</v>
      </c>
      <c r="H20" s="3" t="s">
        <v>32</v>
      </c>
      <c r="I20" s="3" t="s">
        <v>56</v>
      </c>
      <c r="J20" s="124">
        <v>125546.45600000001</v>
      </c>
      <c r="K20" s="124">
        <f t="shared" si="2"/>
        <v>125546.46</v>
      </c>
      <c r="L20" s="6">
        <f t="shared" si="0"/>
        <v>0</v>
      </c>
      <c r="M20" s="124">
        <v>125546.46</v>
      </c>
      <c r="R20" s="9">
        <v>0</v>
      </c>
      <c r="S20" s="9">
        <v>0</v>
      </c>
      <c r="T20" s="9">
        <v>0</v>
      </c>
      <c r="U20" s="9">
        <v>0</v>
      </c>
      <c r="V20" s="9">
        <v>0</v>
      </c>
      <c r="W20" s="9">
        <v>0</v>
      </c>
      <c r="X20" s="10">
        <f t="shared" si="15"/>
        <v>6208.0368741721923</v>
      </c>
      <c r="Y20" s="9">
        <f t="shared" si="16"/>
        <v>9755.4865165562987</v>
      </c>
      <c r="Z20" s="9">
        <f t="shared" si="17"/>
        <v>8979.4819072847658</v>
      </c>
      <c r="AA20" s="9">
        <f t="shared" si="18"/>
        <v>4877.7432582781421</v>
      </c>
      <c r="AB20" s="9">
        <f t="shared" si="18"/>
        <v>4877.7432582781421</v>
      </c>
      <c r="AC20" s="9">
        <f t="shared" si="18"/>
        <v>4877.7432582781421</v>
      </c>
      <c r="AD20" s="9">
        <f t="shared" si="18"/>
        <v>4877.7432582781421</v>
      </c>
      <c r="AE20" s="9">
        <f t="shared" si="18"/>
        <v>4877.7432582781421</v>
      </c>
      <c r="AF20" s="9">
        <f t="shared" si="19"/>
        <v>3658.307443708607</v>
      </c>
      <c r="AG20" s="9">
        <f t="shared" si="20"/>
        <v>4877.7432582781421</v>
      </c>
      <c r="AH20" s="9">
        <f t="shared" si="21"/>
        <v>3658.307443708607</v>
      </c>
      <c r="AI20" s="9">
        <f t="shared" si="22"/>
        <v>4877.7432582781421</v>
      </c>
      <c r="AJ20" s="9">
        <f t="shared" si="22"/>
        <v>4877.7432582781421</v>
      </c>
      <c r="AK20" s="9">
        <f t="shared" si="22"/>
        <v>4877.7432582781421</v>
      </c>
      <c r="AL20" s="9">
        <f t="shared" si="22"/>
        <v>4877.7432582781421</v>
      </c>
      <c r="AM20" s="9">
        <f t="shared" si="22"/>
        <v>4877.7432582781421</v>
      </c>
      <c r="AN20" s="9">
        <f t="shared" si="22"/>
        <v>4877.7432582781421</v>
      </c>
      <c r="AO20" s="9">
        <f t="shared" si="22"/>
        <v>4877.7432582781421</v>
      </c>
      <c r="AP20" s="9">
        <f t="shared" si="22"/>
        <v>4877.7432582781421</v>
      </c>
      <c r="AQ20" s="9">
        <f t="shared" si="23"/>
        <v>3658.307443708607</v>
      </c>
      <c r="AR20" s="9">
        <f t="shared" si="24"/>
        <v>4323.4542516556257</v>
      </c>
      <c r="AS20" s="9">
        <f t="shared" si="25"/>
        <v>2660.5872317880858</v>
      </c>
      <c r="AT20" s="9">
        <f t="shared" si="26"/>
        <v>1995.440423841055</v>
      </c>
      <c r="AU20" s="9">
        <f t="shared" si="27"/>
        <v>2660.5872317880858</v>
      </c>
      <c r="AV20" s="9">
        <f t="shared" si="27"/>
        <v>2660.5872317880858</v>
      </c>
      <c r="AW20" s="9">
        <f t="shared" si="27"/>
        <v>2660.5872317880858</v>
      </c>
      <c r="AX20" s="9">
        <f t="shared" si="27"/>
        <v>2660.5872317880858</v>
      </c>
      <c r="AY20" s="9">
        <f t="shared" si="28"/>
        <v>1718.2959205297964</v>
      </c>
      <c r="AZ20" s="9">
        <v>0</v>
      </c>
    </row>
    <row r="21" spans="1:52">
      <c r="A21" s="3" t="s">
        <v>66</v>
      </c>
      <c r="B21" t="s">
        <v>23</v>
      </c>
      <c r="C21" t="str">
        <f>+_xlfn.XLOOKUP(B21,'L4'!B:B,'L4'!C:C)</f>
        <v>TÜNELLERDE IBO BULONU YAPILMASI (MLZ.+İŞÇ.)</v>
      </c>
      <c r="D21" t="s">
        <v>72</v>
      </c>
      <c r="E21" t="str">
        <f>+_xlfn.XLOOKUP(D21,'M2'!H:H,'M2'!I:I)</f>
        <v>DOĞUŞ T. - GENEL</v>
      </c>
      <c r="F21" s="91" t="s">
        <v>30</v>
      </c>
      <c r="G21" t="str">
        <f>+_xlfn.XLOOKUP(F21,'M2'!B:B,'M2'!C:C)</f>
        <v>DOĞUŞ TEKNİK</v>
      </c>
      <c r="H21" s="3" t="s">
        <v>32</v>
      </c>
      <c r="I21" s="3" t="s">
        <v>57</v>
      </c>
      <c r="J21" s="124">
        <v>0</v>
      </c>
      <c r="K21" s="124">
        <f t="shared" si="2"/>
        <v>25913</v>
      </c>
      <c r="L21" s="6">
        <f t="shared" si="0"/>
        <v>0</v>
      </c>
      <c r="M21" s="124">
        <v>100000</v>
      </c>
      <c r="R21" s="9">
        <v>252</v>
      </c>
      <c r="S21" s="9">
        <v>5652</v>
      </c>
      <c r="T21" s="9">
        <v>7524</v>
      </c>
      <c r="U21" s="9">
        <v>14649</v>
      </c>
      <c r="V21" s="9">
        <v>21549</v>
      </c>
      <c r="W21" s="9">
        <v>24461</v>
      </c>
      <c r="X21" s="10">
        <f t="shared" si="15"/>
        <v>1281.3492273730697</v>
      </c>
      <c r="Y21" s="9">
        <f t="shared" si="16"/>
        <v>2013.5487858719662</v>
      </c>
      <c r="Z21" s="9">
        <f t="shared" si="17"/>
        <v>1853.3801324503304</v>
      </c>
      <c r="AA21" s="9">
        <f t="shared" si="18"/>
        <v>1006.7743929359816</v>
      </c>
      <c r="AB21" s="9">
        <f t="shared" si="18"/>
        <v>1006.7743929359816</v>
      </c>
      <c r="AC21" s="9">
        <f t="shared" si="18"/>
        <v>1006.7743929359816</v>
      </c>
      <c r="AD21" s="9">
        <f t="shared" si="18"/>
        <v>1006.7743929359816</v>
      </c>
      <c r="AE21" s="9">
        <f t="shared" si="18"/>
        <v>1006.7743929359816</v>
      </c>
      <c r="AF21" s="9">
        <f t="shared" si="19"/>
        <v>755.08079470198629</v>
      </c>
      <c r="AG21" s="9">
        <f t="shared" si="20"/>
        <v>1006.7743929359816</v>
      </c>
      <c r="AH21" s="9">
        <f t="shared" si="21"/>
        <v>755.08079470198629</v>
      </c>
      <c r="AI21" s="9">
        <f t="shared" si="22"/>
        <v>1006.7743929359816</v>
      </c>
      <c r="AJ21" s="9">
        <f t="shared" si="22"/>
        <v>1006.7743929359816</v>
      </c>
      <c r="AK21" s="9">
        <f t="shared" si="22"/>
        <v>1006.7743929359816</v>
      </c>
      <c r="AL21" s="9">
        <f t="shared" si="22"/>
        <v>1006.7743929359816</v>
      </c>
      <c r="AM21" s="9">
        <f t="shared" si="22"/>
        <v>1006.7743929359816</v>
      </c>
      <c r="AN21" s="9">
        <f t="shared" si="22"/>
        <v>1006.7743929359816</v>
      </c>
      <c r="AO21" s="9">
        <f t="shared" si="22"/>
        <v>1006.7743929359816</v>
      </c>
      <c r="AP21" s="9">
        <f t="shared" si="22"/>
        <v>1006.7743929359816</v>
      </c>
      <c r="AQ21" s="9">
        <f t="shared" si="23"/>
        <v>755.08079470198629</v>
      </c>
      <c r="AR21" s="9">
        <f t="shared" si="24"/>
        <v>892.36821192052901</v>
      </c>
      <c r="AS21" s="9">
        <f t="shared" si="25"/>
        <v>549.14966887417347</v>
      </c>
      <c r="AT21" s="9">
        <f t="shared" si="26"/>
        <v>411.86225165562814</v>
      </c>
      <c r="AU21" s="9">
        <f t="shared" si="27"/>
        <v>549.14966887417347</v>
      </c>
      <c r="AV21" s="9">
        <f t="shared" si="27"/>
        <v>549.14966887417347</v>
      </c>
      <c r="AW21" s="9">
        <f t="shared" si="27"/>
        <v>549.14966887417347</v>
      </c>
      <c r="AX21" s="9">
        <f t="shared" si="27"/>
        <v>549.14966887417347</v>
      </c>
      <c r="AY21" s="9">
        <f t="shared" si="28"/>
        <v>354.65916114790184</v>
      </c>
      <c r="AZ21" s="9">
        <v>0</v>
      </c>
    </row>
    <row r="22" spans="1:52">
      <c r="A22" s="3" t="s">
        <v>66</v>
      </c>
      <c r="B22" t="s">
        <v>24</v>
      </c>
      <c r="C22" t="str">
        <f>+_xlfn.XLOOKUP(B22,'L4'!B:B,'L4'!C:C)</f>
        <v>SU YALITIMI  - TÜNELLERDE</v>
      </c>
      <c r="D22" t="s">
        <v>72</v>
      </c>
      <c r="E22" t="str">
        <f>+_xlfn.XLOOKUP(D22,'M2'!H:H,'M2'!I:I)</f>
        <v>DOĞUŞ T. - GENEL</v>
      </c>
      <c r="F22" s="91" t="s">
        <v>30</v>
      </c>
      <c r="G22" t="str">
        <f>+_xlfn.XLOOKUP(F22,'M2'!B:B,'M2'!C:C)</f>
        <v>DOĞUŞ TEKNİK</v>
      </c>
      <c r="H22" s="3" t="s">
        <v>32</v>
      </c>
      <c r="I22" s="3" t="s">
        <v>58</v>
      </c>
      <c r="J22" s="124">
        <v>60260.07</v>
      </c>
      <c r="K22" s="124">
        <f t="shared" si="2"/>
        <v>60260.07</v>
      </c>
      <c r="L22" s="6">
        <f t="shared" si="0"/>
        <v>1.0913936421275139E-10</v>
      </c>
      <c r="M22" s="124">
        <v>60260.07</v>
      </c>
      <c r="R22" s="9">
        <v>0</v>
      </c>
      <c r="S22" s="9">
        <v>0</v>
      </c>
      <c r="T22" s="9">
        <v>0</v>
      </c>
      <c r="U22" s="9">
        <v>0</v>
      </c>
      <c r="V22" s="9">
        <v>0</v>
      </c>
      <c r="W22" s="9">
        <v>0</v>
      </c>
      <c r="X22" s="10">
        <f t="shared" ref="X22:Z23" si="29">(+$K22)*0</f>
        <v>0</v>
      </c>
      <c r="Y22" s="9">
        <f t="shared" si="29"/>
        <v>0</v>
      </c>
      <c r="Z22" s="9">
        <f t="shared" si="29"/>
        <v>0</v>
      </c>
      <c r="AA22" s="9">
        <f>(+$K22)*0.0389105058365759</f>
        <v>2344.7498054474722</v>
      </c>
      <c r="AB22" s="9">
        <f>(+$K22)*0.0700389105058366</f>
        <v>4220.549649805449</v>
      </c>
      <c r="AC22" s="9">
        <f>(+$K22)*0.0194552529182879</f>
        <v>1172.3749027237332</v>
      </c>
      <c r="AD22" s="9">
        <f t="shared" ref="AD22:AR23" si="30">(+$K22)*0</f>
        <v>0</v>
      </c>
      <c r="AE22" s="9">
        <f t="shared" si="30"/>
        <v>0</v>
      </c>
      <c r="AF22" s="9">
        <f t="shared" si="30"/>
        <v>0</v>
      </c>
      <c r="AG22" s="9">
        <f t="shared" si="30"/>
        <v>0</v>
      </c>
      <c r="AH22" s="9">
        <f t="shared" si="30"/>
        <v>0</v>
      </c>
      <c r="AI22" s="9">
        <f t="shared" si="30"/>
        <v>0</v>
      </c>
      <c r="AJ22" s="9">
        <f t="shared" si="30"/>
        <v>0</v>
      </c>
      <c r="AK22" s="9">
        <f t="shared" si="30"/>
        <v>0</v>
      </c>
      <c r="AL22" s="9">
        <f t="shared" si="30"/>
        <v>0</v>
      </c>
      <c r="AM22" s="9">
        <f t="shared" si="30"/>
        <v>0</v>
      </c>
      <c r="AN22" s="9">
        <f t="shared" si="30"/>
        <v>0</v>
      </c>
      <c r="AO22" s="9">
        <f t="shared" si="30"/>
        <v>0</v>
      </c>
      <c r="AP22" s="9">
        <f t="shared" si="30"/>
        <v>0</v>
      </c>
      <c r="AQ22" s="9">
        <f t="shared" si="30"/>
        <v>0</v>
      </c>
      <c r="AR22" s="9">
        <f t="shared" si="30"/>
        <v>0</v>
      </c>
      <c r="AS22" s="9">
        <f>(+$K22)*0.0466926070038911</f>
        <v>2813.6997665369681</v>
      </c>
      <c r="AT22" s="9">
        <f>(+$K22)*0.0649805447470817</f>
        <v>3915.7321750972756</v>
      </c>
      <c r="AU22" s="9">
        <f t="shared" ref="AU22:AY23" si="31">(+$K22)*0.140856031128405</f>
        <v>8487.9942957198637</v>
      </c>
      <c r="AV22" s="9">
        <f t="shared" si="31"/>
        <v>8487.9942957198637</v>
      </c>
      <c r="AW22" s="9">
        <f t="shared" si="31"/>
        <v>8487.9942957198637</v>
      </c>
      <c r="AX22" s="9">
        <f t="shared" si="31"/>
        <v>8487.9942957198637</v>
      </c>
      <c r="AY22" s="9">
        <f t="shared" si="31"/>
        <v>8487.9942957198637</v>
      </c>
      <c r="AZ22" s="9">
        <f>(+$K22)*0.0556420233463035</f>
        <v>3352.9922217898829</v>
      </c>
    </row>
    <row r="23" spans="1:52">
      <c r="A23" s="3" t="s">
        <v>66</v>
      </c>
      <c r="B23" t="s">
        <v>25</v>
      </c>
      <c r="C23" t="str">
        <f>+_xlfn.XLOOKUP(B23,'L4'!B:B,'L4'!C:C)</f>
        <v>TÜNELLERDE NIHAI BETON KAPLAMASI - C25/30</v>
      </c>
      <c r="D23" t="s">
        <v>72</v>
      </c>
      <c r="E23" t="str">
        <f>+_xlfn.XLOOKUP(D23,'M2'!H:H,'M2'!I:I)</f>
        <v>DOĞUŞ T. - GENEL</v>
      </c>
      <c r="F23" s="91" t="s">
        <v>30</v>
      </c>
      <c r="G23" t="str">
        <f>+_xlfn.XLOOKUP(F23,'M2'!B:B,'M2'!C:C)</f>
        <v>DOĞUŞ TEKNİK</v>
      </c>
      <c r="H23" s="3" t="s">
        <v>32</v>
      </c>
      <c r="I23" s="3" t="s">
        <v>59</v>
      </c>
      <c r="J23" s="124">
        <v>38977.18</v>
      </c>
      <c r="K23" s="124">
        <f t="shared" si="2"/>
        <v>38977.18</v>
      </c>
      <c r="L23" s="6">
        <f t="shared" si="0"/>
        <v>7.2759576141834259E-11</v>
      </c>
      <c r="M23" s="124">
        <v>38977.18</v>
      </c>
      <c r="R23" s="9">
        <v>0</v>
      </c>
      <c r="S23" s="9">
        <v>0</v>
      </c>
      <c r="T23" s="9">
        <v>0</v>
      </c>
      <c r="U23" s="9">
        <v>0</v>
      </c>
      <c r="V23" s="9">
        <v>0</v>
      </c>
      <c r="W23" s="9">
        <v>0</v>
      </c>
      <c r="X23" s="10">
        <f t="shared" si="29"/>
        <v>0</v>
      </c>
      <c r="Y23" s="9">
        <f t="shared" si="29"/>
        <v>0</v>
      </c>
      <c r="Z23" s="9">
        <f t="shared" si="29"/>
        <v>0</v>
      </c>
      <c r="AA23" s="9">
        <f>(+$K23)*0.0389105058365759</f>
        <v>1516.6217898832692</v>
      </c>
      <c r="AB23" s="9">
        <f>(+$K23)*0.0700389105058366</f>
        <v>2729.9192217898844</v>
      </c>
      <c r="AC23" s="9">
        <f>(+$K23)*0.0194552529182879</f>
        <v>758.3108949416328</v>
      </c>
      <c r="AD23" s="9">
        <f t="shared" si="30"/>
        <v>0</v>
      </c>
      <c r="AE23" s="9">
        <f t="shared" si="30"/>
        <v>0</v>
      </c>
      <c r="AF23" s="9">
        <f t="shared" si="30"/>
        <v>0</v>
      </c>
      <c r="AG23" s="9">
        <f t="shared" si="30"/>
        <v>0</v>
      </c>
      <c r="AH23" s="9">
        <f t="shared" si="30"/>
        <v>0</v>
      </c>
      <c r="AI23" s="9">
        <f t="shared" si="30"/>
        <v>0</v>
      </c>
      <c r="AJ23" s="9">
        <f t="shared" si="30"/>
        <v>0</v>
      </c>
      <c r="AK23" s="9">
        <f t="shared" si="30"/>
        <v>0</v>
      </c>
      <c r="AL23" s="9">
        <f t="shared" si="30"/>
        <v>0</v>
      </c>
      <c r="AM23" s="9">
        <f t="shared" si="30"/>
        <v>0</v>
      </c>
      <c r="AN23" s="9">
        <f t="shared" si="30"/>
        <v>0</v>
      </c>
      <c r="AO23" s="9">
        <f t="shared" si="30"/>
        <v>0</v>
      </c>
      <c r="AP23" s="9">
        <f t="shared" si="30"/>
        <v>0</v>
      </c>
      <c r="AQ23" s="9">
        <f t="shared" si="30"/>
        <v>0</v>
      </c>
      <c r="AR23" s="9">
        <f t="shared" si="30"/>
        <v>0</v>
      </c>
      <c r="AS23" s="9">
        <f>(+$K23)*0.0466926070038911</f>
        <v>1819.9461478599242</v>
      </c>
      <c r="AT23" s="9">
        <f>(+$K23)*0.0649805447470817</f>
        <v>2532.7583891050581</v>
      </c>
      <c r="AU23" s="9">
        <f t="shared" si="31"/>
        <v>5490.1708793774451</v>
      </c>
      <c r="AV23" s="9">
        <f t="shared" si="31"/>
        <v>5490.1708793774451</v>
      </c>
      <c r="AW23" s="9">
        <f t="shared" si="31"/>
        <v>5490.1708793774451</v>
      </c>
      <c r="AX23" s="9">
        <f t="shared" si="31"/>
        <v>5490.1708793774451</v>
      </c>
      <c r="AY23" s="9">
        <f t="shared" si="31"/>
        <v>5490.1708793774451</v>
      </c>
      <c r="AZ23" s="9">
        <f>(+$K23)*0.0556420233463035</f>
        <v>2168.7691595330739</v>
      </c>
    </row>
    <row r="24" spans="1:52">
      <c r="A24" s="3" t="s">
        <v>66</v>
      </c>
      <c r="B24" t="s">
        <v>26</v>
      </c>
      <c r="C24" t="str">
        <f>+_xlfn.XLOOKUP(B24,'L4'!B:B,'L4'!C:C)</f>
        <v>PREKAST KABLO KANALI YAPILMASI</v>
      </c>
      <c r="D24" t="s">
        <v>72</v>
      </c>
      <c r="E24" t="str">
        <f>+_xlfn.XLOOKUP(D24,'M2'!H:H,'M2'!I:I)</f>
        <v>DOĞUŞ T. - GENEL</v>
      </c>
      <c r="F24" s="91" t="s">
        <v>30</v>
      </c>
      <c r="G24" t="str">
        <f>+_xlfn.XLOOKUP(F24,'M2'!B:B,'M2'!C:C)</f>
        <v>DOĞUŞ TEKNİK</v>
      </c>
      <c r="H24" s="3" t="s">
        <v>32</v>
      </c>
      <c r="I24" s="3" t="s">
        <v>60</v>
      </c>
      <c r="J24" s="124">
        <v>3300</v>
      </c>
      <c r="K24" s="124">
        <f t="shared" si="2"/>
        <v>3300</v>
      </c>
      <c r="L24" s="6">
        <f t="shared" si="0"/>
        <v>0</v>
      </c>
      <c r="M24" s="124">
        <v>3300</v>
      </c>
      <c r="R24" s="9">
        <v>0</v>
      </c>
      <c r="S24" s="9">
        <v>0</v>
      </c>
      <c r="T24" s="9">
        <v>0</v>
      </c>
      <c r="U24" s="9">
        <v>0</v>
      </c>
      <c r="V24" s="9">
        <v>0</v>
      </c>
      <c r="W24" s="9">
        <v>0</v>
      </c>
      <c r="X24" s="10">
        <f>(+$K24)*0.0494481236203091</f>
        <v>163.17880794702003</v>
      </c>
      <c r="Y24" s="9">
        <f>(+$K24)*0.0777041942604857</f>
        <v>256.42384105960281</v>
      </c>
      <c r="Z24" s="9">
        <f>(+$K24)*0.071523178807947</f>
        <v>236.02649006622508</v>
      </c>
      <c r="AA24" s="9">
        <f t="shared" ref="AA24:AE27" si="32">(+$K24)*0.0388520971302428</f>
        <v>128.21192052980123</v>
      </c>
      <c r="AB24" s="9">
        <f t="shared" si="32"/>
        <v>128.21192052980123</v>
      </c>
      <c r="AC24" s="9">
        <f t="shared" si="32"/>
        <v>128.21192052980123</v>
      </c>
      <c r="AD24" s="9">
        <f t="shared" si="32"/>
        <v>128.21192052980123</v>
      </c>
      <c r="AE24" s="9">
        <f t="shared" si="32"/>
        <v>128.21192052980123</v>
      </c>
      <c r="AF24" s="9">
        <f>(+$K24)*0.0291390728476821</f>
        <v>96.158940397350932</v>
      </c>
      <c r="AG24" s="9">
        <f>(+$K24)*0.0388520971302428</f>
        <v>128.21192052980123</v>
      </c>
      <c r="AH24" s="9">
        <f>(+$K24)*0.0291390728476821</f>
        <v>96.158940397350932</v>
      </c>
      <c r="AI24" s="9">
        <f t="shared" ref="AI24:AP27" si="33">(+$K24)*0.0388520971302428</f>
        <v>128.21192052980123</v>
      </c>
      <c r="AJ24" s="9">
        <f t="shared" si="33"/>
        <v>128.21192052980123</v>
      </c>
      <c r="AK24" s="9">
        <f t="shared" si="33"/>
        <v>128.21192052980123</v>
      </c>
      <c r="AL24" s="9">
        <f t="shared" si="33"/>
        <v>128.21192052980123</v>
      </c>
      <c r="AM24" s="9">
        <f t="shared" si="33"/>
        <v>128.21192052980123</v>
      </c>
      <c r="AN24" s="9">
        <f t="shared" si="33"/>
        <v>128.21192052980123</v>
      </c>
      <c r="AO24" s="9">
        <f t="shared" si="33"/>
        <v>128.21192052980123</v>
      </c>
      <c r="AP24" s="9">
        <f t="shared" si="33"/>
        <v>128.21192052980123</v>
      </c>
      <c r="AQ24" s="9">
        <f>(+$K24)*0.0291390728476821</f>
        <v>96.158940397350932</v>
      </c>
      <c r="AR24" s="9">
        <f>(+$K24)*0.0344370860927152</f>
        <v>113.64238410596016</v>
      </c>
      <c r="AS24" s="9">
        <f>(+$K24)*0.0211920529801325</f>
        <v>69.933774834437244</v>
      </c>
      <c r="AT24" s="9">
        <f>(+$K24)*0.0158940397350993</f>
        <v>52.450331125827688</v>
      </c>
      <c r="AU24" s="9">
        <f t="shared" ref="AU24:AX27" si="34">(+$K24)*0.0211920529801325</f>
        <v>69.933774834437244</v>
      </c>
      <c r="AV24" s="9">
        <f t="shared" si="34"/>
        <v>69.933774834437244</v>
      </c>
      <c r="AW24" s="9">
        <f t="shared" si="34"/>
        <v>69.933774834437244</v>
      </c>
      <c r="AX24" s="9">
        <f t="shared" si="34"/>
        <v>69.933774834437244</v>
      </c>
      <c r="AY24" s="9">
        <f>(+$K24)*0.0136865342163355</f>
        <v>45.165562913907152</v>
      </c>
      <c r="AZ24" s="9">
        <v>0</v>
      </c>
    </row>
    <row r="25" spans="1:52">
      <c r="A25" s="3" t="s">
        <v>66</v>
      </c>
      <c r="B25" t="s">
        <v>27</v>
      </c>
      <c r="C25" t="str">
        <f>+_xlfn.XLOOKUP(B25,'L4'!B:B,'L4'!C:C)</f>
        <v>TÜNELDE ENJEKSIYON YAPILMASI</v>
      </c>
      <c r="D25" t="s">
        <v>72</v>
      </c>
      <c r="E25" t="str">
        <f>+_xlfn.XLOOKUP(D25,'M2'!H:H,'M2'!I:I)</f>
        <v>DOĞUŞ T. - GENEL</v>
      </c>
      <c r="F25" s="91" t="s">
        <v>30</v>
      </c>
      <c r="G25" t="str">
        <f>+_xlfn.XLOOKUP(F25,'M2'!B:B,'M2'!C:C)</f>
        <v>DOĞUŞ TEKNİK</v>
      </c>
      <c r="H25" s="3" t="s">
        <v>32</v>
      </c>
      <c r="I25" s="3" t="s">
        <v>61</v>
      </c>
      <c r="J25" s="124">
        <v>6609.9250000000002</v>
      </c>
      <c r="K25" s="124">
        <f t="shared" si="2"/>
        <v>212</v>
      </c>
      <c r="L25" s="6">
        <f t="shared" si="0"/>
        <v>0</v>
      </c>
      <c r="M25" s="124">
        <v>212</v>
      </c>
      <c r="R25" s="9">
        <v>0</v>
      </c>
      <c r="S25" s="9">
        <v>0</v>
      </c>
      <c r="T25" s="9">
        <v>0</v>
      </c>
      <c r="U25" s="9">
        <v>0</v>
      </c>
      <c r="V25" s="9">
        <v>0</v>
      </c>
      <c r="W25" s="9">
        <v>0</v>
      </c>
      <c r="X25" s="10">
        <f>(+$K25)*0.0494481236203091</f>
        <v>10.483002207505528</v>
      </c>
      <c r="Y25" s="9">
        <f>(+$K25)*0.0777041942604857</f>
        <v>16.47328918322297</v>
      </c>
      <c r="Z25" s="9">
        <f>(+$K25)*0.071523178807947</f>
        <v>15.162913907284763</v>
      </c>
      <c r="AA25" s="9">
        <f t="shared" si="32"/>
        <v>8.2366445916114728</v>
      </c>
      <c r="AB25" s="9">
        <f t="shared" si="32"/>
        <v>8.2366445916114728</v>
      </c>
      <c r="AC25" s="9">
        <f t="shared" si="32"/>
        <v>8.2366445916114728</v>
      </c>
      <c r="AD25" s="9">
        <f t="shared" si="32"/>
        <v>8.2366445916114728</v>
      </c>
      <c r="AE25" s="9">
        <f t="shared" si="32"/>
        <v>8.2366445916114728</v>
      </c>
      <c r="AF25" s="9">
        <f>(+$K25)*0.0291390728476821</f>
        <v>6.1774834437086055</v>
      </c>
      <c r="AG25" s="9">
        <f>(+$K25)*0.0388520971302428</f>
        <v>8.2366445916114728</v>
      </c>
      <c r="AH25" s="9">
        <f>(+$K25)*0.0291390728476821</f>
        <v>6.1774834437086055</v>
      </c>
      <c r="AI25" s="9">
        <f t="shared" si="33"/>
        <v>8.2366445916114728</v>
      </c>
      <c r="AJ25" s="9">
        <f t="shared" si="33"/>
        <v>8.2366445916114728</v>
      </c>
      <c r="AK25" s="9">
        <f t="shared" si="33"/>
        <v>8.2366445916114728</v>
      </c>
      <c r="AL25" s="9">
        <f t="shared" si="33"/>
        <v>8.2366445916114728</v>
      </c>
      <c r="AM25" s="9">
        <f t="shared" si="33"/>
        <v>8.2366445916114728</v>
      </c>
      <c r="AN25" s="9">
        <f t="shared" si="33"/>
        <v>8.2366445916114728</v>
      </c>
      <c r="AO25" s="9">
        <f t="shared" si="33"/>
        <v>8.2366445916114728</v>
      </c>
      <c r="AP25" s="9">
        <f t="shared" si="33"/>
        <v>8.2366445916114728</v>
      </c>
      <c r="AQ25" s="9">
        <f>(+$K25)*0.0291390728476821</f>
        <v>6.1774834437086055</v>
      </c>
      <c r="AR25" s="9">
        <f>(+$K25)*0.0344370860927152</f>
        <v>7.3006622516556225</v>
      </c>
      <c r="AS25" s="9">
        <f>(+$K25)*0.0211920529801325</f>
        <v>4.4927152317880896</v>
      </c>
      <c r="AT25" s="9">
        <f>(+$K25)*0.0158940397350993</f>
        <v>3.3695364238410517</v>
      </c>
      <c r="AU25" s="9">
        <f t="shared" si="34"/>
        <v>4.4927152317880896</v>
      </c>
      <c r="AV25" s="9">
        <f t="shared" si="34"/>
        <v>4.4927152317880896</v>
      </c>
      <c r="AW25" s="9">
        <f t="shared" si="34"/>
        <v>4.4927152317880896</v>
      </c>
      <c r="AX25" s="9">
        <f t="shared" si="34"/>
        <v>4.4927152317880896</v>
      </c>
      <c r="AY25" s="9">
        <f>(+$K25)*0.0136865342163355</f>
        <v>2.9015452538631261</v>
      </c>
      <c r="AZ25" s="9">
        <v>0</v>
      </c>
    </row>
    <row r="26" spans="1:52">
      <c r="A26" s="3" t="s">
        <v>66</v>
      </c>
      <c r="B26" t="s">
        <v>28</v>
      </c>
      <c r="C26" t="str">
        <f>+_xlfn.XLOOKUP(B26,'L4'!B:B,'L4'!C:C)</f>
        <v>ENJEKSIYON AMAÇLI DELIK AÇILMASI</v>
      </c>
      <c r="D26" t="s">
        <v>72</v>
      </c>
      <c r="E26" t="str">
        <f>+_xlfn.XLOOKUP(D26,'M2'!H:H,'M2'!I:I)</f>
        <v>DOĞUŞ T. - GENEL</v>
      </c>
      <c r="F26" s="91" t="s">
        <v>30</v>
      </c>
      <c r="G26" t="str">
        <f>+_xlfn.XLOOKUP(F26,'M2'!B:B,'M2'!C:C)</f>
        <v>DOĞUŞ TEKNİK</v>
      </c>
      <c r="H26" s="3" t="s">
        <v>32</v>
      </c>
      <c r="I26" s="3" t="s">
        <v>62</v>
      </c>
      <c r="J26" s="124">
        <v>24235.563999999998</v>
      </c>
      <c r="K26" s="124">
        <f t="shared" si="2"/>
        <v>1060</v>
      </c>
      <c r="L26" s="6">
        <f t="shared" si="0"/>
        <v>0</v>
      </c>
      <c r="M26" s="124">
        <v>1060</v>
      </c>
      <c r="R26" s="9">
        <v>0</v>
      </c>
      <c r="S26" s="9">
        <v>0</v>
      </c>
      <c r="T26" s="9">
        <v>0</v>
      </c>
      <c r="U26" s="9">
        <v>0</v>
      </c>
      <c r="V26" s="9">
        <v>0</v>
      </c>
      <c r="W26" s="9">
        <v>0</v>
      </c>
      <c r="X26" s="10">
        <f>(+$K26)*0.0494481236203091</f>
        <v>52.415011037527648</v>
      </c>
      <c r="Y26" s="9">
        <f>(+$K26)*0.0777041942604857</f>
        <v>82.366445916114856</v>
      </c>
      <c r="Z26" s="9">
        <f>(+$K26)*0.071523178807947</f>
        <v>75.814569536423818</v>
      </c>
      <c r="AA26" s="9">
        <f t="shared" si="32"/>
        <v>41.183222958057364</v>
      </c>
      <c r="AB26" s="9">
        <f t="shared" si="32"/>
        <v>41.183222958057364</v>
      </c>
      <c r="AC26" s="9">
        <f t="shared" si="32"/>
        <v>41.183222958057364</v>
      </c>
      <c r="AD26" s="9">
        <f t="shared" si="32"/>
        <v>41.183222958057364</v>
      </c>
      <c r="AE26" s="9">
        <f t="shared" si="32"/>
        <v>41.183222958057364</v>
      </c>
      <c r="AF26" s="9">
        <f>(+$K26)*0.0291390728476821</f>
        <v>30.887417218543025</v>
      </c>
      <c r="AG26" s="9">
        <f>(+$K26)*0.0388520971302428</f>
        <v>41.183222958057364</v>
      </c>
      <c r="AH26" s="9">
        <f>(+$K26)*0.0291390728476821</f>
        <v>30.887417218543025</v>
      </c>
      <c r="AI26" s="9">
        <f t="shared" si="33"/>
        <v>41.183222958057364</v>
      </c>
      <c r="AJ26" s="9">
        <f t="shared" si="33"/>
        <v>41.183222958057364</v>
      </c>
      <c r="AK26" s="9">
        <f t="shared" si="33"/>
        <v>41.183222958057364</v>
      </c>
      <c r="AL26" s="9">
        <f t="shared" si="33"/>
        <v>41.183222958057364</v>
      </c>
      <c r="AM26" s="9">
        <f t="shared" si="33"/>
        <v>41.183222958057364</v>
      </c>
      <c r="AN26" s="9">
        <f t="shared" si="33"/>
        <v>41.183222958057364</v>
      </c>
      <c r="AO26" s="9">
        <f t="shared" si="33"/>
        <v>41.183222958057364</v>
      </c>
      <c r="AP26" s="9">
        <f t="shared" si="33"/>
        <v>41.183222958057364</v>
      </c>
      <c r="AQ26" s="9">
        <f>(+$K26)*0.0291390728476821</f>
        <v>30.887417218543025</v>
      </c>
      <c r="AR26" s="9">
        <f>(+$K26)*0.0344370860927152</f>
        <v>36.503311258278117</v>
      </c>
      <c r="AS26" s="9">
        <f>(+$K26)*0.0211920529801325</f>
        <v>22.463576158940448</v>
      </c>
      <c r="AT26" s="9">
        <f>(+$K26)*0.0158940397350993</f>
        <v>16.847682119205256</v>
      </c>
      <c r="AU26" s="9">
        <f t="shared" si="34"/>
        <v>22.463576158940448</v>
      </c>
      <c r="AV26" s="9">
        <f t="shared" si="34"/>
        <v>22.463576158940448</v>
      </c>
      <c r="AW26" s="9">
        <f t="shared" si="34"/>
        <v>22.463576158940448</v>
      </c>
      <c r="AX26" s="9">
        <f t="shared" si="34"/>
        <v>22.463576158940448</v>
      </c>
      <c r="AY26" s="9">
        <f>(+$K26)*0.0136865342163355</f>
        <v>14.507726269315629</v>
      </c>
      <c r="AZ26" s="9">
        <v>0</v>
      </c>
    </row>
    <row r="27" spans="1:52">
      <c r="A27" s="3" t="s">
        <v>66</v>
      </c>
      <c r="B27" t="s">
        <v>29</v>
      </c>
      <c r="C27" t="str">
        <f>+_xlfn.XLOOKUP(B27,'L4'!B:B,'L4'!C:C)</f>
        <v>BETON - DEMIRSIZ - BOŞLUK / POROZ</v>
      </c>
      <c r="D27" t="s">
        <v>72</v>
      </c>
      <c r="E27" t="str">
        <f>+_xlfn.XLOOKUP(D27,'M2'!H:H,'M2'!I:I)</f>
        <v>DOĞUŞ T. - GENEL</v>
      </c>
      <c r="F27" s="91" t="s">
        <v>30</v>
      </c>
      <c r="G27" t="str">
        <f>+_xlfn.XLOOKUP(F27,'M2'!B:B,'M2'!C:C)</f>
        <v>DOĞUŞ TEKNİK</v>
      </c>
      <c r="H27" s="3" t="s">
        <v>32</v>
      </c>
      <c r="I27" s="3" t="s">
        <v>63</v>
      </c>
      <c r="J27" s="124">
        <v>172.32</v>
      </c>
      <c r="K27" s="124">
        <f t="shared" si="2"/>
        <v>172.32</v>
      </c>
      <c r="L27" s="6">
        <f t="shared" si="0"/>
        <v>0</v>
      </c>
      <c r="M27" s="124">
        <v>172.32</v>
      </c>
      <c r="R27" s="9">
        <v>0</v>
      </c>
      <c r="S27" s="9">
        <v>0</v>
      </c>
      <c r="T27" s="9">
        <v>0</v>
      </c>
      <c r="U27" s="9">
        <v>0</v>
      </c>
      <c r="V27" s="9">
        <v>0</v>
      </c>
      <c r="W27" s="9">
        <v>0</v>
      </c>
      <c r="X27" s="10">
        <f>(+$K27)*0.0494481236203091</f>
        <v>8.5209006622516643</v>
      </c>
      <c r="Y27" s="9">
        <f>(+$K27)*0.0777041942604857</f>
        <v>13.389986754966896</v>
      </c>
      <c r="Z27" s="9">
        <f>(+$K27)*0.071523178807947</f>
        <v>12.324874172185426</v>
      </c>
      <c r="AA27" s="9">
        <f t="shared" si="32"/>
        <v>6.6949933774834385</v>
      </c>
      <c r="AB27" s="9">
        <f t="shared" si="32"/>
        <v>6.6949933774834385</v>
      </c>
      <c r="AC27" s="9">
        <f t="shared" si="32"/>
        <v>6.6949933774834385</v>
      </c>
      <c r="AD27" s="9">
        <f t="shared" si="32"/>
        <v>6.6949933774834385</v>
      </c>
      <c r="AE27" s="9">
        <f t="shared" si="32"/>
        <v>6.6949933774834385</v>
      </c>
      <c r="AF27" s="9">
        <f>(+$K27)*0.0291390728476821</f>
        <v>5.0212450331125789</v>
      </c>
      <c r="AG27" s="9">
        <f>(+$K27)*0.0388520971302428</f>
        <v>6.6949933774834385</v>
      </c>
      <c r="AH27" s="9">
        <f>(+$K27)*0.0291390728476821</f>
        <v>5.0212450331125789</v>
      </c>
      <c r="AI27" s="9">
        <f t="shared" si="33"/>
        <v>6.6949933774834385</v>
      </c>
      <c r="AJ27" s="9">
        <f t="shared" si="33"/>
        <v>6.6949933774834385</v>
      </c>
      <c r="AK27" s="9">
        <f t="shared" si="33"/>
        <v>6.6949933774834385</v>
      </c>
      <c r="AL27" s="9">
        <f t="shared" si="33"/>
        <v>6.6949933774834385</v>
      </c>
      <c r="AM27" s="9">
        <f t="shared" si="33"/>
        <v>6.6949933774834385</v>
      </c>
      <c r="AN27" s="9">
        <f t="shared" si="33"/>
        <v>6.6949933774834385</v>
      </c>
      <c r="AO27" s="9">
        <f t="shared" si="33"/>
        <v>6.6949933774834385</v>
      </c>
      <c r="AP27" s="9">
        <f t="shared" si="33"/>
        <v>6.6949933774834385</v>
      </c>
      <c r="AQ27" s="9">
        <f>(+$K27)*0.0291390728476821</f>
        <v>5.0212450331125789</v>
      </c>
      <c r="AR27" s="9">
        <f>(+$K27)*0.0344370860927152</f>
        <v>5.9341986754966838</v>
      </c>
      <c r="AS27" s="9">
        <f>(+$K27)*0.0211920529801325</f>
        <v>3.6518145695364321</v>
      </c>
      <c r="AT27" s="9">
        <f>(+$K27)*0.0158940397350993</f>
        <v>2.7388609271523112</v>
      </c>
      <c r="AU27" s="9">
        <f t="shared" si="34"/>
        <v>3.6518145695364321</v>
      </c>
      <c r="AV27" s="9">
        <f t="shared" si="34"/>
        <v>3.6518145695364321</v>
      </c>
      <c r="AW27" s="9">
        <f t="shared" si="34"/>
        <v>3.6518145695364321</v>
      </c>
      <c r="AX27" s="9">
        <f t="shared" si="34"/>
        <v>3.6518145695364321</v>
      </c>
      <c r="AY27" s="9">
        <f>(+$K27)*0.0136865342163355</f>
        <v>2.3584635761589334</v>
      </c>
      <c r="AZ27" s="9">
        <v>0</v>
      </c>
    </row>
    <row r="28" spans="1:52">
      <c r="A28" s="3" t="s">
        <v>66</v>
      </c>
      <c r="B28" t="s">
        <v>2</v>
      </c>
      <c r="C28" t="str">
        <f>+_xlfn.XLOOKUP(B28,'L4'!B:B,'L4'!C:C)</f>
        <v>KAZI - YARMA VE YAN ARIYET</v>
      </c>
      <c r="D28" t="s">
        <v>71</v>
      </c>
      <c r="E28" t="str">
        <f>+_xlfn.XLOOKUP(D28,'M2'!H:H,'M2'!I:I)</f>
        <v>DOĞUŞ T. - GENEL</v>
      </c>
      <c r="F28" s="91" t="s">
        <v>30</v>
      </c>
      <c r="G28" t="str">
        <f>+_xlfn.XLOOKUP(F28,'M2'!B:B,'M2'!C:C)</f>
        <v>DOĞUŞ TEKNİK</v>
      </c>
      <c r="H28" s="3" t="s">
        <v>33</v>
      </c>
      <c r="I28" s="3" t="s">
        <v>64</v>
      </c>
      <c r="J28" s="124">
        <v>0</v>
      </c>
      <c r="K28" s="124">
        <f t="shared" si="2"/>
        <v>3761532.3049999997</v>
      </c>
      <c r="L28" s="6">
        <f t="shared" si="0"/>
        <v>0</v>
      </c>
      <c r="M28" s="124">
        <f>5130000-M2</f>
        <v>5030000</v>
      </c>
      <c r="R28" s="9">
        <v>0</v>
      </c>
      <c r="S28" s="9">
        <v>226504</v>
      </c>
      <c r="T28" s="9">
        <v>283287.908</v>
      </c>
      <c r="U28" s="9">
        <v>356674.79100000003</v>
      </c>
      <c r="V28" s="9">
        <v>234643.89099999983</v>
      </c>
      <c r="W28" s="9">
        <v>167357.10500000021</v>
      </c>
      <c r="X28" s="10">
        <f>(+$K$28)*0.0181155060191357</f>
        <v>68142.061112400872</v>
      </c>
      <c r="Y28" s="9">
        <f>(+$K$28)*0.0114109572414536</f>
        <v>42922.684294701394</v>
      </c>
      <c r="Z28" s="9">
        <f>(+$K$28)*0</f>
        <v>0</v>
      </c>
      <c r="AA28" s="9">
        <f>(+$K$28)*0</f>
        <v>0</v>
      </c>
      <c r="AB28" s="9">
        <f>(+$K$28)*0</f>
        <v>0</v>
      </c>
      <c r="AC28" s="9">
        <f>(+$K$28)*0.025879294313051</f>
        <v>97345.801589144103</v>
      </c>
      <c r="AD28" s="9">
        <f>(+$K$28)*0.0388189414695764</f>
        <v>146018.7023837158</v>
      </c>
      <c r="AE28" s="9">
        <f t="shared" ref="AE28:AL28" si="35">(+$K$28)*0.0517585886261019</f>
        <v>194691.60317828786</v>
      </c>
      <c r="AF28" s="9">
        <f t="shared" si="35"/>
        <v>194691.60317828786</v>
      </c>
      <c r="AG28" s="9">
        <f t="shared" si="35"/>
        <v>194691.60317828786</v>
      </c>
      <c r="AH28" s="9">
        <f t="shared" si="35"/>
        <v>194691.60317828786</v>
      </c>
      <c r="AI28" s="9">
        <f t="shared" si="35"/>
        <v>194691.60317828786</v>
      </c>
      <c r="AJ28" s="9">
        <f t="shared" si="35"/>
        <v>194691.60317828786</v>
      </c>
      <c r="AK28" s="9">
        <f t="shared" si="35"/>
        <v>194691.60317828786</v>
      </c>
      <c r="AL28" s="9">
        <f t="shared" si="35"/>
        <v>194691.60317828786</v>
      </c>
      <c r="AM28" s="9">
        <f>(+$K$28)*0.0388189414695764</f>
        <v>146018.7023837158</v>
      </c>
      <c r="AN28" s="9">
        <f>(+$K$28)*0.025879294313051</f>
        <v>97345.801589144103</v>
      </c>
      <c r="AO28" s="9">
        <f>(+$K$28)*0.025879294313051</f>
        <v>97345.801589144103</v>
      </c>
      <c r="AP28" s="9">
        <f>(+$K$28)*0.0388189414695764</f>
        <v>146018.7023837158</v>
      </c>
      <c r="AQ28" s="9">
        <f t="shared" ref="AQ28:AW28" si="36">(+$K$28)*0.0517585886261019</f>
        <v>194691.60317828786</v>
      </c>
      <c r="AR28" s="9">
        <f t="shared" si="36"/>
        <v>194691.60317828786</v>
      </c>
      <c r="AS28" s="9">
        <f t="shared" si="36"/>
        <v>194691.60317828786</v>
      </c>
      <c r="AT28" s="9">
        <f t="shared" si="36"/>
        <v>194691.60317828786</v>
      </c>
      <c r="AU28" s="9">
        <f t="shared" si="36"/>
        <v>194691.60317828786</v>
      </c>
      <c r="AV28" s="9">
        <f t="shared" si="36"/>
        <v>194691.60317828786</v>
      </c>
      <c r="AW28" s="9">
        <f t="shared" si="36"/>
        <v>194691.60317828786</v>
      </c>
      <c r="AX28" s="9">
        <f>(+$K$28)*0</f>
        <v>0</v>
      </c>
      <c r="AY28" s="9">
        <f>(+$K$28)*0</f>
        <v>0</v>
      </c>
      <c r="AZ28" s="9">
        <f>(+$K$28)*0</f>
        <v>0</v>
      </c>
    </row>
    <row r="29" spans="1:52">
      <c r="A29" s="3" t="s">
        <v>66</v>
      </c>
      <c r="B29" t="s">
        <v>2</v>
      </c>
      <c r="C29" t="str">
        <f>+_xlfn.XLOOKUP(B29,'L4'!B:B,'L4'!C:C)</f>
        <v>KAZI - YARMA VE YAN ARIYET</v>
      </c>
      <c r="D29" t="s">
        <v>73</v>
      </c>
      <c r="E29" t="str">
        <f>+_xlfn.XLOOKUP(D29,'M2'!H:H,'M2'!I:I)</f>
        <v>PETSAN - GENEL</v>
      </c>
      <c r="F29" s="91" t="s">
        <v>68</v>
      </c>
      <c r="G29" t="str">
        <f>+_xlfn.XLOOKUP(F29,'M2'!B:B,'M2'!C:C)</f>
        <v>PETSAN İNŞAAT</v>
      </c>
      <c r="H29" s="3" t="s">
        <v>69</v>
      </c>
      <c r="I29" s="3" t="s">
        <v>38</v>
      </c>
      <c r="J29" s="124">
        <v>38000</v>
      </c>
      <c r="K29" s="124">
        <f t="shared" si="2"/>
        <v>0</v>
      </c>
      <c r="L29" s="6">
        <f t="shared" si="0"/>
        <v>0</v>
      </c>
      <c r="M29" s="124">
        <f>+SUM(N29:W29)</f>
        <v>88352.01999999999</v>
      </c>
      <c r="R29" s="9">
        <v>80609.759999999995</v>
      </c>
      <c r="S29" s="9">
        <v>8293.17</v>
      </c>
      <c r="T29" s="9">
        <v>-550.91</v>
      </c>
      <c r="U29" s="9">
        <v>0</v>
      </c>
      <c r="V29" s="9">
        <v>0</v>
      </c>
      <c r="W29" s="9">
        <v>0</v>
      </c>
      <c r="X29" s="10"/>
    </row>
    <row r="30" spans="1:52">
      <c r="A30" s="3" t="s">
        <v>66</v>
      </c>
      <c r="B30" t="s">
        <v>5</v>
      </c>
      <c r="C30" t="str">
        <f>+_xlfn.XLOOKUP(B30,'L4'!B:B,'L4'!C:C)</f>
        <v>KAZI - SANAT YAPISI ( KÖPRÜ HARIÇ )</v>
      </c>
      <c r="D30" t="s">
        <v>73</v>
      </c>
      <c r="E30" t="str">
        <f>+_xlfn.XLOOKUP(D30,'M2'!H:H,'M2'!I:I)</f>
        <v>PETSAN - GENEL</v>
      </c>
      <c r="F30" s="91" t="s">
        <v>68</v>
      </c>
      <c r="G30" t="str">
        <f>+_xlfn.XLOOKUP(F30,'M2'!B:B,'M2'!C:C)</f>
        <v>PETSAN İNŞAAT</v>
      </c>
      <c r="H30" s="3" t="s">
        <v>69</v>
      </c>
      <c r="I30" s="3" t="s">
        <v>39</v>
      </c>
      <c r="J30" s="124">
        <v>500</v>
      </c>
      <c r="K30" s="124">
        <f t="shared" si="2"/>
        <v>390.30000000000007</v>
      </c>
      <c r="L30" s="6">
        <f t="shared" si="0"/>
        <v>0</v>
      </c>
      <c r="M30" s="124">
        <v>1000</v>
      </c>
      <c r="R30" s="9">
        <v>0</v>
      </c>
      <c r="S30" s="9">
        <v>0</v>
      </c>
      <c r="T30" s="9">
        <v>550.91</v>
      </c>
      <c r="U30" s="9">
        <v>0.01</v>
      </c>
      <c r="V30" s="9">
        <v>58.78</v>
      </c>
      <c r="W30" s="9">
        <v>0</v>
      </c>
      <c r="X30" s="10">
        <f>(+$K30)*0.00998302416283691</f>
        <v>3.896374330755247</v>
      </c>
      <c r="Y30" s="9">
        <f>(+$K30)*0.0234647417611078</f>
        <v>9.1582887093603755</v>
      </c>
      <c r="Z30" s="9">
        <f>(+$K30)*0.0160172440537002</f>
        <v>6.2515303541591889</v>
      </c>
      <c r="AA30" s="9">
        <f>(+$K30)*0.0249581733757012</f>
        <v>9.7411750685361795</v>
      </c>
      <c r="AB30" s="9">
        <f>(+$K30)*0.0175106756682936</f>
        <v>6.8344167133349938</v>
      </c>
      <c r="AC30" s="9">
        <f>(+$K30)*0.0223842517859311</f>
        <v>8.7365734720489101</v>
      </c>
      <c r="AD30" s="9">
        <f>(+$K30)*0.0482373479881093</f>
        <v>18.827036919759063</v>
      </c>
      <c r="AE30" s="9">
        <f>(+$K30)*0.0426069217591158</f>
        <v>16.6294815625829</v>
      </c>
      <c r="AF30" s="9">
        <f>(+$K30)*0.0365727018682525</f>
        <v>14.274325539178951</v>
      </c>
      <c r="AG30" s="9">
        <f>(+$K30)*0.0411134901445225</f>
        <v>16.046595203407136</v>
      </c>
      <c r="AH30" s="9">
        <f>(+$K30)*0.0411134901445225</f>
        <v>16.046595203407136</v>
      </c>
      <c r="AI30" s="9">
        <f>(+$K30)*0.0350792702536591</f>
        <v>13.691439180003151</v>
      </c>
      <c r="AJ30" s="9">
        <f>(+$K30)*0.0350792702536591</f>
        <v>13.691439180003151</v>
      </c>
      <c r="AK30" s="9">
        <f>(+$K30)*0.0331031561062724</f>
        <v>12.92016182827812</v>
      </c>
      <c r="AL30" s="9">
        <f>(+$K30)*0.0331031561062724</f>
        <v>12.92016182827812</v>
      </c>
      <c r="AM30" s="9">
        <f>(+$K30)*0.0312741749833369</f>
        <v>12.206310495996394</v>
      </c>
      <c r="AN30" s="9">
        <f>(+$K30)*0.0238266772759292</f>
        <v>9.2995521407951678</v>
      </c>
      <c r="AO30" s="9">
        <f>(+$K30)*0.0247989267776964</f>
        <v>9.6790211213349071</v>
      </c>
      <c r="AP30" s="9">
        <f>(+$K30)*0.0457281420833749</f>
        <v>17.847693855141227</v>
      </c>
      <c r="AQ30" s="9">
        <f>(+$K30)*0.0517623619742382</f>
        <v>20.202849878545173</v>
      </c>
      <c r="AR30" s="9">
        <f>(+$K30)*0.0517623619742382</f>
        <v>20.202849878545173</v>
      </c>
      <c r="AS30" s="9">
        <f>(+$K30)*0.0517623619742382</f>
        <v>20.202849878545173</v>
      </c>
      <c r="AT30" s="9">
        <f>(+$K30)*0.0457281420833749</f>
        <v>17.847693855141227</v>
      </c>
      <c r="AU30" s="9">
        <f>(+$K30)*0.0396939221925116</f>
        <v>15.492537831737282</v>
      </c>
      <c r="AV30" s="9">
        <f>(+$K30)*0.0396939221925116</f>
        <v>15.492537831737282</v>
      </c>
      <c r="AW30" s="9">
        <f>(+$K30)*0.0297899908296304</f>
        <v>11.627033420804748</v>
      </c>
      <c r="AX30" s="9">
        <f>(+$K30)*0.0370310546986664</f>
        <v>14.4532206488895</v>
      </c>
      <c r="AY30" s="9">
        <f>(+$K30)*0.0370310546986664</f>
        <v>14.4532206488895</v>
      </c>
      <c r="AZ30" s="9">
        <f>(+$K30)*0.0297899908296304</f>
        <v>11.627033420804748</v>
      </c>
    </row>
    <row r="31" spans="1:52">
      <c r="A31" s="3" t="s">
        <v>66</v>
      </c>
      <c r="B31" t="s">
        <v>6</v>
      </c>
      <c r="C31" t="str">
        <f>+_xlfn.XLOOKUP(B31,'L4'!B:B,'L4'!C:C)</f>
        <v>BETON - DEMIRSIZ - TEMEL - KÖPRÜ HARICI</v>
      </c>
      <c r="D31" t="s">
        <v>73</v>
      </c>
      <c r="E31" t="str">
        <f>+_xlfn.XLOOKUP(D31,'M2'!H:H,'M2'!I:I)</f>
        <v>PETSAN - GENEL</v>
      </c>
      <c r="F31" s="91" t="s">
        <v>68</v>
      </c>
      <c r="G31" t="str">
        <f>+_xlfn.XLOOKUP(F31,'M2'!B:B,'M2'!C:C)</f>
        <v>PETSAN İNŞAAT</v>
      </c>
      <c r="H31" s="3" t="s">
        <v>69</v>
      </c>
      <c r="I31" s="3" t="s">
        <v>40</v>
      </c>
      <c r="J31" s="124">
        <v>649.6</v>
      </c>
      <c r="K31" s="124">
        <f t="shared" si="2"/>
        <v>649.6</v>
      </c>
      <c r="L31" s="6">
        <f t="shared" si="0"/>
        <v>0</v>
      </c>
      <c r="M31" s="124">
        <f t="shared" ref="M31:M37" si="37">+J31</f>
        <v>649.6</v>
      </c>
      <c r="T31" s="9">
        <v>0</v>
      </c>
      <c r="U31" s="9">
        <v>0</v>
      </c>
      <c r="V31" s="9">
        <v>0</v>
      </c>
      <c r="W31" s="9">
        <v>0</v>
      </c>
      <c r="X31" s="10">
        <f>(+$K31)*0.0111550732384452</f>
        <v>7.2463355756940029</v>
      </c>
      <c r="Y31" s="9">
        <f>(+$K31)*0.0145148407184903</f>
        <v>9.4288405307312981</v>
      </c>
      <c r="Z31" s="9">
        <f>(+$K31)*0.0265218405192253</f>
        <v>17.228587601288755</v>
      </c>
      <c r="AA31" s="9">
        <f>(+$K31)*0.0306443281624845</f>
        <v>19.90655557434993</v>
      </c>
      <c r="AB31" s="9">
        <f>(+$K31)*0.0281906072942687</f>
        <v>18.312618498356947</v>
      </c>
      <c r="AC31" s="9">
        <f>(+$K31)*0.0394872038481905</f>
        <v>25.650887619784552</v>
      </c>
      <c r="AD31" s="9">
        <f>(+$K31)*0.0588418489677388</f>
        <v>38.223665089443124</v>
      </c>
      <c r="AE31" s="9">
        <f>(+$K31)*0.0380896663205734</f>
        <v>24.743047241844483</v>
      </c>
      <c r="AF31" s="9">
        <f>(+$K31)*0.0371836197087442</f>
        <v>24.154479362800235</v>
      </c>
      <c r="AG31" s="9">
        <f>(+$K31)*0.0502373378795371</f>
        <v>32.634174686547304</v>
      </c>
      <c r="AH31" s="9">
        <f>(+$K31)*0.0645385635235093</f>
        <v>41.924250864871645</v>
      </c>
      <c r="AI31" s="9">
        <f>(+$K31)*0.0636325169116801</f>
        <v>41.335682985827397</v>
      </c>
      <c r="AJ31" s="9">
        <f>(+$K31)*0.0636325169116801</f>
        <v>41.335682985827397</v>
      </c>
      <c r="AK31" s="9">
        <f>(+$K31)*0.0559752881485116</f>
        <v>36.361547181273131</v>
      </c>
      <c r="AL31" s="9">
        <f>(+$K31)*0.042067952193886</f>
        <v>27.327341745148349</v>
      </c>
      <c r="AM31" s="9">
        <f>(+$K31)*0.0316616598883103</f>
        <v>20.567414263446373</v>
      </c>
      <c r="AN31" s="9">
        <f>(+$K31)*0.0279959707451816</f>
        <v>18.186182596069969</v>
      </c>
      <c r="AO31" s="9">
        <f>(+$K31)*0.0290752482973947</f>
        <v>18.887281293987598</v>
      </c>
      <c r="AP31" s="9">
        <f>(+$K31)*0.0348887366456556</f>
        <v>22.66372332501788</v>
      </c>
      <c r="AQ31" s="9">
        <f>(+$K31)*0.0357947832574848</f>
        <v>23.252291204062129</v>
      </c>
      <c r="AR31" s="9">
        <f>(+$K31)*0.0357947832574848</f>
        <v>23.252291204062129</v>
      </c>
      <c r="AS31" s="9">
        <f>(+$K31)*0.0357947832574848</f>
        <v>23.252291204062129</v>
      </c>
      <c r="AT31" s="9">
        <f>(+$K31)*0.0348887366456556</f>
        <v>22.66372332501788</v>
      </c>
      <c r="AU31" s="9">
        <f>(+$K31)*0.0339826900338263</f>
        <v>22.075155445973564</v>
      </c>
      <c r="AV31" s="9">
        <f>(+$K31)*0.0339826900338263</f>
        <v>22.075155445973564</v>
      </c>
      <c r="AW31" s="9">
        <f>(+$K31)*0.0098148834728633</f>
        <v>6.3757483039720002</v>
      </c>
      <c r="AX31" s="9">
        <f>(+$K31)*0.0108984733225018</f>
        <v>7.0796482702971693</v>
      </c>
      <c r="AY31" s="9">
        <f>(+$K31)*0.0108984733225018</f>
        <v>7.0796482702971693</v>
      </c>
      <c r="AZ31" s="9">
        <f>(+$K31)*0.0098148834728633</f>
        <v>6.3757483039720002</v>
      </c>
    </row>
    <row r="32" spans="1:52">
      <c r="A32" s="3" t="s">
        <v>66</v>
      </c>
      <c r="B32" t="s">
        <v>7</v>
      </c>
      <c r="C32" t="str">
        <f>+_xlfn.XLOOKUP(B32,'L4'!B:B,'L4'!C:C)</f>
        <v>BETON - DRENAJ HENDEĞI. TÜNEL DOLGU</v>
      </c>
      <c r="D32" t="s">
        <v>73</v>
      </c>
      <c r="E32" t="str">
        <f>+_xlfn.XLOOKUP(D32,'M2'!H:H,'M2'!I:I)</f>
        <v>PETSAN - GENEL</v>
      </c>
      <c r="F32" s="91" t="s">
        <v>68</v>
      </c>
      <c r="G32" t="str">
        <f>+_xlfn.XLOOKUP(F32,'M2'!B:B,'M2'!C:C)</f>
        <v>PETSAN İNŞAAT</v>
      </c>
      <c r="H32" s="3" t="s">
        <v>69</v>
      </c>
      <c r="I32" s="3" t="s">
        <v>41</v>
      </c>
      <c r="J32" s="124">
        <v>12377.31</v>
      </c>
      <c r="K32" s="124">
        <f t="shared" si="2"/>
        <v>7265.5957734376079</v>
      </c>
      <c r="L32" s="6">
        <f t="shared" si="0"/>
        <v>0</v>
      </c>
      <c r="M32" s="124">
        <v>7519.8257734376075</v>
      </c>
      <c r="R32" s="9">
        <v>75.87</v>
      </c>
      <c r="S32" s="9">
        <v>152.56</v>
      </c>
      <c r="T32" s="9">
        <v>0</v>
      </c>
      <c r="U32" s="9">
        <v>0.17</v>
      </c>
      <c r="V32" s="9">
        <v>25.63</v>
      </c>
      <c r="W32" s="9">
        <v>0</v>
      </c>
      <c r="X32" s="10">
        <f>(+$K32)*0</f>
        <v>0</v>
      </c>
      <c r="Y32" s="9">
        <f>(+$K32)*0</f>
        <v>0</v>
      </c>
      <c r="Z32" s="9">
        <f>(+$K32)*0.0314935939058961</f>
        <v>228.81972277303913</v>
      </c>
      <c r="AA32" s="9">
        <f>(+$K32)*0.0314935939058961</f>
        <v>228.81972277303913</v>
      </c>
      <c r="AB32" s="9">
        <f>(+$K32)*0.0314935939058961</f>
        <v>228.81972277303913</v>
      </c>
      <c r="AC32" s="9">
        <f>(+$K32)*0.0314935939058961</f>
        <v>228.81972277303913</v>
      </c>
      <c r="AD32" s="9">
        <f>(+$K32)*0.0617819869185816</f>
        <v>448.88294303022406</v>
      </c>
      <c r="AE32" s="9">
        <f>(+$K32)*0.0302883930126855</f>
        <v>220.06322025718492</v>
      </c>
      <c r="AF32" s="9">
        <f>(+$K32)*0.0302883930126855</f>
        <v>220.06322025718492</v>
      </c>
      <c r="AG32" s="9">
        <f>(+$K32)*0.0603788226723469</f>
        <v>438.68811881334244</v>
      </c>
      <c r="AH32" s="9">
        <f>(+$K32)*0.0915250568814701</f>
        <v>664.98406644164584</v>
      </c>
      <c r="AI32" s="9">
        <f>(+$K32)*0.0915250568814701</f>
        <v>664.98406644164584</v>
      </c>
      <c r="AJ32" s="9">
        <f>(+$K32)*0.0915250568814701</f>
        <v>664.98406644164584</v>
      </c>
      <c r="AK32" s="9">
        <f>(+$K32)*0.0796472557000248</f>
        <v>578.68476438000459</v>
      </c>
      <c r="AL32" s="9">
        <f>(+$K32)*0.0493588626873393</f>
        <v>358.62154412281967</v>
      </c>
      <c r="AM32" s="9">
        <f>(+$K32)*0.0311462342091232</f>
        <v>226.29594762830337</v>
      </c>
      <c r="AN32" s="9">
        <f t="shared" ref="AN32:AV32" si="38">(+$K32)*0.0285067228354687</f>
        <v>207.11832494793873</v>
      </c>
      <c r="AO32" s="9">
        <f t="shared" si="38"/>
        <v>207.11832494793873</v>
      </c>
      <c r="AP32" s="9">
        <f t="shared" si="38"/>
        <v>207.11832494793873</v>
      </c>
      <c r="AQ32" s="9">
        <f t="shared" si="38"/>
        <v>207.11832494793873</v>
      </c>
      <c r="AR32" s="9">
        <f t="shared" si="38"/>
        <v>207.11832494793873</v>
      </c>
      <c r="AS32" s="9">
        <f t="shared" si="38"/>
        <v>207.11832494793873</v>
      </c>
      <c r="AT32" s="9">
        <f t="shared" si="38"/>
        <v>207.11832494793873</v>
      </c>
      <c r="AU32" s="9">
        <f t="shared" si="38"/>
        <v>207.11832494793873</v>
      </c>
      <c r="AV32" s="9">
        <f t="shared" si="38"/>
        <v>207.11832494793873</v>
      </c>
      <c r="AW32" s="9">
        <f>(+$K32)*0</f>
        <v>0</v>
      </c>
      <c r="AX32" s="9">
        <f>(+$K32)*0</f>
        <v>0</v>
      </c>
      <c r="AY32" s="9">
        <f>(+$K32)*0</f>
        <v>0</v>
      </c>
      <c r="AZ32" s="9">
        <f>(+$K32)*0</f>
        <v>0</v>
      </c>
    </row>
    <row r="33" spans="1:52">
      <c r="A33" s="3" t="s">
        <v>66</v>
      </c>
      <c r="B33" t="s">
        <v>8</v>
      </c>
      <c r="C33" t="str">
        <f>+_xlfn.XLOOKUP(B33,'L4'!B:B,'L4'!C:C)</f>
        <v>NERVÜRLÜ ÇELIK ZATI BEDELI</v>
      </c>
      <c r="D33" t="s">
        <v>73</v>
      </c>
      <c r="E33" t="str">
        <f>+_xlfn.XLOOKUP(D33,'M2'!H:H,'M2'!I:I)</f>
        <v>PETSAN - GENEL</v>
      </c>
      <c r="F33" s="91" t="s">
        <v>68</v>
      </c>
      <c r="G33" t="str">
        <f>+_xlfn.XLOOKUP(F33,'M2'!B:B,'M2'!C:C)</f>
        <v>PETSAN İNŞAAT</v>
      </c>
      <c r="H33" s="3" t="s">
        <v>69</v>
      </c>
      <c r="I33" s="3" t="s">
        <v>42</v>
      </c>
      <c r="J33" s="124">
        <v>682.55499999999995</v>
      </c>
      <c r="K33" s="124">
        <f t="shared" si="2"/>
        <v>604.84299999999996</v>
      </c>
      <c r="L33" s="6">
        <f t="shared" si="0"/>
        <v>0</v>
      </c>
      <c r="M33" s="124">
        <f t="shared" si="37"/>
        <v>682.55499999999995</v>
      </c>
      <c r="R33" s="9">
        <v>3.6120000000000001</v>
      </c>
      <c r="S33" s="9">
        <v>-3.61</v>
      </c>
      <c r="T33" s="9">
        <v>17.600000000000001</v>
      </c>
      <c r="U33" s="9">
        <v>50.87</v>
      </c>
      <c r="V33" s="9">
        <v>13.96</v>
      </c>
      <c r="W33" s="9">
        <v>-4.72</v>
      </c>
      <c r="X33" s="10">
        <f>(+$K33)*0.00727227750918604</f>
        <v>4.3985861454886122</v>
      </c>
      <c r="Y33" s="9">
        <f>(+$K33)*0.0115410180021323</f>
        <v>6.9805039514637057</v>
      </c>
      <c r="Z33" s="9">
        <f>(+$K33)*0.0266373244917462</f>
        <v>16.111399257561246</v>
      </c>
      <c r="AA33" s="9">
        <f>(+$K33)*0.029859010429513</f>
        <v>18.06001344521793</v>
      </c>
      <c r="AB33" s="9">
        <f>(+$K33)*0.027490119898227</f>
        <v>16.627206589603311</v>
      </c>
      <c r="AC33" s="9">
        <f>(+$K33)*0.0337606457249117</f>
        <v>20.419890242192764</v>
      </c>
      <c r="AD33" s="9">
        <f>(+$K33)*0.0586166948538854</f>
        <v>35.453897565508605</v>
      </c>
      <c r="AE33" s="9">
        <f>(+$K33)*0.0358709338712884</f>
        <v>21.696283255511691</v>
      </c>
      <c r="AF33" s="9">
        <f>(+$K33)*0.0339710839096281</f>
        <v>20.547172305151189</v>
      </c>
      <c r="AG33" s="9">
        <f>(+$K33)*0.0517051918388949</f>
        <v>31.273523347412709</v>
      </c>
      <c r="AH33" s="9">
        <f>(+$K33)*0.0689777558576869</f>
        <v>41.720712786230912</v>
      </c>
      <c r="AI33" s="9">
        <f>(+$K33)*0.0670779058960266</f>
        <v>40.57160183587041</v>
      </c>
      <c r="AJ33" s="9">
        <f>(+$K33)*0.0670779058960266</f>
        <v>40.57160183587041</v>
      </c>
      <c r="AK33" s="9">
        <f>(+$K33)*0.0594783079391817</f>
        <v>35.975038208858471</v>
      </c>
      <c r="AL33" s="9">
        <f>(+$K33)*0.0426814713192123</f>
        <v>25.815589157126325</v>
      </c>
      <c r="AM33" s="9">
        <f>(+$K33)*0.0315370081970794</f>
        <v>19.074938648946095</v>
      </c>
      <c r="AN33" s="9">
        <f>(+$K33)*0.0277043410540313</f>
        <v>16.756776756143452</v>
      </c>
      <c r="AO33" s="9">
        <f>(+$K33)*0.0284405808351657</f>
        <v>17.202086234084128</v>
      </c>
      <c r="AP33" s="9">
        <f>(+$K33)*0.0350782118593981</f>
        <v>21.216810895673923</v>
      </c>
      <c r="AQ33" s="9">
        <f>(+$K33)*0.0369780618210584</f>
        <v>22.365921846034425</v>
      </c>
      <c r="AR33" s="9">
        <f>(+$K33)*0.0369780618210584</f>
        <v>22.365921846034425</v>
      </c>
      <c r="AS33" s="9">
        <f>(+$K33)*0.0369780618210584</f>
        <v>22.365921846034425</v>
      </c>
      <c r="AT33" s="9">
        <f>(+$K33)*0.0350782118593981</f>
        <v>21.216810895673923</v>
      </c>
      <c r="AU33" s="9">
        <f>(+$K33)*0.0331783618977378</f>
        <v>20.067699945313421</v>
      </c>
      <c r="AV33" s="9">
        <f>(+$K33)*0.0331783618977378</f>
        <v>20.067699945313421</v>
      </c>
      <c r="AW33" s="9">
        <f>(+$K33)*0.00947556212514416</f>
        <v>5.7312274224585691</v>
      </c>
      <c r="AX33" s="9">
        <f>(+$K33)*0.0119509826242206</f>
        <v>7.2284681833814597</v>
      </c>
      <c r="AY33" s="9">
        <f>(+$K33)*0.0119509826242206</f>
        <v>7.2284681833814597</v>
      </c>
      <c r="AZ33" s="9">
        <f>(+$K33)*0.00947556212514416</f>
        <v>5.7312274224585691</v>
      </c>
    </row>
    <row r="34" spans="1:52">
      <c r="A34" s="3" t="s">
        <v>66</v>
      </c>
      <c r="B34" t="s">
        <v>9</v>
      </c>
      <c r="C34" t="str">
        <f>+_xlfn.XLOOKUP(B34,'L4'!B:B,'L4'!C:C)</f>
        <v>DOLGU - KIRMATAŞ</v>
      </c>
      <c r="D34" t="s">
        <v>73</v>
      </c>
      <c r="E34" t="str">
        <f>+_xlfn.XLOOKUP(D34,'M2'!H:H,'M2'!I:I)</f>
        <v>PETSAN - GENEL</v>
      </c>
      <c r="F34" s="91" t="s">
        <v>68</v>
      </c>
      <c r="G34" t="str">
        <f>+_xlfn.XLOOKUP(F34,'M2'!B:B,'M2'!C:C)</f>
        <v>PETSAN İNŞAAT</v>
      </c>
      <c r="H34" s="3" t="s">
        <v>69</v>
      </c>
      <c r="I34" s="3" t="s">
        <v>43</v>
      </c>
      <c r="J34" s="124">
        <v>504.56299999999999</v>
      </c>
      <c r="K34" s="124">
        <f t="shared" si="2"/>
        <v>504.56299999999999</v>
      </c>
      <c r="L34" s="6">
        <f t="shared" si="0"/>
        <v>0</v>
      </c>
      <c r="M34" s="124">
        <f t="shared" si="37"/>
        <v>504.56299999999999</v>
      </c>
      <c r="T34" s="9">
        <v>0</v>
      </c>
      <c r="U34" s="9">
        <v>0</v>
      </c>
      <c r="V34" s="9">
        <v>0</v>
      </c>
      <c r="W34" s="9">
        <v>0</v>
      </c>
      <c r="X34" s="10">
        <f>(+$K34)*0</f>
        <v>0</v>
      </c>
      <c r="Y34" s="9">
        <f>(+$K34)*0</f>
        <v>0</v>
      </c>
      <c r="Z34" s="9">
        <f>(+$K34)*0.0314935939058961</f>
        <v>15.890502221940654</v>
      </c>
      <c r="AA34" s="9">
        <f>(+$K34)*0.0314935939058961</f>
        <v>15.890502221940654</v>
      </c>
      <c r="AB34" s="9">
        <f>(+$K34)*0.0314935939058961</f>
        <v>15.890502221940654</v>
      </c>
      <c r="AC34" s="9">
        <f>(+$K34)*0.0314935939058961</f>
        <v>15.890502221940654</v>
      </c>
      <c r="AD34" s="9">
        <f>(+$K34)*0.0617819869185816</f>
        <v>31.172904665600285</v>
      </c>
      <c r="AE34" s="9">
        <f>(+$K34)*0.0302883930126855</f>
        <v>15.282402443659633</v>
      </c>
      <c r="AF34" s="9">
        <f>(+$K34)*0.0302883930126855</f>
        <v>15.282402443659633</v>
      </c>
      <c r="AG34" s="9">
        <f>(+$K34)*0.0603788226723469</f>
        <v>30.464919904027369</v>
      </c>
      <c r="AH34" s="9">
        <f>(+$K34)*0.0915250568814701</f>
        <v>46.180157275285197</v>
      </c>
      <c r="AI34" s="9">
        <f>(+$K34)*0.0915250568814701</f>
        <v>46.180157275285197</v>
      </c>
      <c r="AJ34" s="9">
        <f>(+$K34)*0.0915250568814701</f>
        <v>46.180157275285197</v>
      </c>
      <c r="AK34" s="9">
        <f>(+$K34)*0.0796472557000248</f>
        <v>40.187058277771612</v>
      </c>
      <c r="AL34" s="9">
        <f>(+$K34)*0.0493588626873393</f>
        <v>24.904655834111978</v>
      </c>
      <c r="AM34" s="9">
        <f>(+$K34)*0.0311462342091232</f>
        <v>15.715237371257828</v>
      </c>
      <c r="AN34" s="9">
        <f t="shared" ref="AN34:AV34" si="39">(+$K34)*0.0285067228354687</f>
        <v>14.383437594032593</v>
      </c>
      <c r="AO34" s="9">
        <f t="shared" si="39"/>
        <v>14.383437594032593</v>
      </c>
      <c r="AP34" s="9">
        <f t="shared" si="39"/>
        <v>14.383437594032593</v>
      </c>
      <c r="AQ34" s="9">
        <f t="shared" si="39"/>
        <v>14.383437594032593</v>
      </c>
      <c r="AR34" s="9">
        <f t="shared" si="39"/>
        <v>14.383437594032593</v>
      </c>
      <c r="AS34" s="9">
        <f t="shared" si="39"/>
        <v>14.383437594032593</v>
      </c>
      <c r="AT34" s="9">
        <f t="shared" si="39"/>
        <v>14.383437594032593</v>
      </c>
      <c r="AU34" s="9">
        <f t="shared" si="39"/>
        <v>14.383437594032593</v>
      </c>
      <c r="AV34" s="9">
        <f t="shared" si="39"/>
        <v>14.383437594032593</v>
      </c>
      <c r="AW34" s="9">
        <f>(+$K34)*0</f>
        <v>0</v>
      </c>
      <c r="AX34" s="9">
        <f>(+$K34)*0</f>
        <v>0</v>
      </c>
      <c r="AY34" s="9">
        <f>(+$K34)*0</f>
        <v>0</v>
      </c>
      <c r="AZ34" s="9">
        <f>(+$K34)*0</f>
        <v>0</v>
      </c>
    </row>
    <row r="35" spans="1:52">
      <c r="A35" s="3" t="s">
        <v>66</v>
      </c>
      <c r="B35" t="s">
        <v>10</v>
      </c>
      <c r="C35" t="str">
        <f>+_xlfn.XLOOKUP(B35,'L4'!B:B,'L4'!C:C)</f>
        <v>TÜNEL TIPI DRENAJ BORUSU DÖŞENMESI</v>
      </c>
      <c r="D35" t="s">
        <v>73</v>
      </c>
      <c r="E35" t="str">
        <f>+_xlfn.XLOOKUP(D35,'M2'!H:H,'M2'!I:I)</f>
        <v>PETSAN - GENEL</v>
      </c>
      <c r="F35" s="91" t="s">
        <v>68</v>
      </c>
      <c r="G35" t="str">
        <f>+_xlfn.XLOOKUP(F35,'M2'!B:B,'M2'!C:C)</f>
        <v>PETSAN İNŞAAT</v>
      </c>
      <c r="H35" s="3" t="s">
        <v>69</v>
      </c>
      <c r="I35" s="3" t="s">
        <v>44</v>
      </c>
      <c r="J35" s="124">
        <v>2885</v>
      </c>
      <c r="K35" s="124">
        <f t="shared" si="2"/>
        <v>5005.1499999999996</v>
      </c>
      <c r="L35" s="6">
        <f t="shared" si="0"/>
        <v>0</v>
      </c>
      <c r="M35" s="124">
        <v>5005.1499999999996</v>
      </c>
      <c r="T35" s="9">
        <v>0</v>
      </c>
      <c r="U35" s="9">
        <v>0</v>
      </c>
      <c r="V35" s="9">
        <v>0</v>
      </c>
      <c r="W35" s="9">
        <v>0</v>
      </c>
      <c r="X35" s="10">
        <f>(+$K35)*0</f>
        <v>0</v>
      </c>
      <c r="Y35" s="9">
        <f>(+$K35)*0.0046152462963148</f>
        <v>23.100000000000019</v>
      </c>
      <c r="Z35" s="9">
        <f>(+$K35)*0.0198655384953498</f>
        <v>99.430000000000049</v>
      </c>
      <c r="AA35" s="9">
        <f>(+$K35)*0.0244807847916646</f>
        <v>122.53000000000007</v>
      </c>
      <c r="AB35" s="9">
        <f>(+$K35)*0.0198655384953498</f>
        <v>99.430000000000049</v>
      </c>
      <c r="AC35" s="9">
        <f>(+$K35)*0.0198655384953498</f>
        <v>99.430000000000049</v>
      </c>
      <c r="AD35" s="9">
        <f>(+$K35)*0.0528165989031298</f>
        <v>264.35500000000008</v>
      </c>
      <c r="AE35" s="9">
        <f>(+$K35)*0.03295106040778</f>
        <v>164.92500000000007</v>
      </c>
      <c r="AF35" s="9">
        <f>(+$K35)*0.03295106040778</f>
        <v>164.92500000000007</v>
      </c>
      <c r="AG35" s="9">
        <f>(+$K35)*0.0519315105441396</f>
        <v>259.9250000000003</v>
      </c>
      <c r="AH35" s="9">
        <f>(+$K35)*0.0715779413870381</f>
        <v>358.25833333333372</v>
      </c>
      <c r="AI35" s="9">
        <f>(+$K35)*0.0715779413870381</f>
        <v>358.25833333333372</v>
      </c>
      <c r="AJ35" s="9">
        <f>(+$K35)*0.0715779413870381</f>
        <v>358.25833333333372</v>
      </c>
      <c r="AK35" s="9">
        <f>(+$K35)*0.0640856584384751</f>
        <v>320.75833333333361</v>
      </c>
      <c r="AL35" s="9">
        <f>(+$K35)*0.0449803369196395</f>
        <v>225.13333333333361</v>
      </c>
      <c r="AM35" s="9">
        <f>(+$K35)*0.0334921697318429</f>
        <v>167.6333333333335</v>
      </c>
      <c r="AN35" s="9">
        <f>(+$K35)*0.0272119716691808</f>
        <v>136.20000000000027</v>
      </c>
      <c r="AO35" s="9">
        <f>(+$K35)*0.0272119716691808</f>
        <v>136.20000000000027</v>
      </c>
      <c r="AP35" s="9">
        <f t="shared" ref="AP35:AV35" si="40">(+$K35)*0.0364424642618104</f>
        <v>182.40000000000032</v>
      </c>
      <c r="AQ35" s="9">
        <f t="shared" si="40"/>
        <v>182.40000000000032</v>
      </c>
      <c r="AR35" s="9">
        <f t="shared" si="40"/>
        <v>182.40000000000032</v>
      </c>
      <c r="AS35" s="9">
        <f t="shared" si="40"/>
        <v>182.40000000000032</v>
      </c>
      <c r="AT35" s="9">
        <f t="shared" si="40"/>
        <v>182.40000000000032</v>
      </c>
      <c r="AU35" s="9">
        <f t="shared" si="40"/>
        <v>182.40000000000032</v>
      </c>
      <c r="AV35" s="9">
        <f t="shared" si="40"/>
        <v>182.40000000000032</v>
      </c>
      <c r="AW35" s="9">
        <f>(+$K35)*0.0184609851852592</f>
        <v>92.400000000000077</v>
      </c>
      <c r="AX35" s="9">
        <f>(+$K35)*0.0184609851852592</f>
        <v>92.400000000000077</v>
      </c>
      <c r="AY35" s="9">
        <f>(+$K35)*0.0184609851852592</f>
        <v>92.400000000000077</v>
      </c>
      <c r="AZ35" s="9">
        <f>(+$K35)*0.0184609851852592</f>
        <v>92.400000000000077</v>
      </c>
    </row>
    <row r="36" spans="1:52">
      <c r="A36" s="3" t="s">
        <v>66</v>
      </c>
      <c r="B36" t="s">
        <v>11</v>
      </c>
      <c r="C36" t="str">
        <f>+_xlfn.XLOOKUP(B36,'L4'!B:B,'L4'!C:C)</f>
        <v>KORUGE DRENAJ BORUSU - Ø 400 MM</v>
      </c>
      <c r="D36" t="s">
        <v>73</v>
      </c>
      <c r="E36" t="str">
        <f>+_xlfn.XLOOKUP(D36,'M2'!H:H,'M2'!I:I)</f>
        <v>PETSAN - GENEL</v>
      </c>
      <c r="F36" s="91" t="s">
        <v>68</v>
      </c>
      <c r="G36" t="str">
        <f>+_xlfn.XLOOKUP(F36,'M2'!B:B,'M2'!C:C)</f>
        <v>PETSAN İNŞAAT</v>
      </c>
      <c r="H36" s="3" t="s">
        <v>69</v>
      </c>
      <c r="I36" s="3" t="s">
        <v>45</v>
      </c>
      <c r="J36" s="124">
        <v>1320</v>
      </c>
      <c r="K36" s="124">
        <f t="shared" si="2"/>
        <v>1320</v>
      </c>
      <c r="L36" s="6">
        <f t="shared" si="0"/>
        <v>0</v>
      </c>
      <c r="M36" s="124">
        <f t="shared" si="37"/>
        <v>1320</v>
      </c>
      <c r="T36" s="9">
        <v>0</v>
      </c>
      <c r="U36" s="9">
        <v>0</v>
      </c>
      <c r="V36" s="9">
        <v>0</v>
      </c>
      <c r="W36" s="9">
        <v>0</v>
      </c>
      <c r="X36" s="10">
        <f>(+$K36)*0</f>
        <v>0</v>
      </c>
      <c r="Y36" s="9">
        <f t="shared" ref="Y36:AD36" si="41">(+$K36)*0</f>
        <v>0</v>
      </c>
      <c r="Z36" s="9">
        <f t="shared" si="41"/>
        <v>0</v>
      </c>
      <c r="AA36" s="9">
        <f t="shared" si="41"/>
        <v>0</v>
      </c>
      <c r="AB36" s="9">
        <f t="shared" si="41"/>
        <v>0</v>
      </c>
      <c r="AC36" s="9">
        <f t="shared" si="41"/>
        <v>0</v>
      </c>
      <c r="AD36" s="9">
        <f t="shared" si="41"/>
        <v>0</v>
      </c>
      <c r="AE36" s="9">
        <f t="shared" ref="AE36:AL36" si="42">(+$K36)*0.0625</f>
        <v>82.5</v>
      </c>
      <c r="AF36" s="9">
        <f t="shared" si="42"/>
        <v>82.5</v>
      </c>
      <c r="AG36" s="9">
        <f t="shared" si="42"/>
        <v>82.5</v>
      </c>
      <c r="AH36" s="9">
        <f t="shared" si="42"/>
        <v>82.5</v>
      </c>
      <c r="AI36" s="9">
        <f t="shared" si="42"/>
        <v>82.5</v>
      </c>
      <c r="AJ36" s="9">
        <f t="shared" si="42"/>
        <v>82.5</v>
      </c>
      <c r="AK36" s="9">
        <f t="shared" si="42"/>
        <v>82.5</v>
      </c>
      <c r="AL36" s="9">
        <f t="shared" si="42"/>
        <v>82.5</v>
      </c>
      <c r="AM36" s="9">
        <f>(+$K36)*0</f>
        <v>0</v>
      </c>
      <c r="AN36" s="9">
        <f>(+$K36)*0</f>
        <v>0</v>
      </c>
      <c r="AO36" s="9">
        <f>(+$K36)*0</f>
        <v>0</v>
      </c>
      <c r="AP36" s="9">
        <f>(+$K36)*0</f>
        <v>0</v>
      </c>
      <c r="AQ36" s="9">
        <f t="shared" ref="AQ36:AX36" si="43">(+$K36)*0.0625</f>
        <v>82.5</v>
      </c>
      <c r="AR36" s="9">
        <f t="shared" si="43"/>
        <v>82.5</v>
      </c>
      <c r="AS36" s="9">
        <f t="shared" si="43"/>
        <v>82.5</v>
      </c>
      <c r="AT36" s="9">
        <f t="shared" si="43"/>
        <v>82.5</v>
      </c>
      <c r="AU36" s="9">
        <f t="shared" si="43"/>
        <v>82.5</v>
      </c>
      <c r="AV36" s="9">
        <f t="shared" si="43"/>
        <v>82.5</v>
      </c>
      <c r="AW36" s="9">
        <f t="shared" si="43"/>
        <v>82.5</v>
      </c>
      <c r="AX36" s="9">
        <f t="shared" si="43"/>
        <v>82.5</v>
      </c>
      <c r="AY36" s="9">
        <f>(+$K36)*0</f>
        <v>0</v>
      </c>
      <c r="AZ36" s="9">
        <f>(+$K36)*0</f>
        <v>0</v>
      </c>
    </row>
    <row r="37" spans="1:52">
      <c r="A37" s="3" t="s">
        <v>66</v>
      </c>
      <c r="B37" t="s">
        <v>12</v>
      </c>
      <c r="C37" t="str">
        <f>+_xlfn.XLOOKUP(B37,'L4'!B:B,'L4'!C:C)</f>
        <v>PÜSKÜRTME BETONU YAPILMASI</v>
      </c>
      <c r="D37" t="s">
        <v>73</v>
      </c>
      <c r="E37" t="str">
        <f>+_xlfn.XLOOKUP(D37,'M2'!H:H,'M2'!I:I)</f>
        <v>PETSAN - GENEL</v>
      </c>
      <c r="F37" s="91" t="s">
        <v>68</v>
      </c>
      <c r="G37" t="str">
        <f>+_xlfn.XLOOKUP(F37,'M2'!B:B,'M2'!C:C)</f>
        <v>PETSAN İNŞAAT</v>
      </c>
      <c r="H37" s="3" t="s">
        <v>69</v>
      </c>
      <c r="I37" s="3" t="s">
        <v>46</v>
      </c>
      <c r="J37" s="124">
        <v>3500</v>
      </c>
      <c r="K37" s="124">
        <f t="shared" si="2"/>
        <v>363.92999999999938</v>
      </c>
      <c r="L37" s="6">
        <f t="shared" si="0"/>
        <v>0</v>
      </c>
      <c r="M37" s="124">
        <f t="shared" si="37"/>
        <v>3500</v>
      </c>
      <c r="R37" s="9">
        <v>1767</v>
      </c>
      <c r="S37" s="9">
        <v>1962.05</v>
      </c>
      <c r="T37" s="9">
        <v>-1431.28</v>
      </c>
      <c r="U37" s="9">
        <v>0</v>
      </c>
      <c r="V37" s="9">
        <v>838.3</v>
      </c>
      <c r="W37" s="9">
        <v>0</v>
      </c>
      <c r="X37" s="10">
        <f>(+$K37)*0.00998302416283691</f>
        <v>3.6331219835812307</v>
      </c>
      <c r="Y37" s="9">
        <f>(+$K37)*0.0234647417611078</f>
        <v>8.5395234691199473</v>
      </c>
      <c r="Z37" s="9">
        <f>(+$K37)*0.0160172440537002</f>
        <v>5.8291556284631039</v>
      </c>
      <c r="AA37" s="9">
        <f>(+$K37)*0.0249581733757012</f>
        <v>9.0830280366189218</v>
      </c>
      <c r="AB37" s="9">
        <f>(+$K37)*0.0175106756682936</f>
        <v>6.3726601959620792</v>
      </c>
      <c r="AC37" s="9">
        <f>(+$K37)*0.0223842517859311</f>
        <v>8.1463007524538913</v>
      </c>
      <c r="AD37" s="9">
        <f>(+$K37)*0.0482373479881093</f>
        <v>17.55501805331259</v>
      </c>
      <c r="AE37" s="9">
        <f>(+$K37)*0.0426069217591158</f>
        <v>15.505937035794986</v>
      </c>
      <c r="AF37" s="9">
        <f>(+$K37)*0.0365727018682525</f>
        <v>13.309903390913108</v>
      </c>
      <c r="AG37" s="9">
        <f t="shared" ref="AG37:AH40" si="44">(+$K37)*0.0411134901445225</f>
        <v>14.962432468296049</v>
      </c>
      <c r="AH37" s="9">
        <f t="shared" si="44"/>
        <v>14.962432468296049</v>
      </c>
      <c r="AI37" s="9">
        <f t="shared" ref="AI37:AJ40" si="45">(+$K37)*0.0350792702536591</f>
        <v>12.766398823414136</v>
      </c>
      <c r="AJ37" s="9">
        <f t="shared" si="45"/>
        <v>12.766398823414136</v>
      </c>
      <c r="AK37" s="9">
        <f t="shared" ref="AK37:AL40" si="46">(+$K37)*0.0331031561062724</f>
        <v>12.047231601755694</v>
      </c>
      <c r="AL37" s="9">
        <f t="shared" si="46"/>
        <v>12.047231601755694</v>
      </c>
      <c r="AM37" s="9">
        <f>(+$K37)*0.0312741749833369</f>
        <v>11.381610501685779</v>
      </c>
      <c r="AN37" s="9">
        <f>(+$K37)*0.0238266772759292</f>
        <v>8.6712426610288986</v>
      </c>
      <c r="AO37" s="9">
        <f>(+$K37)*0.0247989267776964</f>
        <v>9.0250734222070346</v>
      </c>
      <c r="AP37" s="9">
        <f>(+$K37)*0.0457281420833749</f>
        <v>16.641842748402599</v>
      </c>
      <c r="AQ37" s="9">
        <f t="shared" ref="AQ37:AS40" si="47">(+$K37)*0.0517623619742382</f>
        <v>18.837876393284475</v>
      </c>
      <c r="AR37" s="9">
        <f t="shared" si="47"/>
        <v>18.837876393284475</v>
      </c>
      <c r="AS37" s="9">
        <f t="shared" si="47"/>
        <v>18.837876393284475</v>
      </c>
      <c r="AT37" s="9">
        <f>(+$K37)*0.0457281420833749</f>
        <v>16.641842748402599</v>
      </c>
      <c r="AU37" s="9">
        <f t="shared" ref="AU37:AV40" si="48">(+$K37)*0.0396939221925116</f>
        <v>14.445809103520723</v>
      </c>
      <c r="AV37" s="9">
        <f t="shared" si="48"/>
        <v>14.445809103520723</v>
      </c>
      <c r="AW37" s="9">
        <f>(+$K37)*0.0297899908296304</f>
        <v>10.841471362627374</v>
      </c>
      <c r="AX37" s="9">
        <f t="shared" ref="AX37:AY40" si="49">(+$K37)*0.0370310546986664</f>
        <v>13.47671173648564</v>
      </c>
      <c r="AY37" s="9">
        <f t="shared" si="49"/>
        <v>13.47671173648564</v>
      </c>
      <c r="AZ37" s="9">
        <f>(+$K37)*0.0297899908296304</f>
        <v>10.841471362627374</v>
      </c>
    </row>
    <row r="38" spans="1:52">
      <c r="A38" s="3" t="s">
        <v>66</v>
      </c>
      <c r="B38" t="s">
        <v>13</v>
      </c>
      <c r="C38" t="str">
        <f>+_xlfn.XLOOKUP(B38,'L4'!B:B,'L4'!C:C)</f>
        <v>HASIR ÇELIK TEMINI VE İŞÇILIĞI</v>
      </c>
      <c r="D38" t="s">
        <v>73</v>
      </c>
      <c r="E38" t="str">
        <f>+_xlfn.XLOOKUP(D38,'M2'!H:H,'M2'!I:I)</f>
        <v>PETSAN - GENEL</v>
      </c>
      <c r="F38" s="91" t="s">
        <v>68</v>
      </c>
      <c r="G38" t="str">
        <f>+_xlfn.XLOOKUP(F38,'M2'!B:B,'M2'!C:C)</f>
        <v>PETSAN İNŞAAT</v>
      </c>
      <c r="H38" s="3" t="s">
        <v>69</v>
      </c>
      <c r="I38" s="3" t="s">
        <v>47</v>
      </c>
      <c r="J38" s="124">
        <v>80.489000000000004</v>
      </c>
      <c r="K38" s="124">
        <f t="shared" si="2"/>
        <v>23.460000000000008</v>
      </c>
      <c r="L38" s="6">
        <f t="shared" si="0"/>
        <v>0</v>
      </c>
      <c r="M38" s="124">
        <v>150</v>
      </c>
      <c r="R38" s="9">
        <v>92.72</v>
      </c>
      <c r="S38" s="9">
        <v>82.38</v>
      </c>
      <c r="T38" s="9">
        <v>-67.17</v>
      </c>
      <c r="U38" s="9">
        <v>0</v>
      </c>
      <c r="V38" s="9">
        <v>18.61</v>
      </c>
      <c r="W38" s="9">
        <v>0</v>
      </c>
      <c r="X38" s="10">
        <f>(+$K38)*0.00998302416283691</f>
        <v>0.23420174686015399</v>
      </c>
      <c r="Y38" s="9">
        <f>(+$K38)*0.0234647417611078</f>
        <v>0.55048284171558914</v>
      </c>
      <c r="Z38" s="9">
        <f>(+$K38)*0.0160172440537002</f>
        <v>0.37576454549980681</v>
      </c>
      <c r="AA38" s="9">
        <f>(+$K38)*0.0249581733757012</f>
        <v>0.58551874739395038</v>
      </c>
      <c r="AB38" s="9">
        <f>(+$K38)*0.0175106756682936</f>
        <v>0.41080045117816799</v>
      </c>
      <c r="AC38" s="9">
        <f>(+$K38)*0.0223842517859311</f>
        <v>0.52513454689794381</v>
      </c>
      <c r="AD38" s="9">
        <f>(+$K38)*0.0482373479881093</f>
        <v>1.1316481838010446</v>
      </c>
      <c r="AE38" s="9">
        <f>(+$K38)*0.0426069217591158</f>
        <v>0.99955838446885692</v>
      </c>
      <c r="AF38" s="9">
        <f>(+$K38)*0.0365727018682525</f>
        <v>0.85799558582920388</v>
      </c>
      <c r="AG38" s="9">
        <f t="shared" si="44"/>
        <v>0.96452247879049824</v>
      </c>
      <c r="AH38" s="9">
        <f t="shared" si="44"/>
        <v>0.96452247879049824</v>
      </c>
      <c r="AI38" s="9">
        <f t="shared" si="45"/>
        <v>0.82295968015084286</v>
      </c>
      <c r="AJ38" s="9">
        <f t="shared" si="45"/>
        <v>0.82295968015084286</v>
      </c>
      <c r="AK38" s="9">
        <f t="shared" si="46"/>
        <v>0.77660004225315082</v>
      </c>
      <c r="AL38" s="9">
        <f t="shared" si="46"/>
        <v>0.77660004225315082</v>
      </c>
      <c r="AM38" s="9">
        <f>(+$K38)*0.0312741749833369</f>
        <v>0.73369214510908387</v>
      </c>
      <c r="AN38" s="9">
        <f>(+$K38)*0.0238266772759292</f>
        <v>0.55897384889329926</v>
      </c>
      <c r="AO38" s="9">
        <f>(+$K38)*0.0247989267776964</f>
        <v>0.58178282220475774</v>
      </c>
      <c r="AP38" s="9">
        <f>(+$K38)*0.0457281420833749</f>
        <v>1.0727822132759754</v>
      </c>
      <c r="AQ38" s="9">
        <f t="shared" si="47"/>
        <v>1.2143450119156285</v>
      </c>
      <c r="AR38" s="9">
        <f t="shared" si="47"/>
        <v>1.2143450119156285</v>
      </c>
      <c r="AS38" s="9">
        <f t="shared" si="47"/>
        <v>1.2143450119156285</v>
      </c>
      <c r="AT38" s="9">
        <f>(+$K38)*0.0457281420833749</f>
        <v>1.0727822132759754</v>
      </c>
      <c r="AU38" s="9">
        <f t="shared" si="48"/>
        <v>0.93121941463632252</v>
      </c>
      <c r="AV38" s="9">
        <f t="shared" si="48"/>
        <v>0.93121941463632252</v>
      </c>
      <c r="AW38" s="9">
        <f>(+$K38)*0.0297899908296304</f>
        <v>0.69887318486312944</v>
      </c>
      <c r="AX38" s="9">
        <f t="shared" si="49"/>
        <v>0.86874854323071415</v>
      </c>
      <c r="AY38" s="9">
        <f t="shared" si="49"/>
        <v>0.86874854323071415</v>
      </c>
      <c r="AZ38" s="9">
        <f>(+$K38)*0.0297899908296304</f>
        <v>0.69887318486312944</v>
      </c>
    </row>
    <row r="39" spans="1:52">
      <c r="A39" s="3" t="s">
        <v>66</v>
      </c>
      <c r="B39" t="s">
        <v>14</v>
      </c>
      <c r="C39" t="str">
        <f>+_xlfn.XLOOKUP(B39,'L4'!B:B,'L4'!C:C)</f>
        <v>ZEMIN ÇIVISI VE YERINE YERLEŞTIRILMESI</v>
      </c>
      <c r="D39" t="s">
        <v>73</v>
      </c>
      <c r="E39" t="str">
        <f>+_xlfn.XLOOKUP(D39,'M2'!H:H,'M2'!I:I)</f>
        <v>PETSAN - GENEL</v>
      </c>
      <c r="F39" s="91" t="s">
        <v>68</v>
      </c>
      <c r="G39" t="str">
        <f>+_xlfn.XLOOKUP(F39,'M2'!B:B,'M2'!C:C)</f>
        <v>PETSAN İNŞAAT</v>
      </c>
      <c r="H39" s="3" t="s">
        <v>69</v>
      </c>
      <c r="I39" s="3" t="s">
        <v>48</v>
      </c>
      <c r="J39" s="124">
        <v>9334.5</v>
      </c>
      <c r="K39" s="124">
        <f t="shared" si="2"/>
        <v>881.5</v>
      </c>
      <c r="L39" s="6">
        <f t="shared" si="0"/>
        <v>0</v>
      </c>
      <c r="M39" s="124">
        <f>+J39</f>
        <v>9334.5</v>
      </c>
      <c r="R39" s="9">
        <v>6267</v>
      </c>
      <c r="S39" s="9">
        <v>1581</v>
      </c>
      <c r="T39" s="9">
        <v>0</v>
      </c>
      <c r="U39" s="9">
        <v>0</v>
      </c>
      <c r="V39" s="9">
        <v>605</v>
      </c>
      <c r="W39" s="9">
        <v>0</v>
      </c>
      <c r="X39" s="10">
        <f>(+$K39)*0.00998302416283691</f>
        <v>8.800035799540737</v>
      </c>
      <c r="Y39" s="9">
        <f>(+$K39)*0.0234647417611078</f>
        <v>20.684169862416525</v>
      </c>
      <c r="Z39" s="9">
        <f>(+$K39)*0.0160172440537002</f>
        <v>14.119200633336726</v>
      </c>
      <c r="AA39" s="9">
        <f>(+$K39)*0.0249581733757012</f>
        <v>22.000629830680609</v>
      </c>
      <c r="AB39" s="9">
        <f>(+$K39)*0.0175106756682936</f>
        <v>15.435660601600809</v>
      </c>
      <c r="AC39" s="9">
        <f>(+$K39)*0.0223842517859311</f>
        <v>19.731717949298265</v>
      </c>
      <c r="AD39" s="9">
        <f>(+$K39)*0.0482373479881093</f>
        <v>42.521222251518353</v>
      </c>
      <c r="AE39" s="9">
        <f>(+$K39)*0.0426069217591158</f>
        <v>37.558001530660576</v>
      </c>
      <c r="AF39" s="9">
        <f>(+$K39)*0.0365727018682525</f>
        <v>32.238836696864574</v>
      </c>
      <c r="AG39" s="9">
        <f t="shared" si="44"/>
        <v>36.241541562396584</v>
      </c>
      <c r="AH39" s="9">
        <f t="shared" si="44"/>
        <v>36.241541562396584</v>
      </c>
      <c r="AI39" s="9">
        <f t="shared" si="45"/>
        <v>30.922376728600501</v>
      </c>
      <c r="AJ39" s="9">
        <f t="shared" si="45"/>
        <v>30.922376728600501</v>
      </c>
      <c r="AK39" s="9">
        <f t="shared" si="46"/>
        <v>29.180432107679124</v>
      </c>
      <c r="AL39" s="9">
        <f t="shared" si="46"/>
        <v>29.180432107679124</v>
      </c>
      <c r="AM39" s="9">
        <f>(+$K39)*0.0312741749833369</f>
        <v>27.568185247811478</v>
      </c>
      <c r="AN39" s="9">
        <f>(+$K39)*0.0238266772759292</f>
        <v>21.003216018731589</v>
      </c>
      <c r="AO39" s="9">
        <f>(+$K39)*0.0247989267776964</f>
        <v>21.860253954539377</v>
      </c>
      <c r="AP39" s="9">
        <f>(+$K39)*0.0457281420833749</f>
        <v>40.309357246494969</v>
      </c>
      <c r="AQ39" s="9">
        <f t="shared" si="47"/>
        <v>45.628522080290971</v>
      </c>
      <c r="AR39" s="9">
        <f t="shared" si="47"/>
        <v>45.628522080290971</v>
      </c>
      <c r="AS39" s="9">
        <f t="shared" si="47"/>
        <v>45.628522080290971</v>
      </c>
      <c r="AT39" s="9">
        <f>(+$K39)*0.0457281420833749</f>
        <v>40.309357246494969</v>
      </c>
      <c r="AU39" s="9">
        <f t="shared" si="48"/>
        <v>34.990192412698981</v>
      </c>
      <c r="AV39" s="9">
        <f t="shared" si="48"/>
        <v>34.990192412698981</v>
      </c>
      <c r="AW39" s="9">
        <f>(+$K39)*0.0297899908296304</f>
        <v>26.2598769163192</v>
      </c>
      <c r="AX39" s="9">
        <f t="shared" si="49"/>
        <v>32.642874716874438</v>
      </c>
      <c r="AY39" s="9">
        <f t="shared" si="49"/>
        <v>32.642874716874438</v>
      </c>
      <c r="AZ39" s="9">
        <f>(+$K39)*0.0297899908296304</f>
        <v>26.2598769163192</v>
      </c>
    </row>
    <row r="40" spans="1:52">
      <c r="A40" s="3" t="s">
        <v>66</v>
      </c>
      <c r="B40" t="s">
        <v>15</v>
      </c>
      <c r="C40" t="str">
        <f>+_xlfn.XLOOKUP(B40,'L4'!B:B,'L4'!C:C)</f>
        <v>BARBAKAN DELIĞI - GEOTEKSTIL SARIMLI</v>
      </c>
      <c r="D40" t="s">
        <v>73</v>
      </c>
      <c r="E40" t="str">
        <f>+_xlfn.XLOOKUP(D40,'M2'!H:H,'M2'!I:I)</f>
        <v>PETSAN - GENEL</v>
      </c>
      <c r="F40" s="91" t="s">
        <v>68</v>
      </c>
      <c r="G40" t="str">
        <f>+_xlfn.XLOOKUP(F40,'M2'!B:B,'M2'!C:C)</f>
        <v>PETSAN İNŞAAT</v>
      </c>
      <c r="H40" s="3" t="s">
        <v>69</v>
      </c>
      <c r="I40" s="3" t="s">
        <v>49</v>
      </c>
      <c r="J40" s="124">
        <v>2333.5</v>
      </c>
      <c r="K40" s="124">
        <f t="shared" si="2"/>
        <v>238.5</v>
      </c>
      <c r="L40" s="6">
        <f t="shared" si="0"/>
        <v>0</v>
      </c>
      <c r="M40" s="124">
        <f>+J40</f>
        <v>2333.5</v>
      </c>
      <c r="R40" s="9">
        <v>1215</v>
      </c>
      <c r="S40" s="9">
        <v>612</v>
      </c>
      <c r="T40" s="9">
        <v>84</v>
      </c>
      <c r="U40" s="9">
        <v>0</v>
      </c>
      <c r="V40" s="9">
        <v>184</v>
      </c>
      <c r="W40" s="9">
        <v>0</v>
      </c>
      <c r="X40" s="10">
        <f>(+$K40)*0.00998302416283691</f>
        <v>2.3809512628366032</v>
      </c>
      <c r="Y40" s="9">
        <f>(+$K40)*0.0234647417611078</f>
        <v>5.5963409100242103</v>
      </c>
      <c r="Z40" s="9">
        <f>(+$K40)*0.0160172440537002</f>
        <v>3.8201127068074978</v>
      </c>
      <c r="AA40" s="9">
        <f>(+$K40)*0.0249581733757012</f>
        <v>5.9525243501047358</v>
      </c>
      <c r="AB40" s="9">
        <f>(+$K40)*0.0175106756682936</f>
        <v>4.1762961468880242</v>
      </c>
      <c r="AC40" s="9">
        <f>(+$K40)*0.0223842517859311</f>
        <v>5.3386440509445672</v>
      </c>
      <c r="AD40" s="9">
        <f>(+$K40)*0.0482373479881093</f>
        <v>11.504607495164068</v>
      </c>
      <c r="AE40" s="9">
        <f>(+$K40)*0.0426069217591158</f>
        <v>10.161750839549118</v>
      </c>
      <c r="AF40" s="9">
        <f>(+$K40)*0.0365727018682525</f>
        <v>8.7225893955782201</v>
      </c>
      <c r="AG40" s="9">
        <f t="shared" si="44"/>
        <v>9.8055673994686163</v>
      </c>
      <c r="AH40" s="9">
        <f t="shared" si="44"/>
        <v>9.8055673994686163</v>
      </c>
      <c r="AI40" s="9">
        <f t="shared" si="45"/>
        <v>8.3664059554976955</v>
      </c>
      <c r="AJ40" s="9">
        <f t="shared" si="45"/>
        <v>8.3664059554976955</v>
      </c>
      <c r="AK40" s="9">
        <f t="shared" si="46"/>
        <v>7.8951027313459683</v>
      </c>
      <c r="AL40" s="9">
        <f t="shared" si="46"/>
        <v>7.8951027313459683</v>
      </c>
      <c r="AM40" s="9">
        <f>(+$K40)*0.0312741749833369</f>
        <v>7.458890733525851</v>
      </c>
      <c r="AN40" s="9">
        <f>(+$K40)*0.0238266772759292</f>
        <v>5.6826625303091145</v>
      </c>
      <c r="AO40" s="9">
        <f>(+$K40)*0.0247989267776964</f>
        <v>5.9145440364805912</v>
      </c>
      <c r="AP40" s="9">
        <f>(+$K40)*0.0457281420833749</f>
        <v>10.906161886884913</v>
      </c>
      <c r="AQ40" s="9">
        <f t="shared" si="47"/>
        <v>12.345323330855811</v>
      </c>
      <c r="AR40" s="9">
        <f t="shared" si="47"/>
        <v>12.345323330855811</v>
      </c>
      <c r="AS40" s="9">
        <f t="shared" si="47"/>
        <v>12.345323330855811</v>
      </c>
      <c r="AT40" s="9">
        <f>(+$K40)*0.0457281420833749</f>
        <v>10.906161886884913</v>
      </c>
      <c r="AU40" s="9">
        <f t="shared" si="48"/>
        <v>9.4670004429140171</v>
      </c>
      <c r="AV40" s="9">
        <f t="shared" si="48"/>
        <v>9.4670004429140171</v>
      </c>
      <c r="AW40" s="9">
        <f>(+$K40)*0.0297899908296304</f>
        <v>7.1049128128668508</v>
      </c>
      <c r="AX40" s="9">
        <f t="shared" si="49"/>
        <v>8.8319065456319379</v>
      </c>
      <c r="AY40" s="9">
        <f t="shared" si="49"/>
        <v>8.8319065456319379</v>
      </c>
      <c r="AZ40" s="9">
        <f>(+$K40)*0.0297899908296304</f>
        <v>7.1049128128668508</v>
      </c>
    </row>
    <row r="41" spans="1:52">
      <c r="A41" s="3" t="s">
        <v>66</v>
      </c>
      <c r="B41" t="s">
        <v>16</v>
      </c>
      <c r="C41" t="str">
        <f>+_xlfn.XLOOKUP(B41,'L4'!B:B,'L4'!C:C)</f>
        <v>TÜNEL KAZISI YAPILMASI</v>
      </c>
      <c r="D41" t="s">
        <v>74</v>
      </c>
      <c r="E41" t="str">
        <f>+_xlfn.XLOOKUP(D41,'M2'!H:H,'M2'!I:I)</f>
        <v>PETSAN - GENEL</v>
      </c>
      <c r="F41" s="91" t="s">
        <v>68</v>
      </c>
      <c r="G41" t="str">
        <f>+_xlfn.XLOOKUP(F41,'M2'!B:B,'M2'!C:C)</f>
        <v>PETSAN İNŞAAT</v>
      </c>
      <c r="H41" s="3" t="s">
        <v>69</v>
      </c>
      <c r="I41" s="3" t="s">
        <v>50</v>
      </c>
      <c r="J41" s="124">
        <v>173730.5</v>
      </c>
      <c r="K41" s="124">
        <f t="shared" si="2"/>
        <v>129039.486</v>
      </c>
      <c r="L41" s="6">
        <f t="shared" si="0"/>
        <v>0</v>
      </c>
      <c r="M41" s="124">
        <f>+J41</f>
        <v>173730.5</v>
      </c>
      <c r="R41" s="9">
        <v>1124.54</v>
      </c>
      <c r="S41" s="9">
        <v>6547.55</v>
      </c>
      <c r="T41" s="9">
        <v>5140.7640000000001</v>
      </c>
      <c r="U41" s="9">
        <v>10127.77</v>
      </c>
      <c r="V41" s="9">
        <v>12070.26</v>
      </c>
      <c r="W41" s="9">
        <v>9680.1299999999992</v>
      </c>
      <c r="X41" s="10">
        <f t="shared" ref="X41:X48" si="50">(+$K41)*0.165995975855131</f>
        <v>21420.035402414516</v>
      </c>
      <c r="Y41" s="9">
        <f t="shared" ref="Y41:Y48" si="51">(+$K41)*0.1841046277666</f>
        <v>23756.766537223393</v>
      </c>
      <c r="Z41" s="9">
        <f t="shared" ref="Z41:AA48" si="52">(+$K41)*0.116700201207243</f>
        <v>15058.933979879217</v>
      </c>
      <c r="AA41" s="9">
        <f t="shared" si="52"/>
        <v>15058.933979879217</v>
      </c>
      <c r="AB41" s="9">
        <f t="shared" ref="AB41:AB48" si="53">(+$K41)*0.127766599597586</f>
        <v>16486.936340040302</v>
      </c>
      <c r="AC41" s="9">
        <f t="shared" ref="AC41:AC48" si="54">(+$K41)*0.0985915492957746</f>
        <v>12722.202845070417</v>
      </c>
      <c r="AD41" s="9">
        <f t="shared" ref="AD41:AE48" si="55">(+$K41)*0.0814889336016097</f>
        <v>10515.290106639846</v>
      </c>
      <c r="AE41" s="9">
        <f t="shared" si="55"/>
        <v>10515.290106639846</v>
      </c>
      <c r="AF41" s="9">
        <f t="shared" ref="AF41:AF48" si="56">(+$K41)*0.0271629778672032</f>
        <v>3505.0967022132772</v>
      </c>
    </row>
    <row r="42" spans="1:52">
      <c r="A42" s="3" t="s">
        <v>66</v>
      </c>
      <c r="B42" t="s">
        <v>17</v>
      </c>
      <c r="C42" t="str">
        <f>+_xlfn.XLOOKUP(B42,'L4'!B:B,'L4'!C:C)</f>
        <v>TÜNELLERDE ÇELIK İKSA YAPILMASI (MLZ.+İŞÇ.)</v>
      </c>
      <c r="D42" t="s">
        <v>74</v>
      </c>
      <c r="E42" t="str">
        <f>+_xlfn.XLOOKUP(D42,'M2'!H:H,'M2'!I:I)</f>
        <v>PETSAN - GENEL</v>
      </c>
      <c r="F42" s="91" t="s">
        <v>68</v>
      </c>
      <c r="G42" t="str">
        <f>+_xlfn.XLOOKUP(F42,'M2'!B:B,'M2'!C:C)</f>
        <v>PETSAN İNŞAAT</v>
      </c>
      <c r="H42" s="3" t="s">
        <v>69</v>
      </c>
      <c r="I42" s="3" t="s">
        <v>51</v>
      </c>
      <c r="J42" s="124">
        <v>1039.58</v>
      </c>
      <c r="K42" s="124">
        <f t="shared" si="2"/>
        <v>676.6339999999999</v>
      </c>
      <c r="L42" s="6">
        <f t="shared" si="0"/>
        <v>0</v>
      </c>
      <c r="M42" s="124">
        <f>+J42</f>
        <v>1039.58</v>
      </c>
      <c r="R42" s="9">
        <v>9.6999999999999993</v>
      </c>
      <c r="S42" s="9">
        <v>56.86</v>
      </c>
      <c r="T42" s="9">
        <v>33.866</v>
      </c>
      <c r="U42" s="9">
        <v>87.11</v>
      </c>
      <c r="V42" s="9">
        <v>104.61</v>
      </c>
      <c r="W42" s="9">
        <v>70.8</v>
      </c>
      <c r="X42" s="10">
        <f t="shared" si="50"/>
        <v>112.3185211267607</v>
      </c>
      <c r="Y42" s="9">
        <f t="shared" si="51"/>
        <v>124.57145070422561</v>
      </c>
      <c r="Z42" s="9">
        <f t="shared" si="52"/>
        <v>78.963323943661649</v>
      </c>
      <c r="AA42" s="9">
        <f t="shared" si="52"/>
        <v>78.963323943661649</v>
      </c>
      <c r="AB42" s="9">
        <f t="shared" si="53"/>
        <v>86.451225352112985</v>
      </c>
      <c r="AC42" s="9">
        <f t="shared" si="54"/>
        <v>66.710394366197136</v>
      </c>
      <c r="AD42" s="9">
        <f t="shared" si="55"/>
        <v>55.138183098591576</v>
      </c>
      <c r="AE42" s="9">
        <f t="shared" si="55"/>
        <v>55.138183098591576</v>
      </c>
      <c r="AF42" s="9">
        <f t="shared" si="56"/>
        <v>18.379394366197168</v>
      </c>
    </row>
    <row r="43" spans="1:52">
      <c r="A43" s="3" t="s">
        <v>66</v>
      </c>
      <c r="B43" t="s">
        <v>18</v>
      </c>
      <c r="C43" t="str">
        <f>+_xlfn.XLOOKUP(B43,'L4'!B:B,'L4'!C:C)</f>
        <v>SÜREN - TÜNEL - Ø 3.5" - K. DELGILI + ENJEKS.</v>
      </c>
      <c r="D43" t="s">
        <v>74</v>
      </c>
      <c r="E43" t="str">
        <f>+_xlfn.XLOOKUP(D43,'M2'!H:H,'M2'!I:I)</f>
        <v>PETSAN - GENEL</v>
      </c>
      <c r="F43" s="91" t="s">
        <v>68</v>
      </c>
      <c r="G43" t="str">
        <f>+_xlfn.XLOOKUP(F43,'M2'!B:B,'M2'!C:C)</f>
        <v>PETSAN İNŞAAT</v>
      </c>
      <c r="H43" s="3" t="s">
        <v>69</v>
      </c>
      <c r="I43" s="3" t="s">
        <v>52</v>
      </c>
      <c r="J43" s="124">
        <v>0</v>
      </c>
      <c r="K43" s="124">
        <f t="shared" si="2"/>
        <v>4725</v>
      </c>
      <c r="L43" s="6">
        <f t="shared" si="0"/>
        <v>0</v>
      </c>
      <c r="M43" s="124">
        <v>15000</v>
      </c>
      <c r="S43" s="9">
        <v>1878</v>
      </c>
      <c r="T43" s="9">
        <v>360</v>
      </c>
      <c r="U43" s="9">
        <v>1200</v>
      </c>
      <c r="V43" s="9">
        <v>3534</v>
      </c>
      <c r="W43" s="9">
        <v>3303</v>
      </c>
      <c r="X43" s="10">
        <f t="shared" si="50"/>
        <v>784.33098591549401</v>
      </c>
      <c r="Y43" s="9">
        <f t="shared" si="51"/>
        <v>869.89436619718504</v>
      </c>
      <c r="Z43" s="9">
        <f t="shared" si="52"/>
        <v>551.40845070422324</v>
      </c>
      <c r="AA43" s="9">
        <f t="shared" si="52"/>
        <v>551.40845070422324</v>
      </c>
      <c r="AB43" s="9">
        <f t="shared" si="53"/>
        <v>603.69718309859377</v>
      </c>
      <c r="AC43" s="9">
        <f t="shared" si="54"/>
        <v>465.845070422535</v>
      </c>
      <c r="AD43" s="9">
        <f t="shared" si="55"/>
        <v>385.03521126760586</v>
      </c>
      <c r="AE43" s="9">
        <f t="shared" si="55"/>
        <v>385.03521126760586</v>
      </c>
      <c r="AF43" s="9">
        <f t="shared" si="56"/>
        <v>128.34507042253512</v>
      </c>
    </row>
    <row r="44" spans="1:52">
      <c r="A44" s="3" t="s">
        <v>66</v>
      </c>
      <c r="B44" t="s">
        <v>19</v>
      </c>
      <c r="C44" t="str">
        <f>+_xlfn.XLOOKUP(B44,'L4'!B:B,'L4'!C:C)</f>
        <v>SÜREN - TÜNEL - ÇELIK BORU + ENJEKS.</v>
      </c>
      <c r="D44" t="s">
        <v>74</v>
      </c>
      <c r="E44" t="str">
        <f>+_xlfn.XLOOKUP(D44,'M2'!H:H,'M2'!I:I)</f>
        <v>PETSAN - GENEL</v>
      </c>
      <c r="F44" s="91" t="s">
        <v>68</v>
      </c>
      <c r="G44" t="str">
        <f>+_xlfn.XLOOKUP(F44,'M2'!B:B,'M2'!C:C)</f>
        <v>PETSAN İNŞAAT</v>
      </c>
      <c r="H44" s="3" t="s">
        <v>69</v>
      </c>
      <c r="I44" s="3" t="s">
        <v>53</v>
      </c>
      <c r="J44" s="124">
        <v>90535.69</v>
      </c>
      <c r="K44" s="124">
        <f t="shared" si="2"/>
        <v>66647.69</v>
      </c>
      <c r="L44" s="6">
        <f t="shared" si="0"/>
        <v>0</v>
      </c>
      <c r="M44" s="124">
        <f>+J44</f>
        <v>90535.69</v>
      </c>
      <c r="R44" s="9">
        <v>1852</v>
      </c>
      <c r="S44" s="9">
        <v>5608</v>
      </c>
      <c r="T44" s="9">
        <v>4276</v>
      </c>
      <c r="U44" s="9">
        <v>3316</v>
      </c>
      <c r="V44" s="9">
        <v>3260</v>
      </c>
      <c r="W44" s="9">
        <v>5576</v>
      </c>
      <c r="X44" s="10">
        <f t="shared" si="50"/>
        <v>11063.248340040256</v>
      </c>
      <c r="Y44" s="9">
        <f t="shared" si="51"/>
        <v>12270.148158953749</v>
      </c>
      <c r="Z44" s="9">
        <f t="shared" si="52"/>
        <v>7777.798832997958</v>
      </c>
      <c r="AA44" s="9">
        <f t="shared" si="52"/>
        <v>7777.798832997958</v>
      </c>
      <c r="AB44" s="9">
        <f t="shared" si="53"/>
        <v>8515.3487223340362</v>
      </c>
      <c r="AC44" s="9">
        <f t="shared" si="54"/>
        <v>6570.8990140845044</v>
      </c>
      <c r="AD44" s="9">
        <f t="shared" si="55"/>
        <v>5431.0491851106672</v>
      </c>
      <c r="AE44" s="9">
        <f t="shared" si="55"/>
        <v>5431.0491851106672</v>
      </c>
      <c r="AF44" s="9">
        <f t="shared" si="56"/>
        <v>1810.34972837022</v>
      </c>
    </row>
    <row r="45" spans="1:52">
      <c r="A45" s="3" t="s">
        <v>66</v>
      </c>
      <c r="B45" t="s">
        <v>20</v>
      </c>
      <c r="C45" t="str">
        <f>+_xlfn.XLOOKUP(B45,'L4'!B:B,'L4'!C:C)</f>
        <v>TÜNELDE HASIR ÇELIK ILE İKSA</v>
      </c>
      <c r="D45" t="s">
        <v>74</v>
      </c>
      <c r="E45" t="str">
        <f>+_xlfn.XLOOKUP(D45,'M2'!H:H,'M2'!I:I)</f>
        <v>PETSAN - GENEL</v>
      </c>
      <c r="F45" s="91" t="s">
        <v>68</v>
      </c>
      <c r="G45" t="str">
        <f>+_xlfn.XLOOKUP(F45,'M2'!B:B,'M2'!C:C)</f>
        <v>PETSAN İNŞAAT</v>
      </c>
      <c r="H45" s="3" t="s">
        <v>69</v>
      </c>
      <c r="I45" s="3" t="s">
        <v>54</v>
      </c>
      <c r="J45" s="124">
        <v>1383.27</v>
      </c>
      <c r="K45" s="124">
        <f t="shared" si="2"/>
        <v>1142.1120000000001</v>
      </c>
      <c r="L45" s="6">
        <f t="shared" si="0"/>
        <v>0</v>
      </c>
      <c r="M45" s="124">
        <f>+J45</f>
        <v>1383.27</v>
      </c>
      <c r="S45" s="9">
        <v>41.09</v>
      </c>
      <c r="T45" s="9">
        <v>19.128</v>
      </c>
      <c r="U45" s="9">
        <v>64.319999999999993</v>
      </c>
      <c r="V45" s="9">
        <v>71.31</v>
      </c>
      <c r="W45" s="9">
        <v>45.31</v>
      </c>
      <c r="X45" s="10">
        <f t="shared" si="50"/>
        <v>189.58599597585541</v>
      </c>
      <c r="Y45" s="9">
        <f t="shared" si="51"/>
        <v>210.26810462776706</v>
      </c>
      <c r="Z45" s="9">
        <f t="shared" si="52"/>
        <v>133.28470020120673</v>
      </c>
      <c r="AA45" s="9">
        <f t="shared" si="52"/>
        <v>133.28470020120673</v>
      </c>
      <c r="AB45" s="9">
        <f t="shared" si="53"/>
        <v>145.92376659959814</v>
      </c>
      <c r="AC45" s="9">
        <f t="shared" si="54"/>
        <v>112.60259154929572</v>
      </c>
      <c r="AD45" s="9">
        <f t="shared" si="55"/>
        <v>93.069488933601676</v>
      </c>
      <c r="AE45" s="9">
        <f t="shared" si="55"/>
        <v>93.069488933601676</v>
      </c>
      <c r="AF45" s="9">
        <f t="shared" si="56"/>
        <v>31.023162977867184</v>
      </c>
    </row>
    <row r="46" spans="1:52">
      <c r="A46" s="3" t="s">
        <v>66</v>
      </c>
      <c r="B46" t="s">
        <v>21</v>
      </c>
      <c r="C46" t="str">
        <f>+_xlfn.XLOOKUP(B46,'L4'!B:B,'L4'!C:C)</f>
        <v>TÜNELDE PÜSKÜRTME BETONU YAPILMASI</v>
      </c>
      <c r="D46" t="s">
        <v>74</v>
      </c>
      <c r="E46" t="str">
        <f>+_xlfn.XLOOKUP(D46,'M2'!H:H,'M2'!I:I)</f>
        <v>PETSAN - GENEL</v>
      </c>
      <c r="F46" s="91" t="s">
        <v>68</v>
      </c>
      <c r="G46" t="str">
        <f>+_xlfn.XLOOKUP(F46,'M2'!B:B,'M2'!C:C)</f>
        <v>PETSAN İNŞAAT</v>
      </c>
      <c r="H46" s="3" t="s">
        <v>69</v>
      </c>
      <c r="I46" s="3" t="s">
        <v>55</v>
      </c>
      <c r="J46" s="124">
        <v>16356.44</v>
      </c>
      <c r="K46" s="124">
        <f t="shared" si="2"/>
        <v>10482.474</v>
      </c>
      <c r="L46" s="6">
        <f t="shared" si="0"/>
        <v>0</v>
      </c>
      <c r="M46" s="124">
        <f>+J46</f>
        <v>16356.44</v>
      </c>
      <c r="R46" s="9">
        <v>102.85</v>
      </c>
      <c r="S46" s="9">
        <v>746.83</v>
      </c>
      <c r="T46" s="9">
        <v>640.82600000000002</v>
      </c>
      <c r="U46" s="9">
        <v>1400.69</v>
      </c>
      <c r="V46" s="9">
        <v>839.01</v>
      </c>
      <c r="W46" s="9">
        <v>2143.7600000000002</v>
      </c>
      <c r="X46" s="10">
        <f t="shared" si="50"/>
        <v>1740.0485010060386</v>
      </c>
      <c r="Y46" s="9">
        <f t="shared" si="51"/>
        <v>1929.8719738430625</v>
      </c>
      <c r="Z46" s="9">
        <f t="shared" si="52"/>
        <v>1223.3068249496935</v>
      </c>
      <c r="AA46" s="9">
        <f t="shared" si="52"/>
        <v>1223.3068249496935</v>
      </c>
      <c r="AB46" s="9">
        <f t="shared" si="53"/>
        <v>1339.3100583501057</v>
      </c>
      <c r="AC46" s="9">
        <f t="shared" si="54"/>
        <v>1033.4833521126757</v>
      </c>
      <c r="AD46" s="9">
        <f t="shared" si="55"/>
        <v>854.20562776660006</v>
      </c>
      <c r="AE46" s="9">
        <f t="shared" si="55"/>
        <v>854.20562776660006</v>
      </c>
      <c r="AF46" s="9">
        <f t="shared" si="56"/>
        <v>284.73520925553299</v>
      </c>
    </row>
    <row r="47" spans="1:52">
      <c r="A47" s="3" t="s">
        <v>66</v>
      </c>
      <c r="B47" t="s">
        <v>22</v>
      </c>
      <c r="C47" t="str">
        <f>+_xlfn.XLOOKUP(B47,'L4'!B:B,'L4'!C:C)</f>
        <v>TÜNELLERDE SN KAYA BULONU YAPILMASI</v>
      </c>
      <c r="D47" t="s">
        <v>74</v>
      </c>
      <c r="E47" t="str">
        <f>+_xlfn.XLOOKUP(D47,'M2'!H:H,'M2'!I:I)</f>
        <v>PETSAN - GENEL</v>
      </c>
      <c r="F47" s="91" t="s">
        <v>68</v>
      </c>
      <c r="G47" t="str">
        <f>+_xlfn.XLOOKUP(F47,'M2'!B:B,'M2'!C:C)</f>
        <v>PETSAN İNŞAAT</v>
      </c>
      <c r="H47" s="3" t="s">
        <v>69</v>
      </c>
      <c r="I47" s="3" t="s">
        <v>56</v>
      </c>
      <c r="J47" s="124">
        <v>127024.34</v>
      </c>
      <c r="K47" s="124">
        <f t="shared" si="2"/>
        <v>114178.34</v>
      </c>
      <c r="L47" s="6">
        <f t="shared" si="0"/>
        <v>0</v>
      </c>
      <c r="M47" s="124">
        <f>+J47</f>
        <v>127024.34</v>
      </c>
      <c r="R47" s="9">
        <v>486</v>
      </c>
      <c r="S47" s="9">
        <v>2350</v>
      </c>
      <c r="T47" s="9">
        <v>2280</v>
      </c>
      <c r="U47" s="9">
        <v>1298</v>
      </c>
      <c r="V47" s="9">
        <v>2118</v>
      </c>
      <c r="W47" s="9">
        <v>4314</v>
      </c>
      <c r="X47" s="10">
        <f t="shared" si="50"/>
        <v>18953.144969818939</v>
      </c>
      <c r="Y47" s="9">
        <f t="shared" si="51"/>
        <v>21020.760784708295</v>
      </c>
      <c r="Z47" s="9">
        <f t="shared" si="52"/>
        <v>13324.635251509002</v>
      </c>
      <c r="AA47" s="9">
        <f t="shared" si="52"/>
        <v>13324.635251509002</v>
      </c>
      <c r="AB47" s="9">
        <f t="shared" si="53"/>
        <v>14588.178249497036</v>
      </c>
      <c r="AC47" s="9">
        <f t="shared" si="54"/>
        <v>11257.019436619712</v>
      </c>
      <c r="AD47" s="9">
        <f t="shared" si="55"/>
        <v>9304.271167002018</v>
      </c>
      <c r="AE47" s="9">
        <f t="shared" si="55"/>
        <v>9304.271167002018</v>
      </c>
      <c r="AF47" s="9">
        <f t="shared" si="56"/>
        <v>3101.4237223340015</v>
      </c>
    </row>
    <row r="48" spans="1:52">
      <c r="A48" s="3" t="s">
        <v>66</v>
      </c>
      <c r="B48" t="s">
        <v>23</v>
      </c>
      <c r="C48" t="str">
        <f>+_xlfn.XLOOKUP(B48,'L4'!B:B,'L4'!C:C)</f>
        <v>TÜNELLERDE IBO BULONU YAPILMASI (MLZ.+İŞÇ.)</v>
      </c>
      <c r="D48" t="s">
        <v>74</v>
      </c>
      <c r="E48" t="str">
        <f>+_xlfn.XLOOKUP(D48,'M2'!H:H,'M2'!I:I)</f>
        <v>PETSAN - GENEL</v>
      </c>
      <c r="F48" s="91" t="s">
        <v>68</v>
      </c>
      <c r="G48" t="str">
        <f>+_xlfn.XLOOKUP(F48,'M2'!B:B,'M2'!C:C)</f>
        <v>PETSAN İNŞAAT</v>
      </c>
      <c r="H48" s="3" t="s">
        <v>69</v>
      </c>
      <c r="I48" s="3" t="s">
        <v>57</v>
      </c>
      <c r="J48" s="124">
        <v>0</v>
      </c>
      <c r="K48" s="124">
        <f t="shared" si="2"/>
        <v>29701</v>
      </c>
      <c r="L48" s="6">
        <f t="shared" si="0"/>
        <v>0</v>
      </c>
      <c r="M48" s="124">
        <v>75000</v>
      </c>
      <c r="R48" s="9">
        <v>1182</v>
      </c>
      <c r="S48" s="9">
        <v>3500</v>
      </c>
      <c r="T48" s="9">
        <v>5703</v>
      </c>
      <c r="U48" s="9">
        <v>14781</v>
      </c>
      <c r="V48" s="9">
        <v>7458</v>
      </c>
      <c r="W48" s="9">
        <v>12675</v>
      </c>
      <c r="X48" s="10">
        <f t="shared" si="50"/>
        <v>4930.2464788732459</v>
      </c>
      <c r="Y48" s="9">
        <f t="shared" si="51"/>
        <v>5468.0915492957865</v>
      </c>
      <c r="Z48" s="9">
        <f t="shared" si="52"/>
        <v>3466.1126760563243</v>
      </c>
      <c r="AA48" s="9">
        <f t="shared" si="52"/>
        <v>3466.1126760563243</v>
      </c>
      <c r="AB48" s="9">
        <f t="shared" si="53"/>
        <v>3794.7957746479015</v>
      </c>
      <c r="AC48" s="9">
        <f t="shared" si="54"/>
        <v>2928.2676056338014</v>
      </c>
      <c r="AD48" s="9">
        <f t="shared" si="55"/>
        <v>2420.3028169014101</v>
      </c>
      <c r="AE48" s="9">
        <f t="shared" si="55"/>
        <v>2420.3028169014101</v>
      </c>
      <c r="AF48" s="9">
        <f t="shared" si="56"/>
        <v>806.76760563380219</v>
      </c>
    </row>
    <row r="49" spans="1:52">
      <c r="A49" s="3" t="s">
        <v>66</v>
      </c>
      <c r="B49" t="s">
        <v>24</v>
      </c>
      <c r="C49" t="str">
        <f>+_xlfn.XLOOKUP(B49,'L4'!B:B,'L4'!C:C)</f>
        <v>SU YALITIMI  - TÜNELLERDE</v>
      </c>
      <c r="D49" t="s">
        <v>74</v>
      </c>
      <c r="E49" t="str">
        <f>+_xlfn.XLOOKUP(D49,'M2'!H:H,'M2'!I:I)</f>
        <v>PETSAN - GENEL</v>
      </c>
      <c r="F49" s="91" t="s">
        <v>68</v>
      </c>
      <c r="G49" t="str">
        <f>+_xlfn.XLOOKUP(F49,'M2'!B:B,'M2'!C:C)</f>
        <v>PETSAN İNŞAAT</v>
      </c>
      <c r="H49" s="3" t="s">
        <v>69</v>
      </c>
      <c r="I49" s="3" t="s">
        <v>58</v>
      </c>
      <c r="J49" s="124">
        <v>38815.589999999997</v>
      </c>
      <c r="K49" s="124">
        <f t="shared" si="2"/>
        <v>38815.588000000003</v>
      </c>
      <c r="L49" s="6">
        <f t="shared" si="0"/>
        <v>0</v>
      </c>
      <c r="M49" s="124">
        <v>38815.588000000003</v>
      </c>
      <c r="T49" s="9">
        <v>0</v>
      </c>
      <c r="U49" s="9">
        <v>0</v>
      </c>
      <c r="V49" s="9">
        <v>0</v>
      </c>
      <c r="W49" s="9">
        <v>0</v>
      </c>
      <c r="X49" s="10">
        <f t="shared" ref="X49:AB50" si="57">(+$K49)*0</f>
        <v>0</v>
      </c>
      <c r="Y49" s="9">
        <f t="shared" si="57"/>
        <v>0</v>
      </c>
      <c r="Z49" s="9">
        <f t="shared" si="57"/>
        <v>0</v>
      </c>
      <c r="AA49" s="9">
        <f t="shared" si="57"/>
        <v>0</v>
      </c>
      <c r="AB49" s="9">
        <f t="shared" si="57"/>
        <v>0</v>
      </c>
      <c r="AC49" s="9">
        <f>(+$K49)*0.146</f>
        <v>5667.0758480000004</v>
      </c>
      <c r="AD49" s="9">
        <f>(+$K49)*0.140666666666667</f>
        <v>5460.0593786666795</v>
      </c>
      <c r="AE49" s="9">
        <f>(+$K49)*0.14</f>
        <v>5434.1823200000008</v>
      </c>
      <c r="AF49" s="9">
        <f>(+$K49)*0.170666666666667</f>
        <v>6624.5270186666803</v>
      </c>
      <c r="AG49" s="9">
        <f>(+$K49)*0.200666666666667</f>
        <v>7788.9946586666802</v>
      </c>
      <c r="AH49" s="9">
        <f>(+$K49)*0.172</f>
        <v>6676.2811359999996</v>
      </c>
      <c r="AI49" s="9">
        <f>(+$K49)*0.03</f>
        <v>1164.4676400000001</v>
      </c>
    </row>
    <row r="50" spans="1:52">
      <c r="A50" s="3" t="s">
        <v>66</v>
      </c>
      <c r="B50" t="s">
        <v>25</v>
      </c>
      <c r="C50" t="str">
        <f>+_xlfn.XLOOKUP(B50,'L4'!B:B,'L4'!C:C)</f>
        <v>TÜNELLERDE NIHAI BETON KAPLAMASI - C25/30</v>
      </c>
      <c r="D50" t="s">
        <v>74</v>
      </c>
      <c r="E50" t="str">
        <f>+_xlfn.XLOOKUP(D50,'M2'!H:H,'M2'!I:I)</f>
        <v>PETSAN - GENEL</v>
      </c>
      <c r="F50" s="91" t="s">
        <v>68</v>
      </c>
      <c r="G50" t="str">
        <f>+_xlfn.XLOOKUP(F50,'M2'!B:B,'M2'!C:C)</f>
        <v>PETSAN İNŞAAT</v>
      </c>
      <c r="H50" s="3" t="s">
        <v>69</v>
      </c>
      <c r="I50" s="3" t="s">
        <v>59</v>
      </c>
      <c r="J50" s="124">
        <v>26920.83</v>
      </c>
      <c r="K50" s="124">
        <f t="shared" si="2"/>
        <v>26920.833999999999</v>
      </c>
      <c r="L50" s="6">
        <f t="shared" si="0"/>
        <v>2.9103830456733704E-11</v>
      </c>
      <c r="M50" s="124">
        <v>26920.833999999999</v>
      </c>
      <c r="T50" s="9">
        <v>0</v>
      </c>
      <c r="U50" s="9">
        <v>0</v>
      </c>
      <c r="V50" s="9">
        <v>0</v>
      </c>
      <c r="W50" s="9">
        <v>0</v>
      </c>
      <c r="X50" s="10">
        <f t="shared" si="57"/>
        <v>0</v>
      </c>
      <c r="Y50" s="9">
        <f t="shared" si="57"/>
        <v>0</v>
      </c>
      <c r="Z50" s="9">
        <f t="shared" si="57"/>
        <v>0</v>
      </c>
      <c r="AA50" s="9">
        <f t="shared" si="57"/>
        <v>0</v>
      </c>
      <c r="AB50" s="9">
        <f t="shared" si="57"/>
        <v>0</v>
      </c>
      <c r="AC50" s="9">
        <f>(+$K50)*0.146</f>
        <v>3930.4417639999997</v>
      </c>
      <c r="AD50" s="9">
        <f>(+$K50)*0.140666666666667</f>
        <v>3786.8639826666754</v>
      </c>
      <c r="AE50" s="9">
        <f>(+$K50)*0.14</f>
        <v>3768.9167600000001</v>
      </c>
      <c r="AF50" s="9">
        <f>(+$K50)*0.170666666666667</f>
        <v>4594.4890026666753</v>
      </c>
      <c r="AG50" s="9">
        <f>(+$K50)*0.200666666666667</f>
        <v>5402.1140226666748</v>
      </c>
      <c r="AH50" s="9">
        <f>(+$K50)*0.172</f>
        <v>4630.3834479999996</v>
      </c>
      <c r="AI50" s="9">
        <f>(+$K50)*0.03</f>
        <v>807.62501999999995</v>
      </c>
    </row>
    <row r="51" spans="1:52">
      <c r="A51" s="3" t="s">
        <v>66</v>
      </c>
      <c r="B51" t="s">
        <v>26</v>
      </c>
      <c r="C51" t="str">
        <f>+_xlfn.XLOOKUP(B51,'L4'!B:B,'L4'!C:C)</f>
        <v>PREKAST KABLO KANALI YAPILMASI</v>
      </c>
      <c r="D51" t="s">
        <v>74</v>
      </c>
      <c r="E51" t="str">
        <f>+_xlfn.XLOOKUP(D51,'M2'!H:H,'M2'!I:I)</f>
        <v>PETSAN - GENEL</v>
      </c>
      <c r="F51" s="91" t="s">
        <v>68</v>
      </c>
      <c r="G51" t="str">
        <f>+_xlfn.XLOOKUP(F51,'M2'!B:B,'M2'!C:C)</f>
        <v>PETSAN İNŞAAT</v>
      </c>
      <c r="H51" s="3" t="s">
        <v>69</v>
      </c>
      <c r="I51" s="3" t="s">
        <v>60</v>
      </c>
      <c r="J51" s="124">
        <v>2640</v>
      </c>
      <c r="K51" s="124">
        <f t="shared" si="2"/>
        <v>2640</v>
      </c>
      <c r="L51" s="6">
        <f t="shared" si="0"/>
        <v>0</v>
      </c>
      <c r="M51" s="124">
        <v>2640</v>
      </c>
      <c r="T51" s="9">
        <v>0</v>
      </c>
      <c r="U51" s="9">
        <v>0</v>
      </c>
      <c r="V51" s="9">
        <v>0</v>
      </c>
      <c r="W51" s="9">
        <v>0</v>
      </c>
      <c r="X51" s="10">
        <f>(+$K51)*0.165995975855131</f>
        <v>438.22937625754588</v>
      </c>
      <c r="Y51" s="9">
        <f>(+$K51)*0.1841046277666</f>
        <v>486.036217303824</v>
      </c>
      <c r="Z51" s="9">
        <f t="shared" ref="Z51:AA54" si="58">(+$K51)*0.116700201207243</f>
        <v>308.08853118712153</v>
      </c>
      <c r="AA51" s="9">
        <f t="shared" si="58"/>
        <v>308.08853118712153</v>
      </c>
      <c r="AB51" s="9">
        <f>(+$K51)*0.127766599597586</f>
        <v>337.30382293762699</v>
      </c>
      <c r="AC51" s="9">
        <f>(+$K51)*0.0985915492957746</f>
        <v>260.28169014084494</v>
      </c>
      <c r="AD51" s="9">
        <f t="shared" ref="AD51:AE54" si="59">(+$K51)*0.0814889336016097</f>
        <v>215.13078470824962</v>
      </c>
      <c r="AE51" s="9">
        <f t="shared" si="59"/>
        <v>215.13078470824962</v>
      </c>
      <c r="AF51" s="9">
        <f>(+$K51)*0.0271629778672032</f>
        <v>71.710261569416446</v>
      </c>
    </row>
    <row r="52" spans="1:52">
      <c r="A52" s="3" t="s">
        <v>66</v>
      </c>
      <c r="B52" t="s">
        <v>27</v>
      </c>
      <c r="C52" t="str">
        <f>+_xlfn.XLOOKUP(B52,'L4'!B:B,'L4'!C:C)</f>
        <v>TÜNELDE ENJEKSIYON YAPILMASI</v>
      </c>
      <c r="D52" t="s">
        <v>74</v>
      </c>
      <c r="E52" t="str">
        <f>+_xlfn.XLOOKUP(D52,'M2'!H:H,'M2'!I:I)</f>
        <v>PETSAN - GENEL</v>
      </c>
      <c r="F52" s="91" t="s">
        <v>68</v>
      </c>
      <c r="G52" t="str">
        <f>+_xlfn.XLOOKUP(F52,'M2'!B:B,'M2'!C:C)</f>
        <v>PETSAN İNŞAAT</v>
      </c>
      <c r="H52" s="3" t="s">
        <v>69</v>
      </c>
      <c r="I52" s="3" t="s">
        <v>61</v>
      </c>
      <c r="J52" s="124">
        <v>5287.94</v>
      </c>
      <c r="K52" s="124">
        <f t="shared" si="2"/>
        <v>212</v>
      </c>
      <c r="L52" s="6">
        <f t="shared" si="0"/>
        <v>0</v>
      </c>
      <c r="M52" s="124">
        <v>212</v>
      </c>
      <c r="T52" s="9">
        <v>0</v>
      </c>
      <c r="U52" s="9">
        <v>0</v>
      </c>
      <c r="V52" s="9">
        <v>0</v>
      </c>
      <c r="W52" s="9">
        <v>0</v>
      </c>
      <c r="X52" s="10">
        <f>(+$K52)*0.165995975855131</f>
        <v>35.191146881287771</v>
      </c>
      <c r="Y52" s="9">
        <f>(+$K52)*0.1841046277666</f>
        <v>39.0301810865192</v>
      </c>
      <c r="Z52" s="9">
        <f t="shared" si="58"/>
        <v>24.740442655935517</v>
      </c>
      <c r="AA52" s="9">
        <f t="shared" si="58"/>
        <v>24.740442655935517</v>
      </c>
      <c r="AB52" s="9">
        <f>(+$K52)*0.127766599597586</f>
        <v>27.08651911468823</v>
      </c>
      <c r="AC52" s="9">
        <f>(+$K52)*0.0985915492957746</f>
        <v>20.901408450704213</v>
      </c>
      <c r="AD52" s="9">
        <f t="shared" si="59"/>
        <v>17.275653923541256</v>
      </c>
      <c r="AE52" s="9">
        <f t="shared" si="59"/>
        <v>17.275653923541256</v>
      </c>
      <c r="AF52" s="9">
        <f>(+$K52)*0.0271629778672032</f>
        <v>5.7585513078470782</v>
      </c>
    </row>
    <row r="53" spans="1:52">
      <c r="A53" s="3" t="s">
        <v>66</v>
      </c>
      <c r="B53" t="s">
        <v>28</v>
      </c>
      <c r="C53" t="str">
        <f>+_xlfn.XLOOKUP(B53,'L4'!B:B,'L4'!C:C)</f>
        <v>ENJEKSIYON AMAÇLI DELIK AÇILMASI</v>
      </c>
      <c r="D53" t="s">
        <v>74</v>
      </c>
      <c r="E53" t="str">
        <f>+_xlfn.XLOOKUP(D53,'M2'!H:H,'M2'!I:I)</f>
        <v>PETSAN - GENEL</v>
      </c>
      <c r="F53" s="91" t="s">
        <v>68</v>
      </c>
      <c r="G53" t="str">
        <f>+_xlfn.XLOOKUP(F53,'M2'!B:B,'M2'!C:C)</f>
        <v>PETSAN İNŞAAT</v>
      </c>
      <c r="H53" s="3" t="s">
        <v>69</v>
      </c>
      <c r="I53" s="3" t="s">
        <v>62</v>
      </c>
      <c r="J53" s="124">
        <v>19388.45</v>
      </c>
      <c r="K53" s="124">
        <f t="shared" si="2"/>
        <v>1060</v>
      </c>
      <c r="L53" s="6">
        <f t="shared" si="0"/>
        <v>0</v>
      </c>
      <c r="M53" s="124">
        <v>1060</v>
      </c>
      <c r="T53" s="9">
        <v>0</v>
      </c>
      <c r="U53" s="9">
        <v>0</v>
      </c>
      <c r="V53" s="9">
        <v>0</v>
      </c>
      <c r="W53" s="9">
        <v>0</v>
      </c>
      <c r="X53" s="10">
        <f>(+$K53)*0.165995975855131</f>
        <v>175.95573440643886</v>
      </c>
      <c r="Y53" s="9">
        <f>(+$K53)*0.1841046277666</f>
        <v>195.15090543259601</v>
      </c>
      <c r="Z53" s="9">
        <f t="shared" si="58"/>
        <v>123.70221327967758</v>
      </c>
      <c r="AA53" s="9">
        <f t="shared" si="58"/>
        <v>123.70221327967758</v>
      </c>
      <c r="AB53" s="9">
        <f>(+$K53)*0.127766599597586</f>
        <v>135.43259557344115</v>
      </c>
      <c r="AC53" s="9">
        <f>(+$K53)*0.0985915492957746</f>
        <v>104.50704225352108</v>
      </c>
      <c r="AD53" s="9">
        <f t="shared" si="59"/>
        <v>86.378269617706295</v>
      </c>
      <c r="AE53" s="9">
        <f t="shared" si="59"/>
        <v>86.378269617706295</v>
      </c>
      <c r="AF53" s="9">
        <f>(+$K53)*0.0271629778672032</f>
        <v>28.792756539235391</v>
      </c>
    </row>
    <row r="54" spans="1:52">
      <c r="A54" s="3" t="s">
        <v>66</v>
      </c>
      <c r="B54" t="s">
        <v>29</v>
      </c>
      <c r="C54" t="str">
        <f>+_xlfn.XLOOKUP(B54,'L4'!B:B,'L4'!C:C)</f>
        <v>BETON - DEMIRSIZ - BOŞLUK / POROZ</v>
      </c>
      <c r="D54" t="s">
        <v>74</v>
      </c>
      <c r="E54" t="str">
        <f>+_xlfn.XLOOKUP(D54,'M2'!H:H,'M2'!I:I)</f>
        <v>PETSAN - GENEL</v>
      </c>
      <c r="F54" s="91" t="s">
        <v>68</v>
      </c>
      <c r="G54" t="str">
        <f>+_xlfn.XLOOKUP(F54,'M2'!B:B,'M2'!C:C)</f>
        <v>PETSAN İNŞAAT</v>
      </c>
      <c r="H54" s="3" t="s">
        <v>69</v>
      </c>
      <c r="I54" s="3" t="s">
        <v>63</v>
      </c>
      <c r="J54" s="124">
        <v>213.15600000000001</v>
      </c>
      <c r="K54" s="124">
        <f t="shared" si="2"/>
        <v>213.15600000000001</v>
      </c>
      <c r="L54" s="6">
        <f t="shared" si="0"/>
        <v>0</v>
      </c>
      <c r="M54" s="124">
        <v>213.15600000000001</v>
      </c>
      <c r="T54" s="9">
        <v>0</v>
      </c>
      <c r="U54" s="9">
        <v>0</v>
      </c>
      <c r="V54" s="9">
        <v>0</v>
      </c>
      <c r="W54" s="9">
        <v>0</v>
      </c>
      <c r="X54" s="10">
        <f>(+$K54)*0.165995975855131</f>
        <v>35.383038229376304</v>
      </c>
      <c r="Y54" s="9">
        <f>(+$K54)*0.1841046277666</f>
        <v>39.243006036217388</v>
      </c>
      <c r="Z54" s="9">
        <f t="shared" si="58"/>
        <v>24.875348088531091</v>
      </c>
      <c r="AA54" s="9">
        <f t="shared" si="58"/>
        <v>24.875348088531091</v>
      </c>
      <c r="AB54" s="9">
        <f>(+$K54)*0.127766599597586</f>
        <v>27.234217303823041</v>
      </c>
      <c r="AC54" s="9">
        <f>(+$K54)*0.0985915492957746</f>
        <v>21.015380281690131</v>
      </c>
      <c r="AD54" s="9">
        <f t="shared" si="59"/>
        <v>17.369855130784718</v>
      </c>
      <c r="AE54" s="9">
        <f t="shared" si="59"/>
        <v>17.369855130784718</v>
      </c>
      <c r="AF54" s="9">
        <f>(+$K54)*0.0271629778672032</f>
        <v>5.7899517102615654</v>
      </c>
    </row>
    <row r="55" spans="1:52">
      <c r="A55" s="3" t="s">
        <v>66</v>
      </c>
      <c r="B55" t="s">
        <v>2</v>
      </c>
      <c r="C55" t="str">
        <f>+_xlfn.XLOOKUP(B55,'L4'!B:B,'L4'!C:C)</f>
        <v>KAZI - YARMA VE YAN ARIYET</v>
      </c>
      <c r="D55" t="s">
        <v>73</v>
      </c>
      <c r="E55" t="str">
        <f>+_xlfn.XLOOKUP(D55,'M2'!H:H,'M2'!I:I)</f>
        <v>PETSAN - GENEL</v>
      </c>
      <c r="F55" s="91" t="s">
        <v>68</v>
      </c>
      <c r="G55" t="str">
        <f>+_xlfn.XLOOKUP(F55,'M2'!B:B,'M2'!C:C)</f>
        <v>PETSAN İNŞAAT</v>
      </c>
      <c r="H55" s="3" t="s">
        <v>70</v>
      </c>
      <c r="I55" s="3" t="s">
        <v>64</v>
      </c>
      <c r="J55" s="124">
        <v>1057000</v>
      </c>
      <c r="K55" s="124">
        <f t="shared" si="2"/>
        <v>4208909.95</v>
      </c>
      <c r="L55" s="6">
        <f t="shared" si="0"/>
        <v>0</v>
      </c>
      <c r="M55" s="124">
        <v>4594384</v>
      </c>
      <c r="S55" s="9">
        <v>29958.22</v>
      </c>
      <c r="T55" s="9">
        <v>53724.01</v>
      </c>
      <c r="U55" s="9">
        <v>137575.53</v>
      </c>
      <c r="V55" s="9">
        <v>79290.77</v>
      </c>
      <c r="W55" s="9">
        <v>84925.52</v>
      </c>
      <c r="X55" s="10">
        <f>(+$K$55)*0.0267679164689131</f>
        <v>112663.74996677721</v>
      </c>
      <c r="Y55" s="9">
        <f>(+$K$55)*0.0267679164689131</f>
        <v>112663.74996677721</v>
      </c>
      <c r="Z55" s="9">
        <f>(+$K$55)*0.0267679164689131</f>
        <v>112663.74996677721</v>
      </c>
      <c r="AA55" s="9">
        <f>(+$K$55)*0.0267679164689131</f>
        <v>112663.74996677721</v>
      </c>
      <c r="AB55" s="9">
        <f>(+$K$55)*0.0267679164689131</f>
        <v>112663.74996677721</v>
      </c>
      <c r="AC55" s="9">
        <f>(+$K$55)*0</f>
        <v>0</v>
      </c>
      <c r="AD55" s="9">
        <f>(+$K$55)*0.0355956336022781</f>
        <v>149818.81644518263</v>
      </c>
      <c r="AE55" s="9">
        <f t="shared" ref="AE55:AL55" si="60">(+$K$55)*0.0474608448030375</f>
        <v>199758.42192691032</v>
      </c>
      <c r="AF55" s="9">
        <f t="shared" si="60"/>
        <v>199758.42192691032</v>
      </c>
      <c r="AG55" s="9">
        <f t="shared" si="60"/>
        <v>199758.42192691032</v>
      </c>
      <c r="AH55" s="9">
        <f t="shared" si="60"/>
        <v>199758.42192691032</v>
      </c>
      <c r="AI55" s="9">
        <f t="shared" si="60"/>
        <v>199758.42192691032</v>
      </c>
      <c r="AJ55" s="9">
        <f t="shared" si="60"/>
        <v>199758.42192691032</v>
      </c>
      <c r="AK55" s="9">
        <f t="shared" si="60"/>
        <v>199758.42192691032</v>
      </c>
      <c r="AL55" s="9">
        <f t="shared" si="60"/>
        <v>199758.42192691032</v>
      </c>
      <c r="AM55" s="9">
        <f>(+$K$55)*0.0355956336022781</f>
        <v>149818.81644518263</v>
      </c>
      <c r="AN55" s="9">
        <f>(+$K$55)*0.0237304224015187</f>
        <v>99879.210963454956</v>
      </c>
      <c r="AO55" s="9">
        <f>(+$K$55)*0.0237304224015187</f>
        <v>99879.210963454956</v>
      </c>
      <c r="AP55" s="9">
        <f>(+$K$55)*0.0355956336022781</f>
        <v>149818.81644518263</v>
      </c>
      <c r="AQ55" s="9">
        <f t="shared" ref="AQ55:AW55" si="61">(+$K$55)*0.0474608448030375</f>
        <v>199758.42192691032</v>
      </c>
      <c r="AR55" s="9">
        <f t="shared" si="61"/>
        <v>199758.42192691032</v>
      </c>
      <c r="AS55" s="9">
        <f t="shared" si="61"/>
        <v>199758.42192691032</v>
      </c>
      <c r="AT55" s="9">
        <f t="shared" si="61"/>
        <v>199758.42192691032</v>
      </c>
      <c r="AU55" s="9">
        <f t="shared" si="61"/>
        <v>199758.42192691032</v>
      </c>
      <c r="AV55" s="9">
        <f t="shared" si="61"/>
        <v>199758.42192691032</v>
      </c>
      <c r="AW55" s="9">
        <f t="shared" si="61"/>
        <v>199758.42192691032</v>
      </c>
      <c r="AX55" s="9">
        <f>(+$K$55)*0</f>
        <v>0</v>
      </c>
      <c r="AY55" s="9">
        <f>(+$K$55)*0</f>
        <v>0</v>
      </c>
      <c r="AZ55" s="9">
        <f>(+$K$55)*0</f>
        <v>0</v>
      </c>
    </row>
    <row r="56" spans="1:52">
      <c r="A56" s="3" t="s">
        <v>66</v>
      </c>
      <c r="B56" t="s">
        <v>2</v>
      </c>
      <c r="C56" t="str">
        <f>+_xlfn.XLOOKUP(B56,'L4'!B:B,'L4'!C:C)</f>
        <v>KAZI - YARMA VE YAN ARIYET</v>
      </c>
      <c r="D56" t="s">
        <v>76</v>
      </c>
      <c r="E56" t="str">
        <f>+_xlfn.XLOOKUP(D56,'M2'!H:H,'M2'!I:I)</f>
        <v>RAYSAN - GENEL</v>
      </c>
      <c r="F56" s="91" t="s">
        <v>77</v>
      </c>
      <c r="G56" t="str">
        <f>+_xlfn.XLOOKUP(F56,'M2'!B:B,'M2'!C:C)</f>
        <v>RAYSAN İNŞAAT</v>
      </c>
      <c r="H56" s="3" t="s">
        <v>75</v>
      </c>
      <c r="I56" s="3" t="s">
        <v>78</v>
      </c>
      <c r="J56" s="124">
        <v>1925810.7660000001</v>
      </c>
      <c r="K56" s="124">
        <f t="shared" si="2"/>
        <v>506171.23699999996</v>
      </c>
      <c r="L56" s="6">
        <f t="shared" si="0"/>
        <v>0</v>
      </c>
      <c r="M56" s="124">
        <v>1925810.7660000001</v>
      </c>
      <c r="P56" s="9">
        <v>155000</v>
      </c>
      <c r="Q56" s="9">
        <v>259190.93</v>
      </c>
      <c r="R56" s="9">
        <v>308457.84999999998</v>
      </c>
      <c r="S56" s="9">
        <v>398212.13</v>
      </c>
      <c r="T56" s="9">
        <v>188311.14000000013</v>
      </c>
      <c r="U56" s="9">
        <v>49036.518999999855</v>
      </c>
      <c r="V56" s="9">
        <v>22426.989999999991</v>
      </c>
      <c r="W56" s="9">
        <v>39003.969999999972</v>
      </c>
      <c r="X56" s="10">
        <f t="shared" ref="X56:Z57" si="62">(+$K56)*0.0436791724019847</f>
        <v>22109.140725848854</v>
      </c>
      <c r="Y56" s="9">
        <f t="shared" si="62"/>
        <v>22109.140725848854</v>
      </c>
      <c r="Z56" s="9">
        <f t="shared" si="62"/>
        <v>22109.140725848854</v>
      </c>
      <c r="AA56" s="9">
        <f>(+$K56)*0.00727986206699744</f>
        <v>3684.8567876414709</v>
      </c>
      <c r="AB56" s="9">
        <f>(+$K56)*0</f>
        <v>0</v>
      </c>
      <c r="AC56" s="9">
        <f>(+$K56)*0.0363993103349872</f>
        <v>18424.283938207354</v>
      </c>
      <c r="AD56" s="9">
        <f>(+$K56)*0.0363993103349872</f>
        <v>18424.283938207354</v>
      </c>
      <c r="AE56" s="9">
        <f t="shared" ref="AE56:AG57" si="63">(+$K56)*0.0509590344689821</f>
        <v>25793.997513490307</v>
      </c>
      <c r="AF56" s="9">
        <f t="shared" si="63"/>
        <v>25793.997513490307</v>
      </c>
      <c r="AG56" s="9">
        <f t="shared" si="63"/>
        <v>25793.997513490307</v>
      </c>
      <c r="AH56" s="9">
        <f t="shared" ref="AH56:AL57" si="64">(+$K56)*0.0582388965359796</f>
        <v>29478.854301131807</v>
      </c>
      <c r="AI56" s="9">
        <f t="shared" si="64"/>
        <v>29478.854301131807</v>
      </c>
      <c r="AJ56" s="9">
        <f t="shared" si="64"/>
        <v>29478.854301131807</v>
      </c>
      <c r="AK56" s="9">
        <f t="shared" si="64"/>
        <v>29478.854301131807</v>
      </c>
      <c r="AL56" s="9">
        <f t="shared" si="64"/>
        <v>29478.854301131807</v>
      </c>
      <c r="AM56" s="9">
        <f>(+$K56)*0.0218395862009923</f>
        <v>11054.570362924402</v>
      </c>
      <c r="AN56" s="9">
        <f>(+$K56)*0.0145597241339949</f>
        <v>7369.7135752829518</v>
      </c>
      <c r="AO56" s="9">
        <f>(+$K56)*0.0145597241339949</f>
        <v>7369.7135752829518</v>
      </c>
      <c r="AP56" s="9">
        <f>(+$K56)*0.0218395862009923</f>
        <v>11054.570362924402</v>
      </c>
      <c r="AQ56" s="9">
        <f>(+$K56)*0.0291194482679898</f>
        <v>14739.427150565904</v>
      </c>
      <c r="AR56" s="9">
        <f t="shared" ref="AR56:AU57" si="65">(+$K56)*0.0436791724019847</f>
        <v>22109.140725848854</v>
      </c>
      <c r="AS56" s="9">
        <f t="shared" si="65"/>
        <v>22109.140725848854</v>
      </c>
      <c r="AT56" s="9">
        <f t="shared" si="65"/>
        <v>22109.140725848854</v>
      </c>
      <c r="AU56" s="9">
        <f t="shared" si="65"/>
        <v>22109.140725848854</v>
      </c>
      <c r="AV56" s="9">
        <f>(+$K56)*0.0363993103349872</f>
        <v>18424.283938207354</v>
      </c>
      <c r="AW56" s="9">
        <f>(+$K56)*0.0317783450893399</f>
        <v>16085.284243684053</v>
      </c>
      <c r="AX56" s="9">
        <f t="shared" ref="AX56:AZ57" si="66">(+$K56)*0</f>
        <v>0</v>
      </c>
      <c r="AY56" s="9">
        <f t="shared" si="66"/>
        <v>0</v>
      </c>
      <c r="AZ56" s="9">
        <f t="shared" si="66"/>
        <v>0</v>
      </c>
    </row>
    <row r="57" spans="1:52">
      <c r="A57" s="3" t="s">
        <v>66</v>
      </c>
      <c r="B57" t="s">
        <v>2</v>
      </c>
      <c r="C57" t="str">
        <f>+_xlfn.XLOOKUP(B57,'L4'!B:B,'L4'!C:C)</f>
        <v>KAZI - YARMA VE YAN ARIYET</v>
      </c>
      <c r="D57" t="s">
        <v>76</v>
      </c>
      <c r="E57" t="str">
        <f>+_xlfn.XLOOKUP(D57,'M2'!H:H,'M2'!I:I)</f>
        <v>RAYSAN - GENEL</v>
      </c>
      <c r="F57" s="91" t="s">
        <v>77</v>
      </c>
      <c r="G57" t="str">
        <f>+_xlfn.XLOOKUP(F57,'M2'!B:B,'M2'!C:C)</f>
        <v>RAYSAN İNŞAAT</v>
      </c>
      <c r="H57" s="3" t="s">
        <v>5246</v>
      </c>
      <c r="I57" s="3" t="s">
        <v>79</v>
      </c>
      <c r="J57" s="124">
        <v>2508585.6209999998</v>
      </c>
      <c r="K57" s="124">
        <f t="shared" si="2"/>
        <v>933789.31099999975</v>
      </c>
      <c r="L57" s="6">
        <f t="shared" si="0"/>
        <v>0</v>
      </c>
      <c r="M57" s="124">
        <v>2508585.6209999998</v>
      </c>
      <c r="R57" s="9">
        <v>112308.24</v>
      </c>
      <c r="S57" s="9">
        <v>203414.24</v>
      </c>
      <c r="T57" s="9">
        <v>316338.5</v>
      </c>
      <c r="U57" s="9">
        <v>283653.91700000002</v>
      </c>
      <c r="V57" s="9">
        <v>315142.50099999981</v>
      </c>
      <c r="W57" s="9">
        <v>343938.91200000024</v>
      </c>
      <c r="X57" s="10">
        <f t="shared" si="62"/>
        <v>40787.144302299494</v>
      </c>
      <c r="Y57" s="9">
        <f t="shared" si="62"/>
        <v>40787.144302299494</v>
      </c>
      <c r="Z57" s="9">
        <f t="shared" si="62"/>
        <v>40787.144302299494</v>
      </c>
      <c r="AA57" s="9">
        <f>(+$K57)*0.00727986206699744</f>
        <v>6797.8573837165741</v>
      </c>
      <c r="AB57" s="9">
        <f>(+$K57)*0</f>
        <v>0</v>
      </c>
      <c r="AC57" s="9">
        <f>(+$K57)*0.0363993103349872</f>
        <v>33989.286918582868</v>
      </c>
      <c r="AD57" s="9">
        <f>(+$K57)*0.0363993103349872</f>
        <v>33989.286918582868</v>
      </c>
      <c r="AE57" s="9">
        <f t="shared" si="63"/>
        <v>47585.001686016039</v>
      </c>
      <c r="AF57" s="9">
        <f t="shared" si="63"/>
        <v>47585.001686016039</v>
      </c>
      <c r="AG57" s="9">
        <f t="shared" si="63"/>
        <v>47585.001686016039</v>
      </c>
      <c r="AH57" s="9">
        <f t="shared" si="64"/>
        <v>54382.859069732665</v>
      </c>
      <c r="AI57" s="9">
        <f t="shared" si="64"/>
        <v>54382.859069732665</v>
      </c>
      <c r="AJ57" s="9">
        <f t="shared" si="64"/>
        <v>54382.859069732665</v>
      </c>
      <c r="AK57" s="9">
        <f t="shared" si="64"/>
        <v>54382.859069732665</v>
      </c>
      <c r="AL57" s="9">
        <f t="shared" si="64"/>
        <v>54382.859069732665</v>
      </c>
      <c r="AM57" s="9">
        <f>(+$K57)*0.0218395862009923</f>
        <v>20393.572151149703</v>
      </c>
      <c r="AN57" s="9">
        <f>(+$K57)*0.0145597241339949</f>
        <v>13595.714767433166</v>
      </c>
      <c r="AO57" s="9">
        <f>(+$K57)*0.0145597241339949</f>
        <v>13595.714767433166</v>
      </c>
      <c r="AP57" s="9">
        <f>(+$K57)*0.0218395862009923</f>
        <v>20393.572151149703</v>
      </c>
      <c r="AQ57" s="9">
        <f>(+$K57)*0.0291194482679898</f>
        <v>27191.429534866333</v>
      </c>
      <c r="AR57" s="9">
        <f t="shared" si="65"/>
        <v>40787.144302299494</v>
      </c>
      <c r="AS57" s="9">
        <f t="shared" si="65"/>
        <v>40787.144302299494</v>
      </c>
      <c r="AT57" s="9">
        <f t="shared" si="65"/>
        <v>40787.144302299494</v>
      </c>
      <c r="AU57" s="9">
        <f t="shared" si="65"/>
        <v>40787.144302299494</v>
      </c>
      <c r="AV57" s="9">
        <f>(+$K57)*0.0363993103349872</f>
        <v>33989.286918582868</v>
      </c>
      <c r="AW57" s="9">
        <f>(+$K57)*0.0317783450893399</f>
        <v>29674.278965694935</v>
      </c>
      <c r="AX57" s="9">
        <f t="shared" si="66"/>
        <v>0</v>
      </c>
      <c r="AY57" s="9">
        <f t="shared" si="66"/>
        <v>0</v>
      </c>
      <c r="AZ57" s="9">
        <f t="shared" si="66"/>
        <v>0</v>
      </c>
    </row>
    <row r="58" spans="1:52">
      <c r="A58" s="3" t="s">
        <v>66</v>
      </c>
      <c r="B58" t="s">
        <v>12</v>
      </c>
      <c r="C58" t="str">
        <f>+_xlfn.XLOOKUP(B58,'L4'!B:B,'L4'!C:C)</f>
        <v>PÜSKÜRTME BETONU YAPILMASI</v>
      </c>
      <c r="D58" t="s">
        <v>76</v>
      </c>
      <c r="E58" t="str">
        <f>+_xlfn.XLOOKUP(D58,'M2'!H:H,'M2'!I:I)</f>
        <v>RAYSAN - GENEL</v>
      </c>
      <c r="F58" s="91" t="s">
        <v>77</v>
      </c>
      <c r="G58" t="str">
        <f>+_xlfn.XLOOKUP(F58,'M2'!B:B,'M2'!C:C)</f>
        <v>RAYSAN İNŞAAT</v>
      </c>
      <c r="H58" s="3" t="s">
        <v>5171</v>
      </c>
      <c r="I58" s="3" t="s">
        <v>46</v>
      </c>
      <c r="J58" s="124">
        <v>5029</v>
      </c>
      <c r="K58" s="124">
        <f t="shared" si="2"/>
        <v>1207.8876999999998</v>
      </c>
      <c r="L58" s="6">
        <f t="shared" si="0"/>
        <v>0</v>
      </c>
      <c r="M58" s="124">
        <v>5029</v>
      </c>
      <c r="R58" s="9">
        <v>366</v>
      </c>
      <c r="S58" s="9">
        <v>979</v>
      </c>
      <c r="T58" s="9">
        <v>905</v>
      </c>
      <c r="U58" s="9">
        <v>1151.2905000000001</v>
      </c>
      <c r="V58" s="9">
        <v>226.93949999999995</v>
      </c>
      <c r="W58" s="9">
        <v>192.88230000000021</v>
      </c>
      <c r="X58" s="10">
        <f>(+$K58)*0.00998302416283691</f>
        <v>12.0583720950935</v>
      </c>
      <c r="Y58" s="9">
        <f>(+$K58)*0.0234647417611078</f>
        <v>28.342772956918445</v>
      </c>
      <c r="Z58" s="9">
        <f>(+$K58)*0.0160172440537002</f>
        <v>19.347032080362609</v>
      </c>
      <c r="AA58" s="9">
        <f>(+$K58)*0.0249581733757012</f>
        <v>30.146670634976953</v>
      </c>
      <c r="AB58" s="9">
        <f>(+$K58)*0.0175106756682936</f>
        <v>21.150929758421118</v>
      </c>
      <c r="AC58" s="9">
        <f>(+$K58)*0.0223842517859311</f>
        <v>27.037662405929201</v>
      </c>
      <c r="AD58" s="9">
        <f>(+$K58)*0.0482373479881093</f>
        <v>58.265299315456964</v>
      </c>
      <c r="AE58" s="9">
        <f>(+$K58)*0.0426069217591158</f>
        <v>51.464376727698323</v>
      </c>
      <c r="AF58" s="9">
        <f>(+$K58)*0.0365727018682525</f>
        <v>44.175716742429202</v>
      </c>
      <c r="AG58" s="9">
        <f t="shared" ref="AG58:AH62" si="67">(+$K58)*0.0411134901445225</f>
        <v>49.660479049639939</v>
      </c>
      <c r="AH58" s="9">
        <f t="shared" si="67"/>
        <v>49.660479049639939</v>
      </c>
      <c r="AI58" s="9">
        <f t="shared" ref="AI58:AJ62" si="68">(+$K58)*0.0350792702536591</f>
        <v>42.371819064370705</v>
      </c>
      <c r="AJ58" s="9">
        <f t="shared" si="68"/>
        <v>42.371819064370705</v>
      </c>
      <c r="AK58" s="9">
        <f t="shared" ref="AK58:AL62" si="69">(+$K58)*0.0331031561062724</f>
        <v>39.984895091946321</v>
      </c>
      <c r="AL58" s="9">
        <f t="shared" si="69"/>
        <v>39.984895091946321</v>
      </c>
      <c r="AM58" s="9">
        <f>(+$K58)*0.0312741749833369</f>
        <v>37.77569129002034</v>
      </c>
      <c r="AN58" s="9">
        <f>(+$K58)*0.0238266772759292</f>
        <v>28.77995041346438</v>
      </c>
      <c r="AO58" s="9">
        <f>(+$K58)*0.0247989267776964</f>
        <v>29.954318627980108</v>
      </c>
      <c r="AP58" s="9">
        <f>(+$K58)*0.0457281420833749</f>
        <v>55.234460366360899</v>
      </c>
      <c r="AQ58" s="9">
        <f t="shared" ref="AQ58:AS62" si="70">(+$K58)*0.0517623619742382</f>
        <v>62.52312035163002</v>
      </c>
      <c r="AR58" s="9">
        <f t="shared" si="70"/>
        <v>62.52312035163002</v>
      </c>
      <c r="AS58" s="9">
        <f t="shared" si="70"/>
        <v>62.52312035163002</v>
      </c>
      <c r="AT58" s="9">
        <f>(+$K58)*0.0457281420833749</f>
        <v>55.234460366360899</v>
      </c>
      <c r="AU58" s="9">
        <f t="shared" ref="AU58:AV62" si="71">(+$K58)*0.0396939221925116</f>
        <v>47.945800381091786</v>
      </c>
      <c r="AV58" s="9">
        <f t="shared" si="71"/>
        <v>47.945800381091786</v>
      </c>
      <c r="AW58" s="9">
        <f>(+$K58)*0.0297899908296304</f>
        <v>35.982963506223349</v>
      </c>
      <c r="AX58" s="9">
        <f t="shared" ref="AX58:AY62" si="72">(+$K58)*0.0370310546986664</f>
        <v>44.729355488546346</v>
      </c>
      <c r="AY58" s="9">
        <f t="shared" si="72"/>
        <v>44.729355488546346</v>
      </c>
      <c r="AZ58" s="9">
        <f>(+$K58)*0.0297899908296304</f>
        <v>35.982963506223349</v>
      </c>
    </row>
    <row r="59" spans="1:52">
      <c r="A59" s="3" t="s">
        <v>66</v>
      </c>
      <c r="B59" t="s">
        <v>13</v>
      </c>
      <c r="C59" t="str">
        <f>+_xlfn.XLOOKUP(B59,'L4'!B:B,'L4'!C:C)</f>
        <v>HASIR ÇELIK TEMINI VE İŞÇILIĞI</v>
      </c>
      <c r="D59" t="s">
        <v>76</v>
      </c>
      <c r="E59" t="str">
        <f>+_xlfn.XLOOKUP(D59,'M2'!H:H,'M2'!I:I)</f>
        <v>RAYSAN - GENEL</v>
      </c>
      <c r="F59" s="91" t="s">
        <v>77</v>
      </c>
      <c r="G59" t="str">
        <f>+_xlfn.XLOOKUP(F59,'M2'!B:B,'M2'!C:C)</f>
        <v>RAYSAN İNŞAAT</v>
      </c>
      <c r="H59" s="3" t="s">
        <v>5171</v>
      </c>
      <c r="I59" s="3" t="s">
        <v>47</v>
      </c>
      <c r="J59" s="124">
        <v>152</v>
      </c>
      <c r="K59" s="124">
        <f t="shared" si="2"/>
        <v>37.584000000000003</v>
      </c>
      <c r="L59" s="6">
        <f t="shared" si="0"/>
        <v>0</v>
      </c>
      <c r="M59" s="124">
        <v>152</v>
      </c>
      <c r="R59" s="9">
        <v>11.0851884</v>
      </c>
      <c r="S59" s="9">
        <v>31.313139</v>
      </c>
      <c r="T59" s="9">
        <v>36.705420311999987</v>
      </c>
      <c r="U59" s="9">
        <v>4.2052522880000112</v>
      </c>
      <c r="V59" s="9">
        <v>31.106999999999999</v>
      </c>
      <c r="W59" s="9">
        <v>0</v>
      </c>
      <c r="X59" s="10">
        <f>(+$K59)*0.00998302416283691</f>
        <v>0.37520198013606249</v>
      </c>
      <c r="Y59" s="9">
        <f>(+$K59)*0.0234647417611078</f>
        <v>0.88189885434947557</v>
      </c>
      <c r="Z59" s="9">
        <f>(+$K59)*0.0160172440537002</f>
        <v>0.60199210051426844</v>
      </c>
      <c r="AA59" s="9">
        <f>(+$K59)*0.0249581733757012</f>
        <v>0.938027988152354</v>
      </c>
      <c r="AB59" s="9">
        <f>(+$K59)*0.0175106756682936</f>
        <v>0.65812123431714675</v>
      </c>
      <c r="AC59" s="9">
        <f>(+$K59)*0.0223842517859311</f>
        <v>0.84128971912243444</v>
      </c>
      <c r="AD59" s="9">
        <f>(+$K59)*0.0482373479881093</f>
        <v>1.8129524867851001</v>
      </c>
      <c r="AE59" s="9">
        <f>(+$K59)*0.0426069217591158</f>
        <v>1.6013385473946082</v>
      </c>
      <c r="AF59" s="9">
        <f>(+$K59)*0.0365727018682525</f>
        <v>1.3745484270164019</v>
      </c>
      <c r="AG59" s="9">
        <f t="shared" si="67"/>
        <v>1.5452094135917338</v>
      </c>
      <c r="AH59" s="9">
        <f t="shared" si="67"/>
        <v>1.5452094135917338</v>
      </c>
      <c r="AI59" s="9">
        <f t="shared" si="68"/>
        <v>1.3184192932135239</v>
      </c>
      <c r="AJ59" s="9">
        <f t="shared" si="68"/>
        <v>1.3184192932135239</v>
      </c>
      <c r="AK59" s="9">
        <f t="shared" si="69"/>
        <v>1.2441490190981421</v>
      </c>
      <c r="AL59" s="9">
        <f t="shared" si="69"/>
        <v>1.2441490190981421</v>
      </c>
      <c r="AM59" s="9">
        <f>(+$K59)*0.0312741749833369</f>
        <v>1.1754085925737341</v>
      </c>
      <c r="AN59" s="9">
        <f>(+$K59)*0.0238266772759292</f>
        <v>0.89550183873852318</v>
      </c>
      <c r="AO59" s="9">
        <f>(+$K59)*0.0247989267776964</f>
        <v>0.93204286401294156</v>
      </c>
      <c r="AP59" s="9">
        <f>(+$K59)*0.0457281420833749</f>
        <v>1.7186464920615623</v>
      </c>
      <c r="AQ59" s="9">
        <f t="shared" si="70"/>
        <v>1.9454366124397686</v>
      </c>
      <c r="AR59" s="9">
        <f t="shared" si="70"/>
        <v>1.9454366124397686</v>
      </c>
      <c r="AS59" s="9">
        <f t="shared" si="70"/>
        <v>1.9454366124397686</v>
      </c>
      <c r="AT59" s="9">
        <f>(+$K59)*0.0457281420833749</f>
        <v>1.7186464920615623</v>
      </c>
      <c r="AU59" s="9">
        <f t="shared" si="71"/>
        <v>1.4918563716833562</v>
      </c>
      <c r="AV59" s="9">
        <f t="shared" si="71"/>
        <v>1.4918563716833562</v>
      </c>
      <c r="AW59" s="9">
        <f>(+$K59)*0.0297899908296304</f>
        <v>1.1196270153408292</v>
      </c>
      <c r="AX59" s="9">
        <f t="shared" si="72"/>
        <v>1.3917751597946781</v>
      </c>
      <c r="AY59" s="9">
        <f t="shared" si="72"/>
        <v>1.3917751597946781</v>
      </c>
      <c r="AZ59" s="9">
        <f>(+$K59)*0.0297899908296304</f>
        <v>1.1196270153408292</v>
      </c>
    </row>
    <row r="60" spans="1:52">
      <c r="A60" s="3" t="s">
        <v>66</v>
      </c>
      <c r="B60" t="s">
        <v>14</v>
      </c>
      <c r="C60" t="str">
        <f>+_xlfn.XLOOKUP(B60,'L4'!B:B,'L4'!C:C)</f>
        <v>ZEMIN ÇIVISI VE YERINE YERLEŞTIRILMESI</v>
      </c>
      <c r="D60" t="s">
        <v>76</v>
      </c>
      <c r="E60" t="str">
        <f>+_xlfn.XLOOKUP(D60,'M2'!H:H,'M2'!I:I)</f>
        <v>RAYSAN - GENEL</v>
      </c>
      <c r="F60" s="91" t="s">
        <v>77</v>
      </c>
      <c r="G60" t="str">
        <f>+_xlfn.XLOOKUP(F60,'M2'!B:B,'M2'!C:C)</f>
        <v>RAYSAN İNŞAAT</v>
      </c>
      <c r="H60" s="3" t="s">
        <v>5171</v>
      </c>
      <c r="I60" s="3" t="s">
        <v>48</v>
      </c>
      <c r="J60" s="124">
        <v>3744</v>
      </c>
      <c r="K60" s="124">
        <f t="shared" si="2"/>
        <v>1488</v>
      </c>
      <c r="L60" s="6">
        <f t="shared" si="0"/>
        <v>0</v>
      </c>
      <c r="M60" s="124">
        <v>3744</v>
      </c>
      <c r="R60" s="9">
        <v>308</v>
      </c>
      <c r="S60" s="9">
        <v>772</v>
      </c>
      <c r="T60" s="9">
        <v>0</v>
      </c>
      <c r="U60" s="9">
        <v>0</v>
      </c>
      <c r="V60" s="9">
        <v>1176</v>
      </c>
      <c r="W60" s="9">
        <v>0</v>
      </c>
      <c r="X60" s="10">
        <f>(+$K60)*0.00998302416283691</f>
        <v>14.854739954301323</v>
      </c>
      <c r="Y60" s="9">
        <f>(+$K60)*0.0234647417611078</f>
        <v>34.915535740528405</v>
      </c>
      <c r="Z60" s="9">
        <f>(+$K60)*0.0160172440537002</f>
        <v>23.833659151905898</v>
      </c>
      <c r="AA60" s="9">
        <f>(+$K60)*0.0249581733757012</f>
        <v>37.137761983043383</v>
      </c>
      <c r="AB60" s="9">
        <f>(+$K60)*0.0175106756682936</f>
        <v>26.055885394420876</v>
      </c>
      <c r="AC60" s="9">
        <f>(+$K60)*0.0223842517859311</f>
        <v>33.307766657465478</v>
      </c>
      <c r="AD60" s="9">
        <f>(+$K60)*0.0482373479881093</f>
        <v>71.777173806306649</v>
      </c>
      <c r="AE60" s="9">
        <f>(+$K60)*0.0426069217591158</f>
        <v>63.399099577564307</v>
      </c>
      <c r="AF60" s="9">
        <f>(+$K60)*0.0365727018682525</f>
        <v>54.420180379959717</v>
      </c>
      <c r="AG60" s="9">
        <f t="shared" si="67"/>
        <v>61.176873335049478</v>
      </c>
      <c r="AH60" s="9">
        <f t="shared" si="67"/>
        <v>61.176873335049478</v>
      </c>
      <c r="AI60" s="9">
        <f t="shared" si="68"/>
        <v>52.197954137444746</v>
      </c>
      <c r="AJ60" s="9">
        <f t="shared" si="68"/>
        <v>52.197954137444746</v>
      </c>
      <c r="AK60" s="9">
        <f t="shared" si="69"/>
        <v>49.257496286133332</v>
      </c>
      <c r="AL60" s="9">
        <f t="shared" si="69"/>
        <v>49.257496286133332</v>
      </c>
      <c r="AM60" s="9">
        <f>(+$K60)*0.0312741749833369</f>
        <v>46.535972375205304</v>
      </c>
      <c r="AN60" s="9">
        <f>(+$K60)*0.0238266772759292</f>
        <v>35.454095786582648</v>
      </c>
      <c r="AO60" s="9">
        <f>(+$K60)*0.0247989267776964</f>
        <v>36.900803045212243</v>
      </c>
      <c r="AP60" s="9">
        <f>(+$K60)*0.0457281420833749</f>
        <v>68.043475420061853</v>
      </c>
      <c r="AQ60" s="9">
        <f t="shared" si="70"/>
        <v>77.022394617666436</v>
      </c>
      <c r="AR60" s="9">
        <f t="shared" si="70"/>
        <v>77.022394617666436</v>
      </c>
      <c r="AS60" s="9">
        <f t="shared" si="70"/>
        <v>77.022394617666436</v>
      </c>
      <c r="AT60" s="9">
        <f>(+$K60)*0.0457281420833749</f>
        <v>68.043475420061853</v>
      </c>
      <c r="AU60" s="9">
        <f t="shared" si="71"/>
        <v>59.064556222457263</v>
      </c>
      <c r="AV60" s="9">
        <f t="shared" si="71"/>
        <v>59.064556222457263</v>
      </c>
      <c r="AW60" s="9">
        <f>(+$K60)*0.0297899908296304</f>
        <v>44.327506354490041</v>
      </c>
      <c r="AX60" s="9">
        <f t="shared" si="72"/>
        <v>55.102209391615609</v>
      </c>
      <c r="AY60" s="9">
        <f t="shared" si="72"/>
        <v>55.102209391615609</v>
      </c>
      <c r="AZ60" s="9">
        <f>(+$K60)*0.0297899908296304</f>
        <v>44.327506354490041</v>
      </c>
    </row>
    <row r="61" spans="1:52">
      <c r="A61" s="3" t="s">
        <v>66</v>
      </c>
      <c r="B61" t="s">
        <v>15</v>
      </c>
      <c r="C61" t="str">
        <f>+_xlfn.XLOOKUP(B61,'L4'!B:B,'L4'!C:C)</f>
        <v>BARBAKAN DELIĞI - GEOTEKSTIL SARIMLI</v>
      </c>
      <c r="D61" t="s">
        <v>76</v>
      </c>
      <c r="E61" t="str">
        <f>+_xlfn.XLOOKUP(D61,'M2'!H:H,'M2'!I:I)</f>
        <v>RAYSAN - GENEL</v>
      </c>
      <c r="F61" s="91" t="s">
        <v>77</v>
      </c>
      <c r="G61" t="str">
        <f>+_xlfn.XLOOKUP(F61,'M2'!B:B,'M2'!C:C)</f>
        <v>RAYSAN İNŞAAT</v>
      </c>
      <c r="H61" s="3" t="s">
        <v>5171</v>
      </c>
      <c r="I61" s="3" t="s">
        <v>49</v>
      </c>
      <c r="J61" s="124">
        <v>3744</v>
      </c>
      <c r="K61" s="124">
        <f t="shared" si="2"/>
        <v>2764</v>
      </c>
      <c r="L61" s="6">
        <f t="shared" si="0"/>
        <v>0</v>
      </c>
      <c r="M61" s="124">
        <v>3744</v>
      </c>
      <c r="R61" s="9">
        <v>148</v>
      </c>
      <c r="S61" s="9">
        <v>360</v>
      </c>
      <c r="T61" s="9">
        <v>472</v>
      </c>
      <c r="U61" s="9">
        <v>0</v>
      </c>
      <c r="V61" s="9">
        <v>0</v>
      </c>
      <c r="W61" s="9">
        <v>0</v>
      </c>
      <c r="X61" s="10">
        <f>(+$K61)*0.00998302416283691</f>
        <v>27.593078786081222</v>
      </c>
      <c r="Y61" s="9">
        <f>(+$K61)*0.0234647417611078</f>
        <v>64.856546227701955</v>
      </c>
      <c r="Z61" s="9">
        <f>(+$K61)*0.0160172440537002</f>
        <v>44.271662564427352</v>
      </c>
      <c r="AA61" s="9">
        <f>(+$K61)*0.0249581733757012</f>
        <v>68.984391210438119</v>
      </c>
      <c r="AB61" s="9">
        <f>(+$K61)*0.0175106756682936</f>
        <v>48.399507547163516</v>
      </c>
      <c r="AC61" s="9">
        <f>(+$K61)*0.0223842517859311</f>
        <v>61.870071936313558</v>
      </c>
      <c r="AD61" s="9">
        <f>(+$K61)*0.0482373479881093</f>
        <v>133.3280298391341</v>
      </c>
      <c r="AE61" s="9">
        <f>(+$K61)*0.0426069217591158</f>
        <v>117.76553174219606</v>
      </c>
      <c r="AF61" s="9">
        <f>(+$K61)*0.0365727018682525</f>
        <v>101.08694796384989</v>
      </c>
      <c r="AG61" s="9">
        <f t="shared" si="67"/>
        <v>113.63768675946019</v>
      </c>
      <c r="AH61" s="9">
        <f t="shared" si="67"/>
        <v>113.63768675946019</v>
      </c>
      <c r="AI61" s="9">
        <f t="shared" si="68"/>
        <v>96.959102981113759</v>
      </c>
      <c r="AJ61" s="9">
        <f t="shared" si="68"/>
        <v>96.959102981113759</v>
      </c>
      <c r="AK61" s="9">
        <f t="shared" si="69"/>
        <v>91.49712347773692</v>
      </c>
      <c r="AL61" s="9">
        <f t="shared" si="69"/>
        <v>91.49712347773692</v>
      </c>
      <c r="AM61" s="9">
        <f>(+$K61)*0.0312741749833369</f>
        <v>86.441819653943185</v>
      </c>
      <c r="AN61" s="9">
        <f>(+$K61)*0.0238266772759292</f>
        <v>65.856935990668305</v>
      </c>
      <c r="AO61" s="9">
        <f>(+$K61)*0.0247989267776964</f>
        <v>68.544233613552848</v>
      </c>
      <c r="AP61" s="9">
        <f>(+$K61)*0.0457281420833749</f>
        <v>126.39258471844822</v>
      </c>
      <c r="AQ61" s="9">
        <f t="shared" si="70"/>
        <v>143.07116849679437</v>
      </c>
      <c r="AR61" s="9">
        <f t="shared" si="70"/>
        <v>143.07116849679437</v>
      </c>
      <c r="AS61" s="9">
        <f t="shared" si="70"/>
        <v>143.07116849679437</v>
      </c>
      <c r="AT61" s="9">
        <f>(+$K61)*0.0457281420833749</f>
        <v>126.39258471844822</v>
      </c>
      <c r="AU61" s="9">
        <f t="shared" si="71"/>
        <v>109.71400094010207</v>
      </c>
      <c r="AV61" s="9">
        <f t="shared" si="71"/>
        <v>109.71400094010207</v>
      </c>
      <c r="AW61" s="9">
        <f>(+$K61)*0.0297899908296304</f>
        <v>82.339534653098426</v>
      </c>
      <c r="AX61" s="9">
        <f t="shared" si="72"/>
        <v>102.35383518711394</v>
      </c>
      <c r="AY61" s="9">
        <f t="shared" si="72"/>
        <v>102.35383518711394</v>
      </c>
      <c r="AZ61" s="9">
        <f>(+$K61)*0.0297899908296304</f>
        <v>82.339534653098426</v>
      </c>
    </row>
    <row r="62" spans="1:52">
      <c r="A62" s="3" t="s">
        <v>66</v>
      </c>
      <c r="B62" t="s">
        <v>5</v>
      </c>
      <c r="C62" t="str">
        <f>+_xlfn.XLOOKUP(B62,'L4'!B:B,'L4'!C:C)</f>
        <v>KAZI - SANAT YAPISI ( KÖPRÜ HARIÇ )</v>
      </c>
      <c r="D62" t="s">
        <v>76</v>
      </c>
      <c r="E62" t="str">
        <f>+_xlfn.XLOOKUP(D62,'M2'!H:H,'M2'!I:I)</f>
        <v>RAYSAN - GENEL</v>
      </c>
      <c r="F62" s="91" t="s">
        <v>77</v>
      </c>
      <c r="G62" t="str">
        <f>+_xlfn.XLOOKUP(F62,'M2'!B:B,'M2'!C:C)</f>
        <v>RAYSAN İNŞAAT</v>
      </c>
      <c r="H62" s="3" t="s">
        <v>5171</v>
      </c>
      <c r="I62" s="3" t="s">
        <v>39</v>
      </c>
      <c r="J62" s="124">
        <v>1600</v>
      </c>
      <c r="K62" s="124">
        <f t="shared" si="2"/>
        <v>1005.994</v>
      </c>
      <c r="L62" s="6">
        <f t="shared" si="0"/>
        <v>0</v>
      </c>
      <c r="M62" s="124">
        <v>1600</v>
      </c>
      <c r="T62" s="9">
        <v>392.86505100000005</v>
      </c>
      <c r="U62" s="9">
        <v>0</v>
      </c>
      <c r="V62" s="9">
        <v>201.14094899999992</v>
      </c>
      <c r="W62" s="9">
        <v>0</v>
      </c>
      <c r="X62" s="10">
        <f>(+$K62)*0.00998302416283691</f>
        <v>10.042862409668956</v>
      </c>
      <c r="Y62" s="9">
        <f>(+$K62)*0.0234647417611078</f>
        <v>23.60538942322388</v>
      </c>
      <c r="Z62" s="9">
        <f>(+$K62)*0.0160172440537002</f>
        <v>16.113251414558079</v>
      </c>
      <c r="AA62" s="9">
        <f>(+$K62)*0.0249581733757012</f>
        <v>25.107772666915153</v>
      </c>
      <c r="AB62" s="9">
        <f>(+$K62)*0.0175106756682936</f>
        <v>17.615634658249352</v>
      </c>
      <c r="AC62" s="9">
        <f>(+$K62)*0.0223842517859311</f>
        <v>22.518422991135971</v>
      </c>
      <c r="AD62" s="9">
        <f>(+$K62)*0.0482373479881093</f>
        <v>48.526482651950033</v>
      </c>
      <c r="AE62" s="9">
        <f>(+$K62)*0.0426069217591158</f>
        <v>42.862307648139939</v>
      </c>
      <c r="AF62" s="9">
        <f>(+$K62)*0.0365727018682525</f>
        <v>36.791918643250803</v>
      </c>
      <c r="AG62" s="9">
        <f t="shared" si="67"/>
        <v>41.359924404448769</v>
      </c>
      <c r="AH62" s="9">
        <f t="shared" si="67"/>
        <v>41.359924404448769</v>
      </c>
      <c r="AI62" s="9">
        <f t="shared" si="68"/>
        <v>35.28953539955954</v>
      </c>
      <c r="AJ62" s="9">
        <f t="shared" si="68"/>
        <v>35.28953539955954</v>
      </c>
      <c r="AK62" s="9">
        <f t="shared" si="69"/>
        <v>33.301576423973401</v>
      </c>
      <c r="AL62" s="9">
        <f t="shared" si="69"/>
        <v>33.301576423973401</v>
      </c>
      <c r="AM62" s="9">
        <f>(+$K62)*0.0312741749833369</f>
        <v>31.461632388187024</v>
      </c>
      <c r="AN62" s="9">
        <f>(+$K62)*0.0238266772759292</f>
        <v>23.969494379521119</v>
      </c>
      <c r="AO62" s="9">
        <f>(+$K62)*0.0247989267776964</f>
        <v>24.947571544801914</v>
      </c>
      <c r="AP62" s="9">
        <f>(+$K62)*0.0457281420833749</f>
        <v>46.002236567022649</v>
      </c>
      <c r="AQ62" s="9">
        <f t="shared" si="70"/>
        <v>52.072625571911779</v>
      </c>
      <c r="AR62" s="9">
        <f t="shared" si="70"/>
        <v>52.072625571911779</v>
      </c>
      <c r="AS62" s="9">
        <f t="shared" si="70"/>
        <v>52.072625571911779</v>
      </c>
      <c r="AT62" s="9">
        <f>(+$K62)*0.0457281420833749</f>
        <v>46.002236567022649</v>
      </c>
      <c r="AU62" s="9">
        <f t="shared" si="71"/>
        <v>39.93184756213352</v>
      </c>
      <c r="AV62" s="9">
        <f t="shared" si="71"/>
        <v>39.93184756213352</v>
      </c>
      <c r="AW62" s="9">
        <f>(+$K62)*0.0297899908296304</f>
        <v>29.968552034663208</v>
      </c>
      <c r="AX62" s="9">
        <f t="shared" si="72"/>
        <v>37.25301884053021</v>
      </c>
      <c r="AY62" s="9">
        <f t="shared" si="72"/>
        <v>37.25301884053021</v>
      </c>
      <c r="AZ62" s="9">
        <f>(+$K62)*0.0297899908296304</f>
        <v>29.968552034663208</v>
      </c>
    </row>
    <row r="63" spans="1:52">
      <c r="A63" s="3" t="s">
        <v>66</v>
      </c>
      <c r="B63" t="s">
        <v>7</v>
      </c>
      <c r="C63" t="str">
        <f>+_xlfn.XLOOKUP(B63,'L4'!B:B,'L4'!C:C)</f>
        <v>BETON - DRENAJ HENDEĞI. TÜNEL DOLGU</v>
      </c>
      <c r="D63" t="s">
        <v>76</v>
      </c>
      <c r="E63" t="str">
        <f>+_xlfn.XLOOKUP(D63,'M2'!H:H,'M2'!I:I)</f>
        <v>RAYSAN - GENEL</v>
      </c>
      <c r="F63" s="91" t="s">
        <v>77</v>
      </c>
      <c r="G63" t="str">
        <f>+_xlfn.XLOOKUP(F63,'M2'!B:B,'M2'!C:C)</f>
        <v>RAYSAN İNŞAAT</v>
      </c>
      <c r="H63" s="3" t="s">
        <v>5171</v>
      </c>
      <c r="I63" s="3" t="s">
        <v>41</v>
      </c>
      <c r="J63" s="124">
        <v>800</v>
      </c>
      <c r="K63" s="124">
        <f t="shared" si="2"/>
        <v>325.01787265102649</v>
      </c>
      <c r="L63" s="6">
        <f t="shared" si="0"/>
        <v>0</v>
      </c>
      <c r="M63" s="124">
        <v>486.03942365102648</v>
      </c>
      <c r="T63" s="9">
        <v>159.542551</v>
      </c>
      <c r="U63" s="9">
        <v>0</v>
      </c>
      <c r="V63" s="9">
        <v>1.478999999999985</v>
      </c>
      <c r="W63" s="9">
        <v>0</v>
      </c>
      <c r="X63" s="10">
        <f>(+$K63)*0</f>
        <v>0</v>
      </c>
      <c r="Y63" s="9">
        <f>(+$K63)*0</f>
        <v>0</v>
      </c>
      <c r="Z63" s="9">
        <f>(+$K63)*0.0314935939058961</f>
        <v>10.235980893429684</v>
      </c>
      <c r="AA63" s="9">
        <f>(+$K63)*0.0314935939058961</f>
        <v>10.235980893429684</v>
      </c>
      <c r="AB63" s="9">
        <f>(+$K63)*0.0314935939058961</f>
        <v>10.235980893429684</v>
      </c>
      <c r="AC63" s="9">
        <f>(+$K63)*0.0314935939058961</f>
        <v>10.235980893429684</v>
      </c>
      <c r="AD63" s="9">
        <f>(+$K63)*0.0617819869185816</f>
        <v>20.080249956430936</v>
      </c>
      <c r="AE63" s="9">
        <f>(+$K63)*0.0302883930126855</f>
        <v>9.8442690630012564</v>
      </c>
      <c r="AF63" s="9">
        <f>(+$K63)*0.0302883930126855</f>
        <v>9.8442690630012564</v>
      </c>
      <c r="AG63" s="9">
        <f>(+$K63)*0.0603788226723469</f>
        <v>19.624196498139757</v>
      </c>
      <c r="AH63" s="9">
        <f>(+$K63)*0.0915250568814701</f>
        <v>29.747279281879603</v>
      </c>
      <c r="AI63" s="9">
        <f>(+$K63)*0.0915250568814701</f>
        <v>29.747279281879603</v>
      </c>
      <c r="AJ63" s="9">
        <f>(+$K63)*0.0915250568814701</f>
        <v>29.747279281879603</v>
      </c>
      <c r="AK63" s="9">
        <f>(+$K63)*0.0796472557000248</f>
        <v>25.886781610114404</v>
      </c>
      <c r="AL63" s="9">
        <f>(+$K63)*0.0493588626873393</f>
        <v>16.042512547113148</v>
      </c>
      <c r="AM63" s="9">
        <f>(+$K63)*0.0311462342091232</f>
        <v>10.123082783739848</v>
      </c>
      <c r="AN63" s="9">
        <f t="shared" ref="AN63:AV63" si="73">(+$K63)*0.0285067228354687</f>
        <v>9.2651944122364753</v>
      </c>
      <c r="AO63" s="9">
        <f t="shared" si="73"/>
        <v>9.2651944122364753</v>
      </c>
      <c r="AP63" s="9">
        <f t="shared" si="73"/>
        <v>9.2651944122364753</v>
      </c>
      <c r="AQ63" s="9">
        <f t="shared" si="73"/>
        <v>9.2651944122364753</v>
      </c>
      <c r="AR63" s="9">
        <f t="shared" si="73"/>
        <v>9.2651944122364753</v>
      </c>
      <c r="AS63" s="9">
        <f t="shared" si="73"/>
        <v>9.2651944122364753</v>
      </c>
      <c r="AT63" s="9">
        <f t="shared" si="73"/>
        <v>9.2651944122364753</v>
      </c>
      <c r="AU63" s="9">
        <f t="shared" si="73"/>
        <v>9.2651944122364753</v>
      </c>
      <c r="AV63" s="9">
        <f t="shared" si="73"/>
        <v>9.2651944122364753</v>
      </c>
      <c r="AW63" s="9">
        <f>(+$K63)*0</f>
        <v>0</v>
      </c>
      <c r="AX63" s="9">
        <f>(+$K63)*0</f>
        <v>0</v>
      </c>
      <c r="AY63" s="9">
        <f>(+$K63)*0</f>
        <v>0</v>
      </c>
      <c r="AZ63" s="9">
        <f>(+$K63)*0</f>
        <v>0</v>
      </c>
    </row>
    <row r="64" spans="1:52">
      <c r="A64" s="3" t="s">
        <v>66</v>
      </c>
      <c r="B64" t="s">
        <v>2</v>
      </c>
      <c r="C64" t="str">
        <f>+_xlfn.XLOOKUP(B64,'L4'!B:B,'L4'!C:C)</f>
        <v>KAZI - YARMA VE YAN ARIYET</v>
      </c>
      <c r="D64" t="s">
        <v>5183</v>
      </c>
      <c r="E64" t="str">
        <f>+_xlfn.XLOOKUP(D64,'M2'!H:H,'M2'!I:I)</f>
        <v>ÖZDOĞAN İNŞAAT - GENEL</v>
      </c>
      <c r="F64" s="91" t="s">
        <v>4971</v>
      </c>
      <c r="G64" t="s">
        <v>4998</v>
      </c>
      <c r="H64" s="3" t="s">
        <v>5187</v>
      </c>
      <c r="I64" s="3" t="s">
        <v>38</v>
      </c>
      <c r="J64" s="124">
        <v>750450</v>
      </c>
      <c r="K64" s="124">
        <f t="shared" si="2"/>
        <v>0</v>
      </c>
      <c r="L64" s="6">
        <f t="shared" si="0"/>
        <v>0</v>
      </c>
      <c r="M64" s="124">
        <v>887703.75100000005</v>
      </c>
      <c r="P64" s="9">
        <v>190071.49</v>
      </c>
      <c r="Q64" s="9">
        <v>210000</v>
      </c>
      <c r="R64" s="9">
        <v>262239.94000000006</v>
      </c>
      <c r="S64" s="9">
        <v>139106.76</v>
      </c>
      <c r="T64" s="9">
        <v>39333.630000000005</v>
      </c>
      <c r="U64" s="9">
        <v>46951.930999999982</v>
      </c>
      <c r="V64" s="9">
        <v>0</v>
      </c>
      <c r="W64" s="9">
        <v>0</v>
      </c>
      <c r="X64" s="10">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row>
    <row r="65" spans="1:52">
      <c r="A65" s="3" t="s">
        <v>66</v>
      </c>
      <c r="B65" t="s">
        <v>5</v>
      </c>
      <c r="C65" t="str">
        <f>+_xlfn.XLOOKUP(B65,'L4'!B:B,'L4'!C:C)</f>
        <v>KAZI - SANAT YAPISI ( KÖPRÜ HARIÇ )</v>
      </c>
      <c r="D65" t="s">
        <v>5183</v>
      </c>
      <c r="E65" t="str">
        <f>+_xlfn.XLOOKUP(D65,'M2'!H:H,'M2'!I:I)</f>
        <v>ÖZDOĞAN İNŞAAT - GENEL</v>
      </c>
      <c r="F65" s="91" t="s">
        <v>4971</v>
      </c>
      <c r="G65" t="s">
        <v>4998</v>
      </c>
      <c r="H65" s="3" t="s">
        <v>5187</v>
      </c>
      <c r="I65" s="3" t="s">
        <v>39</v>
      </c>
      <c r="J65" s="124">
        <v>2360</v>
      </c>
      <c r="K65" s="124">
        <f t="shared" si="2"/>
        <v>196.10399999999981</v>
      </c>
      <c r="L65" s="6">
        <f t="shared" si="0"/>
        <v>0</v>
      </c>
      <c r="M65" s="124">
        <v>3500</v>
      </c>
      <c r="P65" s="9">
        <v>891.54</v>
      </c>
      <c r="Q65" s="9">
        <v>1631.98</v>
      </c>
      <c r="R65" s="9">
        <v>463.30000000000018</v>
      </c>
      <c r="S65" s="9">
        <v>0</v>
      </c>
      <c r="T65" s="9">
        <v>-759.23564699999997</v>
      </c>
      <c r="U65" s="9">
        <v>-3.5300000035931589E-4</v>
      </c>
      <c r="V65" s="9">
        <v>1076.3120000000004</v>
      </c>
      <c r="W65" s="9">
        <v>0</v>
      </c>
      <c r="X65" s="10">
        <f t="shared" ref="X65:X75" si="74">(+$K65)*0.00998302416283691</f>
        <v>1.9577109704289677</v>
      </c>
      <c r="Y65" s="9">
        <f t="shared" ref="Y65:Y75" si="75">(+$K65)*0.0234647417611078</f>
        <v>4.6015297183202799</v>
      </c>
      <c r="Z65" s="9">
        <f t="shared" ref="Z65:Z75" si="76">(+$K65)*0.0160172440537002</f>
        <v>3.1410456279068213</v>
      </c>
      <c r="AA65" s="9">
        <f t="shared" ref="AA65:AA75" si="77">(+$K65)*0.0249581733757012</f>
        <v>4.8943976316685038</v>
      </c>
      <c r="AB65" s="9">
        <f t="shared" ref="AB65:AB75" si="78">(+$K65)*0.0175106756682936</f>
        <v>3.4339135412550452</v>
      </c>
      <c r="AC65" s="9">
        <f t="shared" ref="AC65:AC75" si="79">(+$K65)*0.0223842517859311</f>
        <v>4.3896413122282283</v>
      </c>
      <c r="AD65" s="9">
        <f t="shared" ref="AD65:AD75" si="80">(+$K65)*0.0482373479881093</f>
        <v>9.4595368898601784</v>
      </c>
      <c r="AE65" s="9">
        <f t="shared" ref="AE65:AE75" si="81">(+$K65)*0.0426069217591158</f>
        <v>8.3553877846496363</v>
      </c>
      <c r="AF65" s="9">
        <f t="shared" ref="AF65:AF75" si="82">(+$K65)*0.0365727018682525</f>
        <v>7.1720531271717807</v>
      </c>
      <c r="AG65" s="9">
        <f t="shared" ref="AG65:AH75" si="83">(+$K65)*0.0411134901445225</f>
        <v>8.0625198713014328</v>
      </c>
      <c r="AH65" s="9">
        <f t="shared" si="83"/>
        <v>8.0625198713014328</v>
      </c>
      <c r="AI65" s="9">
        <f t="shared" ref="AI65:AJ75" si="84">(+$K65)*0.0350792702536591</f>
        <v>6.8791852138235585</v>
      </c>
      <c r="AJ65" s="9">
        <f t="shared" si="84"/>
        <v>6.8791852138235585</v>
      </c>
      <c r="AK65" s="9">
        <f t="shared" ref="AK65:AL75" si="85">(+$K65)*0.0331031561062724</f>
        <v>6.4916613250644373</v>
      </c>
      <c r="AL65" s="9">
        <f t="shared" si="85"/>
        <v>6.4916613250644373</v>
      </c>
      <c r="AM65" s="9">
        <f t="shared" ref="AM65:AM75" si="86">(+$K65)*0.0312741749833369</f>
        <v>6.1329908109322933</v>
      </c>
      <c r="AN65" s="9">
        <f t="shared" ref="AN65:AN75" si="87">(+$K65)*0.0238266772759292</f>
        <v>4.6725067205188155</v>
      </c>
      <c r="AO65" s="9">
        <f t="shared" ref="AO65:AO75" si="88">(+$K65)*0.0247989267776964</f>
        <v>4.8631687368133703</v>
      </c>
      <c r="AP65" s="9">
        <f t="shared" ref="AP65:AP75" si="89">(+$K65)*0.0457281420833749</f>
        <v>8.9674715751181431</v>
      </c>
      <c r="AQ65" s="9">
        <f t="shared" ref="AQ65:AS75" si="90">(+$K65)*0.0517623619742382</f>
        <v>10.150806232595997</v>
      </c>
      <c r="AR65" s="9">
        <f t="shared" si="90"/>
        <v>10.150806232595997</v>
      </c>
      <c r="AS65" s="9">
        <f t="shared" si="90"/>
        <v>10.150806232595997</v>
      </c>
      <c r="AT65" s="9">
        <f t="shared" ref="AT65:AT75" si="91">(+$K65)*0.0457281420833749</f>
        <v>8.9674715751181431</v>
      </c>
      <c r="AU65" s="9">
        <f t="shared" ref="AU65:AV75" si="92">(+$K65)*0.0396939221925116</f>
        <v>7.7841369176402884</v>
      </c>
      <c r="AV65" s="9">
        <f t="shared" si="92"/>
        <v>7.7841369176402884</v>
      </c>
      <c r="AW65" s="9">
        <f t="shared" ref="AW65:AW75" si="93">(+$K65)*0.0297899908296304</f>
        <v>5.8419363616538345</v>
      </c>
      <c r="AX65" s="9">
        <f t="shared" ref="AX65:AY75" si="94">(+$K65)*0.0370310546986664</f>
        <v>7.2619379506272699</v>
      </c>
      <c r="AY65" s="9">
        <f t="shared" si="94"/>
        <v>7.2619379506272699</v>
      </c>
      <c r="AZ65" s="9">
        <f t="shared" ref="AZ65:AZ75" si="95">(+$K65)*0.0297899908296304</f>
        <v>5.8419363616538345</v>
      </c>
    </row>
    <row r="66" spans="1:52">
      <c r="A66" s="3" t="s">
        <v>66</v>
      </c>
      <c r="B66" t="s">
        <v>6</v>
      </c>
      <c r="C66" t="str">
        <f>+_xlfn.XLOOKUP(B66,'L4'!B:B,'L4'!C:C)</f>
        <v>BETON - DEMIRSIZ - TEMEL - KÖPRÜ HARICI</v>
      </c>
      <c r="D66" t="s">
        <v>5183</v>
      </c>
      <c r="E66" t="str">
        <f>+_xlfn.XLOOKUP(D66,'M2'!H:H,'M2'!I:I)</f>
        <v>ÖZDOĞAN İNŞAAT - GENEL</v>
      </c>
      <c r="F66" s="91" t="s">
        <v>4971</v>
      </c>
      <c r="G66" t="s">
        <v>4998</v>
      </c>
      <c r="H66" s="3" t="s">
        <v>5187</v>
      </c>
      <c r="I66" s="3" t="s">
        <v>40</v>
      </c>
      <c r="J66" s="124">
        <v>977.9</v>
      </c>
      <c r="K66" s="124">
        <f t="shared" si="2"/>
        <v>977.9</v>
      </c>
      <c r="L66" s="6">
        <f t="shared" ref="L66:L129" si="96">+SUM(X66:BT66)-K66</f>
        <v>0</v>
      </c>
      <c r="M66" s="124">
        <v>977.9</v>
      </c>
      <c r="P66" s="9">
        <v>0</v>
      </c>
      <c r="Q66" s="9">
        <v>0</v>
      </c>
      <c r="R66" s="9">
        <v>0</v>
      </c>
      <c r="S66" s="9">
        <v>0</v>
      </c>
      <c r="T66" s="9">
        <v>0</v>
      </c>
      <c r="U66" s="9">
        <v>0</v>
      </c>
      <c r="V66" s="9">
        <v>0</v>
      </c>
      <c r="W66" s="9">
        <v>0</v>
      </c>
      <c r="X66" s="10">
        <f t="shared" si="74"/>
        <v>9.7623993288382156</v>
      </c>
      <c r="Y66" s="9">
        <f t="shared" si="75"/>
        <v>22.946170968187317</v>
      </c>
      <c r="Z66" s="9">
        <f t="shared" si="76"/>
        <v>15.663262960113425</v>
      </c>
      <c r="AA66" s="9">
        <f t="shared" si="77"/>
        <v>24.406597744098203</v>
      </c>
      <c r="AB66" s="9">
        <f t="shared" si="78"/>
        <v>17.123689736024311</v>
      </c>
      <c r="AC66" s="9">
        <f t="shared" si="79"/>
        <v>21.889559821462022</v>
      </c>
      <c r="AD66" s="9">
        <f t="shared" si="80"/>
        <v>47.171302597572087</v>
      </c>
      <c r="AE66" s="9">
        <f t="shared" si="81"/>
        <v>41.665308788239336</v>
      </c>
      <c r="AF66" s="9">
        <f t="shared" si="82"/>
        <v>35.764445156964115</v>
      </c>
      <c r="AG66" s="9">
        <f t="shared" si="83"/>
        <v>40.204882012328554</v>
      </c>
      <c r="AH66" s="9">
        <f t="shared" si="83"/>
        <v>40.204882012328554</v>
      </c>
      <c r="AI66" s="9">
        <f t="shared" si="84"/>
        <v>34.30401838105324</v>
      </c>
      <c r="AJ66" s="9">
        <f t="shared" si="84"/>
        <v>34.30401838105324</v>
      </c>
      <c r="AK66" s="9">
        <f t="shared" si="85"/>
        <v>32.371576356323779</v>
      </c>
      <c r="AL66" s="9">
        <f t="shared" si="85"/>
        <v>32.371576356323779</v>
      </c>
      <c r="AM66" s="9">
        <f t="shared" si="86"/>
        <v>30.583015716205153</v>
      </c>
      <c r="AN66" s="9">
        <f t="shared" si="87"/>
        <v>23.300107708131165</v>
      </c>
      <c r="AO66" s="9">
        <f t="shared" si="88"/>
        <v>24.250870495909307</v>
      </c>
      <c r="AP66" s="9">
        <f t="shared" si="89"/>
        <v>44.717550143332311</v>
      </c>
      <c r="AQ66" s="9">
        <f t="shared" si="90"/>
        <v>50.618413774607532</v>
      </c>
      <c r="AR66" s="9">
        <f t="shared" si="90"/>
        <v>50.618413774607532</v>
      </c>
      <c r="AS66" s="9">
        <f t="shared" si="90"/>
        <v>50.618413774607532</v>
      </c>
      <c r="AT66" s="9">
        <f t="shared" si="91"/>
        <v>44.717550143332311</v>
      </c>
      <c r="AU66" s="9">
        <f t="shared" si="92"/>
        <v>38.816686512057096</v>
      </c>
      <c r="AV66" s="9">
        <f t="shared" si="92"/>
        <v>38.816686512057096</v>
      </c>
      <c r="AW66" s="9">
        <f t="shared" si="93"/>
        <v>29.13163203229557</v>
      </c>
      <c r="AX66" s="9">
        <f t="shared" si="94"/>
        <v>36.212668389825872</v>
      </c>
      <c r="AY66" s="9">
        <f t="shared" si="94"/>
        <v>36.212668389825872</v>
      </c>
      <c r="AZ66" s="9">
        <f t="shared" si="95"/>
        <v>29.13163203229557</v>
      </c>
    </row>
    <row r="67" spans="1:52">
      <c r="A67" s="3" t="s">
        <v>66</v>
      </c>
      <c r="B67" t="s">
        <v>7</v>
      </c>
      <c r="C67" t="str">
        <f>+_xlfn.XLOOKUP(B67,'L4'!B:B,'L4'!C:C)</f>
        <v>BETON - DRENAJ HENDEĞI. TÜNEL DOLGU</v>
      </c>
      <c r="D67" t="s">
        <v>5183</v>
      </c>
      <c r="E67" t="str">
        <f>+_xlfn.XLOOKUP(D67,'M2'!H:H,'M2'!I:I)</f>
        <v>ÖZDOĞAN İNŞAAT - GENEL</v>
      </c>
      <c r="F67" s="91" t="s">
        <v>4971</v>
      </c>
      <c r="G67" t="s">
        <v>4998</v>
      </c>
      <c r="H67" s="3" t="s">
        <v>5187</v>
      </c>
      <c r="I67" s="3" t="s">
        <v>41</v>
      </c>
      <c r="J67" s="124">
        <v>5471.6909999999998</v>
      </c>
      <c r="K67" s="124">
        <f t="shared" ref="K67:K130" si="97">+M67-SUM(N67:W67)</f>
        <v>2031.6359250456358</v>
      </c>
      <c r="L67" s="6">
        <f t="shared" si="96"/>
        <v>0</v>
      </c>
      <c r="M67" s="124">
        <v>3324.3219250456359</v>
      </c>
      <c r="P67" s="9">
        <v>323.02</v>
      </c>
      <c r="Q67" s="9">
        <v>362.56000000000006</v>
      </c>
      <c r="R67" s="9">
        <v>202.17999999999995</v>
      </c>
      <c r="S67" s="9">
        <v>0</v>
      </c>
      <c r="T67" s="9">
        <v>56.886852999999974</v>
      </c>
      <c r="U67" s="9">
        <v>1.4699999996992119E-4</v>
      </c>
      <c r="V67" s="9">
        <v>348.03900000000021</v>
      </c>
      <c r="W67" s="9">
        <v>0</v>
      </c>
      <c r="X67" s="10">
        <f t="shared" si="74"/>
        <v>20.2818705298181</v>
      </c>
      <c r="Y67" s="9">
        <f t="shared" si="75"/>
        <v>47.671812333785205</v>
      </c>
      <c r="Z67" s="9">
        <f t="shared" si="76"/>
        <v>32.541208439720918</v>
      </c>
      <c r="AA67" s="9">
        <f t="shared" si="77"/>
        <v>50.705921653592064</v>
      </c>
      <c r="AB67" s="9">
        <f t="shared" si="78"/>
        <v>35.575317759527778</v>
      </c>
      <c r="AC67" s="9">
        <f t="shared" si="79"/>
        <v>45.47665008356455</v>
      </c>
      <c r="AD67" s="9">
        <f t="shared" si="80"/>
        <v>98.000729101570684</v>
      </c>
      <c r="AE67" s="9">
        <f t="shared" si="81"/>
        <v>86.56175290142825</v>
      </c>
      <c r="AF67" s="9">
        <f t="shared" si="82"/>
        <v>74.30241499152541</v>
      </c>
      <c r="AG67" s="9">
        <f t="shared" si="83"/>
        <v>83.527643581621604</v>
      </c>
      <c r="AH67" s="9">
        <f t="shared" si="83"/>
        <v>83.527643581621604</v>
      </c>
      <c r="AI67" s="9">
        <f t="shared" si="84"/>
        <v>71.268305671718565</v>
      </c>
      <c r="AJ67" s="9">
        <f t="shared" si="84"/>
        <v>71.268305671718565</v>
      </c>
      <c r="AK67" s="9">
        <f t="shared" si="85"/>
        <v>67.253561177896813</v>
      </c>
      <c r="AL67" s="9">
        <f t="shared" si="85"/>
        <v>67.253561177896813</v>
      </c>
      <c r="AM67" s="9">
        <f t="shared" si="86"/>
        <v>63.537737422310741</v>
      </c>
      <c r="AN67" s="9">
        <f t="shared" si="87"/>
        <v>48.407133528246248</v>
      </c>
      <c r="AO67" s="9">
        <f t="shared" si="88"/>
        <v>50.382390544144208</v>
      </c>
      <c r="AP67" s="9">
        <f t="shared" si="89"/>
        <v>92.902936242175628</v>
      </c>
      <c r="AQ67" s="9">
        <f t="shared" si="90"/>
        <v>105.16227415207845</v>
      </c>
      <c r="AR67" s="9">
        <f t="shared" si="90"/>
        <v>105.16227415207845</v>
      </c>
      <c r="AS67" s="9">
        <f t="shared" si="90"/>
        <v>105.16227415207845</v>
      </c>
      <c r="AT67" s="9">
        <f t="shared" si="91"/>
        <v>92.902936242175628</v>
      </c>
      <c r="AU67" s="9">
        <f t="shared" si="92"/>
        <v>80.643598332272802</v>
      </c>
      <c r="AV67" s="9">
        <f t="shared" si="92"/>
        <v>80.643598332272802</v>
      </c>
      <c r="AW67" s="9">
        <f t="shared" si="93"/>
        <v>60.522415576257167</v>
      </c>
      <c r="AX67" s="9">
        <f t="shared" si="94"/>
        <v>75.23362106814065</v>
      </c>
      <c r="AY67" s="9">
        <f t="shared" si="94"/>
        <v>75.23362106814065</v>
      </c>
      <c r="AZ67" s="9">
        <f t="shared" si="95"/>
        <v>60.522415576257167</v>
      </c>
    </row>
    <row r="68" spans="1:52">
      <c r="A68" s="3" t="s">
        <v>66</v>
      </c>
      <c r="B68" t="s">
        <v>8</v>
      </c>
      <c r="C68" t="str">
        <f>+_xlfn.XLOOKUP(B68,'L4'!B:B,'L4'!C:C)</f>
        <v>NERVÜRLÜ ÇELIK ZATI BEDELI</v>
      </c>
      <c r="D68" t="s">
        <v>5183</v>
      </c>
      <c r="E68" t="str">
        <f>+_xlfn.XLOOKUP(D68,'M2'!H:H,'M2'!I:I)</f>
        <v>ÖZDOĞAN İNŞAAT - GENEL</v>
      </c>
      <c r="F68" s="91" t="s">
        <v>4971</v>
      </c>
      <c r="G68" t="s">
        <v>4998</v>
      </c>
      <c r="H68" s="3" t="s">
        <v>5187</v>
      </c>
      <c r="I68" s="3" t="s">
        <v>42</v>
      </c>
      <c r="J68" s="124">
        <v>509.45100000000002</v>
      </c>
      <c r="K68" s="124">
        <f t="shared" si="97"/>
        <v>448.45500000000004</v>
      </c>
      <c r="L68" s="6">
        <f t="shared" si="96"/>
        <v>0</v>
      </c>
      <c r="M68" s="124">
        <v>509.45100000000002</v>
      </c>
      <c r="P68" s="9">
        <v>0</v>
      </c>
      <c r="Q68" s="9">
        <v>0</v>
      </c>
      <c r="R68" s="9">
        <v>0</v>
      </c>
      <c r="S68" s="9">
        <v>0</v>
      </c>
      <c r="T68" s="9">
        <v>14.398000000000001</v>
      </c>
      <c r="U68" s="9">
        <v>14.916716975321973</v>
      </c>
      <c r="V68" s="9">
        <v>28.845283024678004</v>
      </c>
      <c r="W68" s="9">
        <v>2.8359999999999985</v>
      </c>
      <c r="X68" s="10">
        <f t="shared" si="74"/>
        <v>4.4769371009450269</v>
      </c>
      <c r="Y68" s="9">
        <f t="shared" si="75"/>
        <v>10.522880766477599</v>
      </c>
      <c r="Z68" s="9">
        <f t="shared" si="76"/>
        <v>7.1830131821021244</v>
      </c>
      <c r="AA68" s="9">
        <f t="shared" si="77"/>
        <v>11.192617641200082</v>
      </c>
      <c r="AB68" s="9">
        <f t="shared" si="78"/>
        <v>7.8527500568246076</v>
      </c>
      <c r="AC68" s="9">
        <f t="shared" si="79"/>
        <v>10.038329634659732</v>
      </c>
      <c r="AD68" s="9">
        <f t="shared" si="80"/>
        <v>21.63227989200756</v>
      </c>
      <c r="AE68" s="9">
        <f t="shared" si="81"/>
        <v>19.107287097484278</v>
      </c>
      <c r="AF68" s="9">
        <f t="shared" si="82"/>
        <v>16.401211016327174</v>
      </c>
      <c r="AG68" s="9">
        <f t="shared" si="83"/>
        <v>18.437550222761839</v>
      </c>
      <c r="AH68" s="9">
        <f t="shared" si="83"/>
        <v>18.437550222761839</v>
      </c>
      <c r="AI68" s="9">
        <f t="shared" si="84"/>
        <v>15.731474141604695</v>
      </c>
      <c r="AJ68" s="9">
        <f t="shared" si="84"/>
        <v>15.731474141604695</v>
      </c>
      <c r="AK68" s="9">
        <f t="shared" si="85"/>
        <v>14.845275871638391</v>
      </c>
      <c r="AL68" s="9">
        <f t="shared" si="85"/>
        <v>14.845275871638391</v>
      </c>
      <c r="AM68" s="9">
        <f t="shared" si="86"/>
        <v>14.02506014215235</v>
      </c>
      <c r="AN68" s="9">
        <f t="shared" si="87"/>
        <v>10.68519255777683</v>
      </c>
      <c r="AO68" s="9">
        <f t="shared" si="88"/>
        <v>11.12120270809184</v>
      </c>
      <c r="AP68" s="9">
        <f t="shared" si="89"/>
        <v>20.507013957999892</v>
      </c>
      <c r="AQ68" s="9">
        <f t="shared" si="90"/>
        <v>23.213090039156992</v>
      </c>
      <c r="AR68" s="9">
        <f t="shared" si="90"/>
        <v>23.213090039156992</v>
      </c>
      <c r="AS68" s="9">
        <f t="shared" si="90"/>
        <v>23.213090039156992</v>
      </c>
      <c r="AT68" s="9">
        <f t="shared" si="91"/>
        <v>20.507013957999892</v>
      </c>
      <c r="AU68" s="9">
        <f t="shared" si="92"/>
        <v>17.800937876842791</v>
      </c>
      <c r="AV68" s="9">
        <f t="shared" si="92"/>
        <v>17.800937876842791</v>
      </c>
      <c r="AW68" s="9">
        <f t="shared" si="93"/>
        <v>13.359470337501904</v>
      </c>
      <c r="AX68" s="9">
        <f t="shared" si="94"/>
        <v>16.606761634890443</v>
      </c>
      <c r="AY68" s="9">
        <f t="shared" si="94"/>
        <v>16.606761634890443</v>
      </c>
      <c r="AZ68" s="9">
        <f t="shared" si="95"/>
        <v>13.359470337501904</v>
      </c>
    </row>
    <row r="69" spans="1:52">
      <c r="A69" s="3" t="s">
        <v>66</v>
      </c>
      <c r="B69" t="s">
        <v>9</v>
      </c>
      <c r="C69" t="str">
        <f>+_xlfn.XLOOKUP(B69,'L4'!B:B,'L4'!C:C)</f>
        <v>DOLGU - KIRMATAŞ</v>
      </c>
      <c r="D69" t="s">
        <v>5183</v>
      </c>
      <c r="E69" t="str">
        <f>+_xlfn.XLOOKUP(D69,'M2'!H:H,'M2'!I:I)</f>
        <v>ÖZDOĞAN İNŞAAT - GENEL</v>
      </c>
      <c r="F69" s="91" t="s">
        <v>4971</v>
      </c>
      <c r="G69" t="s">
        <v>4998</v>
      </c>
      <c r="H69" s="3" t="s">
        <v>5187</v>
      </c>
      <c r="I69" s="3" t="s">
        <v>43</v>
      </c>
      <c r="J69" s="124">
        <v>815.28200000000004</v>
      </c>
      <c r="K69" s="124">
        <f t="shared" si="97"/>
        <v>815.28200000000004</v>
      </c>
      <c r="L69" s="6">
        <f t="shared" si="96"/>
        <v>0</v>
      </c>
      <c r="M69" s="124">
        <v>815.28200000000004</v>
      </c>
      <c r="P69" s="9">
        <v>0</v>
      </c>
      <c r="Q69" s="9">
        <v>0</v>
      </c>
      <c r="R69" s="9">
        <v>0</v>
      </c>
      <c r="S69" s="9">
        <v>0</v>
      </c>
      <c r="T69" s="9">
        <v>0</v>
      </c>
      <c r="U69" s="9">
        <v>0</v>
      </c>
      <c r="V69" s="9">
        <v>0</v>
      </c>
      <c r="W69" s="9">
        <v>0</v>
      </c>
      <c r="X69" s="10">
        <f t="shared" si="74"/>
        <v>8.1389799055260035</v>
      </c>
      <c r="Y69" s="9">
        <f t="shared" si="75"/>
        <v>19.130381592479491</v>
      </c>
      <c r="Z69" s="9">
        <f t="shared" si="76"/>
        <v>13.058570766588808</v>
      </c>
      <c r="AA69" s="9">
        <f t="shared" si="77"/>
        <v>20.347949506088426</v>
      </c>
      <c r="AB69" s="9">
        <f t="shared" si="78"/>
        <v>14.276138680197745</v>
      </c>
      <c r="AC69" s="9">
        <f t="shared" si="79"/>
        <v>18.249477564537479</v>
      </c>
      <c r="AD69" s="9">
        <f t="shared" si="80"/>
        <v>39.327041542441734</v>
      </c>
      <c r="AE69" s="9">
        <f t="shared" si="81"/>
        <v>34.736656385615447</v>
      </c>
      <c r="AF69" s="9">
        <f t="shared" si="82"/>
        <v>29.817065524552632</v>
      </c>
      <c r="AG69" s="9">
        <f t="shared" si="83"/>
        <v>33.519088472006594</v>
      </c>
      <c r="AH69" s="9">
        <f t="shared" si="83"/>
        <v>33.519088472006594</v>
      </c>
      <c r="AI69" s="9">
        <f t="shared" si="84"/>
        <v>28.599497610943704</v>
      </c>
      <c r="AJ69" s="9">
        <f t="shared" si="84"/>
        <v>28.599497610943704</v>
      </c>
      <c r="AK69" s="9">
        <f t="shared" si="85"/>
        <v>26.988407316633978</v>
      </c>
      <c r="AL69" s="9">
        <f t="shared" si="85"/>
        <v>26.988407316633978</v>
      </c>
      <c r="AM69" s="9">
        <f t="shared" si="86"/>
        <v>25.497271928764874</v>
      </c>
      <c r="AN69" s="9">
        <f t="shared" si="87"/>
        <v>19.425461102874113</v>
      </c>
      <c r="AO69" s="9">
        <f t="shared" si="88"/>
        <v>20.218118621173875</v>
      </c>
      <c r="AP69" s="9">
        <f t="shared" si="89"/>
        <v>37.281331134018053</v>
      </c>
      <c r="AQ69" s="9">
        <f t="shared" si="90"/>
        <v>42.200921995080868</v>
      </c>
      <c r="AR69" s="9">
        <f t="shared" si="90"/>
        <v>42.200921995080868</v>
      </c>
      <c r="AS69" s="9">
        <f t="shared" si="90"/>
        <v>42.200921995080868</v>
      </c>
      <c r="AT69" s="9">
        <f t="shared" si="91"/>
        <v>37.281331134018053</v>
      </c>
      <c r="AU69" s="9">
        <f t="shared" si="92"/>
        <v>32.361740272955245</v>
      </c>
      <c r="AV69" s="9">
        <f t="shared" si="92"/>
        <v>32.361740272955245</v>
      </c>
      <c r="AW69" s="9">
        <f t="shared" si="93"/>
        <v>24.287243303562732</v>
      </c>
      <c r="AX69" s="9">
        <f t="shared" si="94"/>
        <v>30.190752336838145</v>
      </c>
      <c r="AY69" s="9">
        <f t="shared" si="94"/>
        <v>30.190752336838145</v>
      </c>
      <c r="AZ69" s="9">
        <f t="shared" si="95"/>
        <v>24.287243303562732</v>
      </c>
    </row>
    <row r="70" spans="1:52">
      <c r="A70" s="3" t="s">
        <v>66</v>
      </c>
      <c r="B70" t="s">
        <v>10</v>
      </c>
      <c r="C70" t="str">
        <f>+_xlfn.XLOOKUP(B70,'L4'!B:B,'L4'!C:C)</f>
        <v>TÜNEL TIPI DRENAJ BORUSU DÖŞENMESI</v>
      </c>
      <c r="D70" t="s">
        <v>5183</v>
      </c>
      <c r="E70" t="str">
        <f>+_xlfn.XLOOKUP(D70,'M2'!H:H,'M2'!I:I)</f>
        <v>ÖZDOĞAN İNŞAAT - GENEL</v>
      </c>
      <c r="F70" s="91" t="s">
        <v>4971</v>
      </c>
      <c r="G70" t="s">
        <v>4998</v>
      </c>
      <c r="H70" s="3" t="s">
        <v>5187</v>
      </c>
      <c r="I70" s="3" t="s">
        <v>44</v>
      </c>
      <c r="J70" s="124">
        <v>2040</v>
      </c>
      <c r="K70" s="124">
        <f t="shared" si="97"/>
        <v>0</v>
      </c>
      <c r="L70" s="6">
        <f t="shared" si="96"/>
        <v>0</v>
      </c>
      <c r="M70" s="124">
        <v>0</v>
      </c>
      <c r="P70" s="9">
        <v>0</v>
      </c>
      <c r="Q70" s="9">
        <v>0</v>
      </c>
      <c r="R70" s="9">
        <v>0</v>
      </c>
      <c r="S70" s="9">
        <v>0</v>
      </c>
      <c r="T70" s="9">
        <v>0</v>
      </c>
      <c r="U70" s="9">
        <v>0</v>
      </c>
      <c r="V70" s="9">
        <v>0</v>
      </c>
      <c r="W70" s="9">
        <v>0</v>
      </c>
      <c r="X70" s="10">
        <f t="shared" si="74"/>
        <v>0</v>
      </c>
      <c r="Y70" s="9">
        <f t="shared" si="75"/>
        <v>0</v>
      </c>
      <c r="Z70" s="9">
        <f t="shared" si="76"/>
        <v>0</v>
      </c>
      <c r="AA70" s="9">
        <f t="shared" si="77"/>
        <v>0</v>
      </c>
      <c r="AB70" s="9">
        <f t="shared" si="78"/>
        <v>0</v>
      </c>
      <c r="AC70" s="9">
        <f t="shared" si="79"/>
        <v>0</v>
      </c>
      <c r="AD70" s="9">
        <f t="shared" si="80"/>
        <v>0</v>
      </c>
      <c r="AE70" s="9">
        <f t="shared" si="81"/>
        <v>0</v>
      </c>
      <c r="AF70" s="9">
        <f t="shared" si="82"/>
        <v>0</v>
      </c>
      <c r="AG70" s="9">
        <f t="shared" si="83"/>
        <v>0</v>
      </c>
      <c r="AH70" s="9">
        <f t="shared" si="83"/>
        <v>0</v>
      </c>
      <c r="AI70" s="9">
        <f t="shared" si="84"/>
        <v>0</v>
      </c>
      <c r="AJ70" s="9">
        <f t="shared" si="84"/>
        <v>0</v>
      </c>
      <c r="AK70" s="9">
        <f t="shared" si="85"/>
        <v>0</v>
      </c>
      <c r="AL70" s="9">
        <f t="shared" si="85"/>
        <v>0</v>
      </c>
      <c r="AM70" s="9">
        <f t="shared" si="86"/>
        <v>0</v>
      </c>
      <c r="AN70" s="9">
        <f t="shared" si="87"/>
        <v>0</v>
      </c>
      <c r="AO70" s="9">
        <f t="shared" si="88"/>
        <v>0</v>
      </c>
      <c r="AP70" s="9">
        <f t="shared" si="89"/>
        <v>0</v>
      </c>
      <c r="AQ70" s="9">
        <f t="shared" si="90"/>
        <v>0</v>
      </c>
      <c r="AR70" s="9">
        <f t="shared" si="90"/>
        <v>0</v>
      </c>
      <c r="AS70" s="9">
        <f t="shared" si="90"/>
        <v>0</v>
      </c>
      <c r="AT70" s="9">
        <f t="shared" si="91"/>
        <v>0</v>
      </c>
      <c r="AU70" s="9">
        <f t="shared" si="92"/>
        <v>0</v>
      </c>
      <c r="AV70" s="9">
        <f t="shared" si="92"/>
        <v>0</v>
      </c>
      <c r="AW70" s="9">
        <f t="shared" si="93"/>
        <v>0</v>
      </c>
      <c r="AX70" s="9">
        <f t="shared" si="94"/>
        <v>0</v>
      </c>
      <c r="AY70" s="9">
        <f t="shared" si="94"/>
        <v>0</v>
      </c>
      <c r="AZ70" s="9">
        <f t="shared" si="95"/>
        <v>0</v>
      </c>
    </row>
    <row r="71" spans="1:52">
      <c r="A71" s="3" t="s">
        <v>66</v>
      </c>
      <c r="B71" t="s">
        <v>11</v>
      </c>
      <c r="C71" t="str">
        <f>+_xlfn.XLOOKUP(B71,'L4'!B:B,'L4'!C:C)</f>
        <v>KORUGE DRENAJ BORUSU - Ø 400 MM</v>
      </c>
      <c r="D71" t="s">
        <v>5183</v>
      </c>
      <c r="E71" t="str">
        <f>+_xlfn.XLOOKUP(D71,'M2'!H:H,'M2'!I:I)</f>
        <v>ÖZDOĞAN İNŞAAT - GENEL</v>
      </c>
      <c r="F71" s="91" t="s">
        <v>4971</v>
      </c>
      <c r="G71" t="s">
        <v>4998</v>
      </c>
      <c r="H71" s="3" t="s">
        <v>5187</v>
      </c>
      <c r="I71" s="3" t="s">
        <v>45</v>
      </c>
      <c r="J71" s="124">
        <v>1020</v>
      </c>
      <c r="K71" s="124">
        <f t="shared" si="97"/>
        <v>1020</v>
      </c>
      <c r="L71" s="6">
        <f t="shared" si="96"/>
        <v>0</v>
      </c>
      <c r="M71" s="124">
        <v>1020</v>
      </c>
      <c r="P71" s="9">
        <v>0</v>
      </c>
      <c r="Q71" s="9">
        <v>0</v>
      </c>
      <c r="R71" s="9">
        <v>0</v>
      </c>
      <c r="S71" s="9">
        <v>0</v>
      </c>
      <c r="T71" s="9">
        <v>0</v>
      </c>
      <c r="U71" s="9">
        <v>0</v>
      </c>
      <c r="V71" s="9">
        <v>0</v>
      </c>
      <c r="W71" s="9">
        <v>0</v>
      </c>
      <c r="X71" s="10">
        <f t="shared" si="74"/>
        <v>10.18268464609365</v>
      </c>
      <c r="Y71" s="9">
        <f t="shared" si="75"/>
        <v>23.934036596329953</v>
      </c>
      <c r="Z71" s="9">
        <f t="shared" si="76"/>
        <v>16.337588934774203</v>
      </c>
      <c r="AA71" s="9">
        <f t="shared" si="77"/>
        <v>25.457336843215224</v>
      </c>
      <c r="AB71" s="9">
        <f t="shared" si="78"/>
        <v>17.860889181659473</v>
      </c>
      <c r="AC71" s="9">
        <f t="shared" si="79"/>
        <v>22.83193682164972</v>
      </c>
      <c r="AD71" s="9">
        <f t="shared" si="80"/>
        <v>49.202094947871487</v>
      </c>
      <c r="AE71" s="9">
        <f t="shared" si="81"/>
        <v>43.459060194298111</v>
      </c>
      <c r="AF71" s="9">
        <f t="shared" si="82"/>
        <v>37.304155905617549</v>
      </c>
      <c r="AG71" s="9">
        <f t="shared" si="83"/>
        <v>41.935759947412947</v>
      </c>
      <c r="AH71" s="9">
        <f t="shared" si="83"/>
        <v>41.935759947412947</v>
      </c>
      <c r="AI71" s="9">
        <f t="shared" si="84"/>
        <v>35.780855658732285</v>
      </c>
      <c r="AJ71" s="9">
        <f t="shared" si="84"/>
        <v>35.780855658732285</v>
      </c>
      <c r="AK71" s="9">
        <f t="shared" si="85"/>
        <v>33.765219228397854</v>
      </c>
      <c r="AL71" s="9">
        <f t="shared" si="85"/>
        <v>33.765219228397854</v>
      </c>
      <c r="AM71" s="9">
        <f t="shared" si="86"/>
        <v>31.899658483003638</v>
      </c>
      <c r="AN71" s="9">
        <f t="shared" si="87"/>
        <v>24.303210821447784</v>
      </c>
      <c r="AO71" s="9">
        <f t="shared" si="88"/>
        <v>25.294905313250329</v>
      </c>
      <c r="AP71" s="9">
        <f t="shared" si="89"/>
        <v>46.642704925042395</v>
      </c>
      <c r="AQ71" s="9">
        <f t="shared" si="90"/>
        <v>52.797609213722964</v>
      </c>
      <c r="AR71" s="9">
        <f t="shared" si="90"/>
        <v>52.797609213722964</v>
      </c>
      <c r="AS71" s="9">
        <f t="shared" si="90"/>
        <v>52.797609213722964</v>
      </c>
      <c r="AT71" s="9">
        <f t="shared" si="91"/>
        <v>46.642704925042395</v>
      </c>
      <c r="AU71" s="9">
        <f t="shared" si="92"/>
        <v>40.487800636361833</v>
      </c>
      <c r="AV71" s="9">
        <f t="shared" si="92"/>
        <v>40.487800636361833</v>
      </c>
      <c r="AW71" s="9">
        <f t="shared" si="93"/>
        <v>30.385790646223011</v>
      </c>
      <c r="AX71" s="9">
        <f t="shared" si="94"/>
        <v>37.771675792639734</v>
      </c>
      <c r="AY71" s="9">
        <f t="shared" si="94"/>
        <v>37.771675792639734</v>
      </c>
      <c r="AZ71" s="9">
        <f t="shared" si="95"/>
        <v>30.385790646223011</v>
      </c>
    </row>
    <row r="72" spans="1:52">
      <c r="A72" s="3" t="s">
        <v>66</v>
      </c>
      <c r="B72" t="s">
        <v>12</v>
      </c>
      <c r="C72" t="str">
        <f>+_xlfn.XLOOKUP(B72,'L4'!B:B,'L4'!C:C)</f>
        <v>PÜSKÜRTME BETONU YAPILMASI</v>
      </c>
      <c r="D72" t="s">
        <v>5183</v>
      </c>
      <c r="E72" t="str">
        <f>+_xlfn.XLOOKUP(D72,'M2'!H:H,'M2'!I:I)</f>
        <v>ÖZDOĞAN İNŞAAT - GENEL</v>
      </c>
      <c r="F72" s="91" t="s">
        <v>4971</v>
      </c>
      <c r="G72" t="s">
        <v>4998</v>
      </c>
      <c r="H72" s="3" t="s">
        <v>5187</v>
      </c>
      <c r="I72" s="3" t="s">
        <v>46</v>
      </c>
      <c r="J72" s="124">
        <v>11268</v>
      </c>
      <c r="K72" s="124">
        <f t="shared" si="97"/>
        <v>4190.18</v>
      </c>
      <c r="L72" s="6">
        <f t="shared" si="96"/>
        <v>0</v>
      </c>
      <c r="M72" s="124">
        <v>20000</v>
      </c>
      <c r="P72" s="9">
        <v>1935.6</v>
      </c>
      <c r="Q72" s="9">
        <v>2705.81</v>
      </c>
      <c r="R72" s="9">
        <v>752.8100000000004</v>
      </c>
      <c r="S72" s="9">
        <v>0</v>
      </c>
      <c r="T72" s="9">
        <v>4402.4379999999992</v>
      </c>
      <c r="U72" s="9">
        <v>3116.7651750000005</v>
      </c>
      <c r="V72" s="9">
        <v>1517.3968249999998</v>
      </c>
      <c r="W72" s="9">
        <v>1379</v>
      </c>
      <c r="X72" s="10">
        <f t="shared" si="74"/>
        <v>41.830668186635968</v>
      </c>
      <c r="Y72" s="9">
        <f t="shared" si="75"/>
        <v>98.32149163255869</v>
      </c>
      <c r="Z72" s="9">
        <f t="shared" si="76"/>
        <v>67.115135688933506</v>
      </c>
      <c r="AA72" s="9">
        <f t="shared" si="77"/>
        <v>104.57923891539566</v>
      </c>
      <c r="AB72" s="9">
        <f t="shared" si="78"/>
        <v>73.37288297177048</v>
      </c>
      <c r="AC72" s="9">
        <f t="shared" si="79"/>
        <v>93.794044148372777</v>
      </c>
      <c r="AD72" s="9">
        <f t="shared" si="80"/>
        <v>202.12317079281584</v>
      </c>
      <c r="AE72" s="9">
        <f t="shared" si="81"/>
        <v>178.53067141661185</v>
      </c>
      <c r="AF72" s="9">
        <f t="shared" si="82"/>
        <v>153.24620391431426</v>
      </c>
      <c r="AG72" s="9">
        <f t="shared" si="83"/>
        <v>172.27292413377529</v>
      </c>
      <c r="AH72" s="9">
        <f t="shared" si="83"/>
        <v>172.27292413377529</v>
      </c>
      <c r="AI72" s="9">
        <f t="shared" si="84"/>
        <v>146.98845663147731</v>
      </c>
      <c r="AJ72" s="9">
        <f t="shared" si="84"/>
        <v>146.98845663147731</v>
      </c>
      <c r="AK72" s="9">
        <f t="shared" si="85"/>
        <v>138.7081826533805</v>
      </c>
      <c r="AL72" s="9">
        <f t="shared" si="85"/>
        <v>138.7081826533805</v>
      </c>
      <c r="AM72" s="9">
        <f t="shared" si="86"/>
        <v>131.04442253167861</v>
      </c>
      <c r="AN72" s="9">
        <f t="shared" si="87"/>
        <v>99.838066588053024</v>
      </c>
      <c r="AO72" s="9">
        <f t="shared" si="88"/>
        <v>103.9119670053679</v>
      </c>
      <c r="AP72" s="9">
        <f t="shared" si="89"/>
        <v>191.60914639491583</v>
      </c>
      <c r="AQ72" s="9">
        <f t="shared" si="90"/>
        <v>216.89361389721341</v>
      </c>
      <c r="AR72" s="9">
        <f t="shared" si="90"/>
        <v>216.89361389721341</v>
      </c>
      <c r="AS72" s="9">
        <f t="shared" si="90"/>
        <v>216.89361389721341</v>
      </c>
      <c r="AT72" s="9">
        <f t="shared" si="91"/>
        <v>191.60914639491583</v>
      </c>
      <c r="AU72" s="9">
        <f t="shared" si="92"/>
        <v>166.32467889261829</v>
      </c>
      <c r="AV72" s="9">
        <f t="shared" si="92"/>
        <v>166.32467889261829</v>
      </c>
      <c r="AW72" s="9">
        <f t="shared" si="93"/>
        <v>124.82542377450072</v>
      </c>
      <c r="AX72" s="9">
        <f t="shared" si="94"/>
        <v>155.16678477725799</v>
      </c>
      <c r="AY72" s="9">
        <f t="shared" si="94"/>
        <v>155.16678477725799</v>
      </c>
      <c r="AZ72" s="9">
        <f t="shared" si="95"/>
        <v>124.82542377450072</v>
      </c>
    </row>
    <row r="73" spans="1:52">
      <c r="A73" s="3" t="s">
        <v>66</v>
      </c>
      <c r="B73" t="s">
        <v>13</v>
      </c>
      <c r="C73" t="str">
        <f>+_xlfn.XLOOKUP(B73,'L4'!B:B,'L4'!C:C)</f>
        <v>HASIR ÇELIK TEMINI VE İŞÇILIĞI</v>
      </c>
      <c r="D73" t="s">
        <v>5183</v>
      </c>
      <c r="E73" t="str">
        <f>+_xlfn.XLOOKUP(D73,'M2'!H:H,'M2'!I:I)</f>
        <v>ÖZDOĞAN İNŞAAT - GENEL</v>
      </c>
      <c r="F73" s="91" t="s">
        <v>4971</v>
      </c>
      <c r="G73" t="s">
        <v>4998</v>
      </c>
      <c r="H73" s="3" t="s">
        <v>5187</v>
      </c>
      <c r="I73" s="3" t="s">
        <v>47</v>
      </c>
      <c r="J73" s="124">
        <v>376.40199999999999</v>
      </c>
      <c r="K73" s="124">
        <f t="shared" si="97"/>
        <v>2340.4679999999998</v>
      </c>
      <c r="L73" s="6">
        <f t="shared" si="96"/>
        <v>0</v>
      </c>
      <c r="M73" s="124">
        <v>3000</v>
      </c>
      <c r="P73" s="9">
        <v>86.96</v>
      </c>
      <c r="Q73" s="9">
        <v>117.205</v>
      </c>
      <c r="R73" s="9">
        <v>34.550000000000011</v>
      </c>
      <c r="S73" s="9">
        <v>0</v>
      </c>
      <c r="T73" s="9">
        <v>207.56036706559999</v>
      </c>
      <c r="U73" s="9">
        <v>128.30674893440005</v>
      </c>
      <c r="V73" s="9">
        <v>45.989883999999961</v>
      </c>
      <c r="W73" s="9">
        <v>38.960000000000036</v>
      </c>
      <c r="X73" s="10">
        <f t="shared" si="74"/>
        <v>23.364948596346576</v>
      </c>
      <c r="Y73" s="9">
        <f t="shared" si="75"/>
        <v>54.918477220136445</v>
      </c>
      <c r="Z73" s="9">
        <f t="shared" si="76"/>
        <v>37.487847155875599</v>
      </c>
      <c r="AA73" s="9">
        <f t="shared" si="77"/>
        <v>58.413806124280633</v>
      </c>
      <c r="AB73" s="9">
        <f t="shared" si="78"/>
        <v>40.983176060019787</v>
      </c>
      <c r="AC73" s="9">
        <f t="shared" si="79"/>
        <v>52.389625008914585</v>
      </c>
      <c r="AD73" s="9">
        <f t="shared" si="80"/>
        <v>112.89796937103419</v>
      </c>
      <c r="AE73" s="9">
        <f t="shared" si="81"/>
        <v>99.720136955714224</v>
      </c>
      <c r="AF73" s="9">
        <f t="shared" si="82"/>
        <v>85.597238396185176</v>
      </c>
      <c r="AG73" s="9">
        <f t="shared" si="83"/>
        <v>96.224808051570278</v>
      </c>
      <c r="AH73" s="9">
        <f t="shared" si="83"/>
        <v>96.224808051570278</v>
      </c>
      <c r="AI73" s="9">
        <f t="shared" si="84"/>
        <v>82.101909492041003</v>
      </c>
      <c r="AJ73" s="9">
        <f t="shared" si="84"/>
        <v>82.101909492041003</v>
      </c>
      <c r="AK73" s="9">
        <f t="shared" si="85"/>
        <v>77.476877565735151</v>
      </c>
      <c r="AL73" s="9">
        <f t="shared" si="85"/>
        <v>77.476877565735151</v>
      </c>
      <c r="AM73" s="9">
        <f t="shared" si="86"/>
        <v>73.196205774900548</v>
      </c>
      <c r="AN73" s="9">
        <f t="shared" si="87"/>
        <v>55.76557571063946</v>
      </c>
      <c r="AO73" s="9">
        <f t="shared" si="88"/>
        <v>58.041094557541534</v>
      </c>
      <c r="AP73" s="9">
        <f t="shared" si="89"/>
        <v>107.02525324559227</v>
      </c>
      <c r="AQ73" s="9">
        <f t="shared" si="90"/>
        <v>121.14815180512132</v>
      </c>
      <c r="AR73" s="9">
        <f t="shared" si="90"/>
        <v>121.14815180512132</v>
      </c>
      <c r="AS73" s="9">
        <f t="shared" si="90"/>
        <v>121.14815180512132</v>
      </c>
      <c r="AT73" s="9">
        <f t="shared" si="91"/>
        <v>107.02525324559227</v>
      </c>
      <c r="AU73" s="9">
        <f t="shared" si="92"/>
        <v>92.902354686063248</v>
      </c>
      <c r="AV73" s="9">
        <f t="shared" si="92"/>
        <v>92.902354686063248</v>
      </c>
      <c r="AW73" s="9">
        <f t="shared" si="93"/>
        <v>69.722520257043399</v>
      </c>
      <c r="AX73" s="9">
        <f t="shared" si="94"/>
        <v>86.669998528478359</v>
      </c>
      <c r="AY73" s="9">
        <f t="shared" si="94"/>
        <v>86.669998528478359</v>
      </c>
      <c r="AZ73" s="9">
        <f t="shared" si="95"/>
        <v>69.722520257043399</v>
      </c>
    </row>
    <row r="74" spans="1:52">
      <c r="A74" s="3" t="s">
        <v>66</v>
      </c>
      <c r="B74" t="s">
        <v>14</v>
      </c>
      <c r="C74" t="str">
        <f>+_xlfn.XLOOKUP(B74,'L4'!B:B,'L4'!C:C)</f>
        <v>ZEMIN ÇIVISI VE YERINE YERLEŞTIRILMESI</v>
      </c>
      <c r="D74" t="s">
        <v>5183</v>
      </c>
      <c r="E74" t="str">
        <f>+_xlfn.XLOOKUP(D74,'M2'!H:H,'M2'!I:I)</f>
        <v>ÖZDOĞAN İNŞAAT - GENEL</v>
      </c>
      <c r="F74" s="91" t="s">
        <v>4971</v>
      </c>
      <c r="G74" t="s">
        <v>4998</v>
      </c>
      <c r="H74" s="3" t="s">
        <v>5187</v>
      </c>
      <c r="I74" s="3" t="s">
        <v>48</v>
      </c>
      <c r="J74" s="124">
        <v>57824</v>
      </c>
      <c r="K74" s="124">
        <f t="shared" si="97"/>
        <v>33864</v>
      </c>
      <c r="L74" s="6">
        <f t="shared" si="96"/>
        <v>0</v>
      </c>
      <c r="M74" s="124">
        <v>57824</v>
      </c>
      <c r="P74" s="9">
        <v>9522</v>
      </c>
      <c r="Q74" s="9">
        <v>11805</v>
      </c>
      <c r="R74" s="9">
        <v>2556</v>
      </c>
      <c r="S74" s="9">
        <v>0</v>
      </c>
      <c r="T74" s="9">
        <v>0</v>
      </c>
      <c r="U74" s="9">
        <v>1</v>
      </c>
      <c r="V74" s="9">
        <v>0</v>
      </c>
      <c r="W74" s="9">
        <v>76</v>
      </c>
      <c r="X74" s="10">
        <f t="shared" si="74"/>
        <v>338.06513025030915</v>
      </c>
      <c r="Y74" s="9">
        <f t="shared" si="75"/>
        <v>794.6100149981545</v>
      </c>
      <c r="Z74" s="9">
        <f t="shared" si="76"/>
        <v>542.40795263450354</v>
      </c>
      <c r="AA74" s="9">
        <f t="shared" si="77"/>
        <v>845.18358319474544</v>
      </c>
      <c r="AB74" s="9">
        <f t="shared" si="78"/>
        <v>592.98152083109449</v>
      </c>
      <c r="AC74" s="9">
        <f t="shared" si="79"/>
        <v>758.02030247877076</v>
      </c>
      <c r="AD74" s="9">
        <f t="shared" si="80"/>
        <v>1633.5095522693334</v>
      </c>
      <c r="AE74" s="9">
        <f t="shared" si="81"/>
        <v>1442.8407984506973</v>
      </c>
      <c r="AF74" s="9">
        <f t="shared" si="82"/>
        <v>1238.4979760665026</v>
      </c>
      <c r="AG74" s="9">
        <f t="shared" si="83"/>
        <v>1392.26723025411</v>
      </c>
      <c r="AH74" s="9">
        <f t="shared" si="83"/>
        <v>1392.26723025411</v>
      </c>
      <c r="AI74" s="9">
        <f t="shared" si="84"/>
        <v>1187.9244078699119</v>
      </c>
      <c r="AJ74" s="9">
        <f t="shared" si="84"/>
        <v>1187.9244078699119</v>
      </c>
      <c r="AK74" s="9">
        <f t="shared" si="85"/>
        <v>1121.0052783828087</v>
      </c>
      <c r="AL74" s="9">
        <f t="shared" si="85"/>
        <v>1121.0052783828087</v>
      </c>
      <c r="AM74" s="9">
        <f t="shared" si="86"/>
        <v>1059.0686616357207</v>
      </c>
      <c r="AN74" s="9">
        <f t="shared" si="87"/>
        <v>806.86659927206642</v>
      </c>
      <c r="AO74" s="9">
        <f t="shared" si="88"/>
        <v>839.79085639991081</v>
      </c>
      <c r="AP74" s="9">
        <f t="shared" si="89"/>
        <v>1548.5378035114074</v>
      </c>
      <c r="AQ74" s="9">
        <f t="shared" si="90"/>
        <v>1752.8806258956024</v>
      </c>
      <c r="AR74" s="9">
        <f t="shared" si="90"/>
        <v>1752.8806258956024</v>
      </c>
      <c r="AS74" s="9">
        <f t="shared" si="90"/>
        <v>1752.8806258956024</v>
      </c>
      <c r="AT74" s="9">
        <f t="shared" si="91"/>
        <v>1548.5378035114074</v>
      </c>
      <c r="AU74" s="9">
        <f t="shared" si="92"/>
        <v>1344.1949811272129</v>
      </c>
      <c r="AV74" s="9">
        <f t="shared" si="92"/>
        <v>1344.1949811272129</v>
      </c>
      <c r="AW74" s="9">
        <f t="shared" si="93"/>
        <v>1008.8082494546039</v>
      </c>
      <c r="AX74" s="9">
        <f t="shared" si="94"/>
        <v>1254.019636315639</v>
      </c>
      <c r="AY74" s="9">
        <f t="shared" si="94"/>
        <v>1254.019636315639</v>
      </c>
      <c r="AZ74" s="9">
        <f t="shared" si="95"/>
        <v>1008.8082494546039</v>
      </c>
    </row>
    <row r="75" spans="1:52">
      <c r="A75" s="3" t="s">
        <v>66</v>
      </c>
      <c r="B75" t="s">
        <v>15</v>
      </c>
      <c r="C75" t="str">
        <f>+_xlfn.XLOOKUP(B75,'L4'!B:B,'L4'!C:C)</f>
        <v>BARBAKAN DELIĞI - GEOTEKSTIL SARIMLI</v>
      </c>
      <c r="D75" t="s">
        <v>5183</v>
      </c>
      <c r="E75" t="str">
        <f>+_xlfn.XLOOKUP(D75,'M2'!H:H,'M2'!I:I)</f>
        <v>ÖZDOĞAN İNŞAAT - GENEL</v>
      </c>
      <c r="F75" s="91" t="s">
        <v>4971</v>
      </c>
      <c r="G75" t="s">
        <v>4998</v>
      </c>
      <c r="H75" s="3" t="s">
        <v>5187</v>
      </c>
      <c r="I75" s="3" t="s">
        <v>49</v>
      </c>
      <c r="J75" s="124">
        <v>14456</v>
      </c>
      <c r="K75" s="124">
        <f t="shared" si="97"/>
        <v>9268</v>
      </c>
      <c r="L75" s="6">
        <f t="shared" si="96"/>
        <v>0</v>
      </c>
      <c r="M75" s="124">
        <v>14456</v>
      </c>
      <c r="P75" s="9">
        <v>2646</v>
      </c>
      <c r="Q75" s="9">
        <v>2550</v>
      </c>
      <c r="R75" s="9">
        <v>138</v>
      </c>
      <c r="S75" s="9">
        <v>0</v>
      </c>
      <c r="T75" s="9">
        <v>-170</v>
      </c>
      <c r="U75" s="9">
        <v>0</v>
      </c>
      <c r="V75" s="9">
        <v>0</v>
      </c>
      <c r="W75" s="9">
        <v>24</v>
      </c>
      <c r="X75" s="10">
        <f t="shared" si="74"/>
        <v>92.522667941172486</v>
      </c>
      <c r="Y75" s="9">
        <f t="shared" si="75"/>
        <v>217.47122664194708</v>
      </c>
      <c r="Z75" s="9">
        <f t="shared" si="76"/>
        <v>148.44781788969345</v>
      </c>
      <c r="AA75" s="9">
        <f t="shared" si="77"/>
        <v>231.31235084599871</v>
      </c>
      <c r="AB75" s="9">
        <f t="shared" si="78"/>
        <v>162.28894209374511</v>
      </c>
      <c r="AC75" s="9">
        <f t="shared" si="79"/>
        <v>207.45724555200943</v>
      </c>
      <c r="AD75" s="9">
        <f t="shared" si="80"/>
        <v>447.06374115379703</v>
      </c>
      <c r="AE75" s="9">
        <f t="shared" si="81"/>
        <v>394.88095086348522</v>
      </c>
      <c r="AF75" s="9">
        <f t="shared" si="82"/>
        <v>338.95580091496413</v>
      </c>
      <c r="AG75" s="9">
        <f t="shared" si="83"/>
        <v>381.03982665943454</v>
      </c>
      <c r="AH75" s="9">
        <f t="shared" si="83"/>
        <v>381.03982665943454</v>
      </c>
      <c r="AI75" s="9">
        <f t="shared" si="84"/>
        <v>325.11467671091259</v>
      </c>
      <c r="AJ75" s="9">
        <f t="shared" si="84"/>
        <v>325.11467671091259</v>
      </c>
      <c r="AK75" s="9">
        <f t="shared" si="85"/>
        <v>306.80005079293261</v>
      </c>
      <c r="AL75" s="9">
        <f t="shared" si="85"/>
        <v>306.80005079293261</v>
      </c>
      <c r="AM75" s="9">
        <f t="shared" si="86"/>
        <v>289.84905374556638</v>
      </c>
      <c r="AN75" s="9">
        <f t="shared" si="87"/>
        <v>220.82564499331184</v>
      </c>
      <c r="AO75" s="9">
        <f t="shared" si="88"/>
        <v>229.83645337569024</v>
      </c>
      <c r="AP75" s="9">
        <f t="shared" si="89"/>
        <v>423.80842082871857</v>
      </c>
      <c r="AQ75" s="9">
        <f t="shared" si="90"/>
        <v>479.73357077723961</v>
      </c>
      <c r="AR75" s="9">
        <f t="shared" si="90"/>
        <v>479.73357077723961</v>
      </c>
      <c r="AS75" s="9">
        <f t="shared" si="90"/>
        <v>479.73357077723961</v>
      </c>
      <c r="AT75" s="9">
        <f t="shared" si="91"/>
        <v>423.80842082871857</v>
      </c>
      <c r="AU75" s="9">
        <f t="shared" si="92"/>
        <v>367.88327088019753</v>
      </c>
      <c r="AV75" s="9">
        <f t="shared" si="92"/>
        <v>367.88327088019753</v>
      </c>
      <c r="AW75" s="9">
        <f t="shared" si="93"/>
        <v>276.09363500901458</v>
      </c>
      <c r="AX75" s="9">
        <f t="shared" si="94"/>
        <v>343.20381494724023</v>
      </c>
      <c r="AY75" s="9">
        <f t="shared" si="94"/>
        <v>343.20381494724023</v>
      </c>
      <c r="AZ75" s="9">
        <f t="shared" si="95"/>
        <v>276.09363500901458</v>
      </c>
    </row>
    <row r="76" spans="1:52">
      <c r="A76" s="3" t="s">
        <v>66</v>
      </c>
      <c r="B76" t="s">
        <v>16</v>
      </c>
      <c r="C76" t="str">
        <f>+_xlfn.XLOOKUP(B76,'L4'!B:B,'L4'!C:C)</f>
        <v>TÜNEL KAZISI YAPILMASI</v>
      </c>
      <c r="D76" t="s">
        <v>5184</v>
      </c>
      <c r="E76" t="str">
        <f>+_xlfn.XLOOKUP(D76,'M2'!H:H,'M2'!I:I)</f>
        <v>ÖZDOĞAN İNŞAAT - GENEL</v>
      </c>
      <c r="F76" s="91" t="s">
        <v>4971</v>
      </c>
      <c r="G76" t="s">
        <v>4998</v>
      </c>
      <c r="H76" s="3" t="s">
        <v>5187</v>
      </c>
      <c r="I76" s="3" t="s">
        <v>50</v>
      </c>
      <c r="J76" s="124">
        <v>130675.145</v>
      </c>
      <c r="K76" s="124">
        <f t="shared" si="97"/>
        <v>125427.894</v>
      </c>
      <c r="L76" s="6">
        <f t="shared" si="96"/>
        <v>0</v>
      </c>
      <c r="M76" s="124">
        <v>130675.145</v>
      </c>
      <c r="P76" s="9">
        <v>0</v>
      </c>
      <c r="Q76" s="9">
        <v>0</v>
      </c>
      <c r="R76" s="9">
        <v>0</v>
      </c>
      <c r="S76" s="9">
        <v>0</v>
      </c>
      <c r="T76" s="9">
        <v>0</v>
      </c>
      <c r="U76" s="9">
        <v>1400.3529016666666</v>
      </c>
      <c r="V76" s="9">
        <v>834.56409833333328</v>
      </c>
      <c r="W76" s="9">
        <v>3012.3340000000003</v>
      </c>
      <c r="X76" s="10">
        <f t="shared" ref="X76:AB83" si="98">((+$K76))*0.0456475583864119</f>
        <v>5725.4771146496832</v>
      </c>
      <c r="Y76" s="9">
        <f t="shared" si="98"/>
        <v>5725.4771146496832</v>
      </c>
      <c r="Z76" s="9">
        <f t="shared" si="98"/>
        <v>5725.4771146496832</v>
      </c>
      <c r="AA76" s="9">
        <f t="shared" si="98"/>
        <v>5725.4771146496832</v>
      </c>
      <c r="AB76" s="9">
        <f t="shared" si="98"/>
        <v>5725.4771146496832</v>
      </c>
      <c r="AC76" s="9">
        <f t="shared" ref="AC76:AD83" si="99">((+$K76))*0.0870488322717622</f>
        <v>10918.351707006368</v>
      </c>
      <c r="AD76" s="9">
        <f t="shared" si="99"/>
        <v>10918.351707006368</v>
      </c>
      <c r="AE76" s="9">
        <f t="shared" ref="AE76:AF83" si="100">((+$K76))*0.10828025477707</f>
        <v>13581.364318471329</v>
      </c>
      <c r="AF76" s="9">
        <f t="shared" si="100"/>
        <v>13581.364318471329</v>
      </c>
      <c r="AG76" s="9">
        <f t="shared" ref="AG76:AG83" si="101">((+$K76))*0.0573248407643312</f>
        <v>7190.134050955412</v>
      </c>
      <c r="AH76" s="9">
        <f t="shared" ref="AH76:AI83" si="102">((+$K76))*0.0785562632696391</f>
        <v>9853.1466624203877</v>
      </c>
      <c r="AI76" s="9">
        <f t="shared" si="102"/>
        <v>9853.1466624203877</v>
      </c>
      <c r="AJ76" s="9">
        <f t="shared" ref="AJ76:AK83" si="103">((+$K76))*0.0764331210191083</f>
        <v>9586.8454012738894</v>
      </c>
      <c r="AK76" s="9">
        <f t="shared" si="103"/>
        <v>9586.8454012738894</v>
      </c>
      <c r="AL76" s="9">
        <f t="shared" ref="AL76:AL83" si="104">((+$K76))*0.0138004246284501</f>
        <v>1730.9581974522284</v>
      </c>
    </row>
    <row r="77" spans="1:52">
      <c r="A77" s="3" t="s">
        <v>66</v>
      </c>
      <c r="B77" t="s">
        <v>17</v>
      </c>
      <c r="C77" t="str">
        <f>+_xlfn.XLOOKUP(B77,'L4'!B:B,'L4'!C:C)</f>
        <v>TÜNELLERDE ÇELIK İKSA YAPILMASI (MLZ.+İŞÇ.)</v>
      </c>
      <c r="D77" t="s">
        <v>5184</v>
      </c>
      <c r="E77" t="str">
        <f>+_xlfn.XLOOKUP(D77,'M2'!H:H,'M2'!I:I)</f>
        <v>ÖZDOĞAN İNŞAAT - GENEL</v>
      </c>
      <c r="F77" s="91" t="s">
        <v>4971</v>
      </c>
      <c r="G77" t="s">
        <v>4998</v>
      </c>
      <c r="H77" s="3" t="s">
        <v>5187</v>
      </c>
      <c r="I77" s="3" t="s">
        <v>51</v>
      </c>
      <c r="J77" s="124">
        <v>872.91200000000003</v>
      </c>
      <c r="K77" s="124">
        <f t="shared" si="97"/>
        <v>754.24300000000005</v>
      </c>
      <c r="L77" s="6">
        <f t="shared" si="96"/>
        <v>0</v>
      </c>
      <c r="M77" s="124">
        <v>872.91200000000003</v>
      </c>
      <c r="P77" s="9">
        <v>0</v>
      </c>
      <c r="Q77" s="9">
        <v>0</v>
      </c>
      <c r="R77" s="9">
        <v>0</v>
      </c>
      <c r="S77" s="9">
        <v>0</v>
      </c>
      <c r="T77" s="9">
        <v>0</v>
      </c>
      <c r="U77" s="9">
        <v>25.864328999999991</v>
      </c>
      <c r="V77" s="9">
        <v>29.069671000000007</v>
      </c>
      <c r="W77" s="9">
        <v>63.734999999999999</v>
      </c>
      <c r="X77" s="10">
        <f t="shared" si="98"/>
        <v>34.429351380042476</v>
      </c>
      <c r="Y77" s="9">
        <f t="shared" si="98"/>
        <v>34.429351380042476</v>
      </c>
      <c r="Z77" s="9">
        <f t="shared" si="98"/>
        <v>34.429351380042476</v>
      </c>
      <c r="AA77" s="9">
        <f t="shared" si="98"/>
        <v>34.429351380042476</v>
      </c>
      <c r="AB77" s="9">
        <f t="shared" si="98"/>
        <v>34.429351380042476</v>
      </c>
      <c r="AC77" s="9">
        <f t="shared" si="99"/>
        <v>65.655972399150741</v>
      </c>
      <c r="AD77" s="9">
        <f t="shared" si="99"/>
        <v>65.655972399150741</v>
      </c>
      <c r="AE77" s="9">
        <f t="shared" si="100"/>
        <v>81.669624203821613</v>
      </c>
      <c r="AF77" s="9">
        <f t="shared" si="100"/>
        <v>81.669624203821613</v>
      </c>
      <c r="AG77" s="9">
        <f t="shared" si="101"/>
        <v>43.236859872611461</v>
      </c>
      <c r="AH77" s="9">
        <f t="shared" si="102"/>
        <v>59.250511677282411</v>
      </c>
      <c r="AI77" s="9">
        <f t="shared" si="102"/>
        <v>59.250511677282411</v>
      </c>
      <c r="AJ77" s="9">
        <f t="shared" si="103"/>
        <v>57.649146496815312</v>
      </c>
      <c r="AK77" s="9">
        <f t="shared" si="103"/>
        <v>57.649146496815312</v>
      </c>
      <c r="AL77" s="9">
        <f t="shared" si="104"/>
        <v>10.408873673036089</v>
      </c>
    </row>
    <row r="78" spans="1:52">
      <c r="A78" s="3" t="s">
        <v>66</v>
      </c>
      <c r="B78" t="s">
        <v>18</v>
      </c>
      <c r="C78" t="str">
        <f>+_xlfn.XLOOKUP(B78,'L4'!B:B,'L4'!C:C)</f>
        <v>SÜREN - TÜNEL - Ø 3.5" - K. DELGILI + ENJEKS.</v>
      </c>
      <c r="D78" t="s">
        <v>5184</v>
      </c>
      <c r="E78" t="str">
        <f>+_xlfn.XLOOKUP(D78,'M2'!H:H,'M2'!I:I)</f>
        <v>ÖZDOĞAN İNŞAAT - GENEL</v>
      </c>
      <c r="F78" s="91" t="s">
        <v>4971</v>
      </c>
      <c r="G78" t="s">
        <v>4998</v>
      </c>
      <c r="H78" s="3" t="s">
        <v>5187</v>
      </c>
      <c r="I78" s="3" t="s">
        <v>52</v>
      </c>
      <c r="J78" s="124">
        <v>61976</v>
      </c>
      <c r="K78" s="124">
        <f t="shared" si="97"/>
        <v>44561</v>
      </c>
      <c r="L78" s="6">
        <f t="shared" si="96"/>
        <v>0</v>
      </c>
      <c r="M78" s="124">
        <v>61976</v>
      </c>
      <c r="P78" s="9">
        <v>0</v>
      </c>
      <c r="Q78" s="9">
        <v>0</v>
      </c>
      <c r="R78" s="9">
        <v>0</v>
      </c>
      <c r="S78" s="9">
        <v>0</v>
      </c>
      <c r="T78" s="9">
        <v>0</v>
      </c>
      <c r="U78" s="9">
        <v>3330</v>
      </c>
      <c r="V78" s="9">
        <v>2880</v>
      </c>
      <c r="W78" s="9">
        <v>11205</v>
      </c>
      <c r="X78" s="10">
        <f t="shared" si="98"/>
        <v>2034.1008492569008</v>
      </c>
      <c r="Y78" s="9">
        <f t="shared" si="98"/>
        <v>2034.1008492569008</v>
      </c>
      <c r="Z78" s="9">
        <f t="shared" si="98"/>
        <v>2034.1008492569008</v>
      </c>
      <c r="AA78" s="9">
        <f t="shared" si="98"/>
        <v>2034.1008492569008</v>
      </c>
      <c r="AB78" s="9">
        <f t="shared" si="98"/>
        <v>2034.1008492569008</v>
      </c>
      <c r="AC78" s="9">
        <f t="shared" si="99"/>
        <v>3878.9830148619953</v>
      </c>
      <c r="AD78" s="9">
        <f t="shared" si="99"/>
        <v>3878.9830148619953</v>
      </c>
      <c r="AE78" s="9">
        <f t="shared" si="100"/>
        <v>4825.0764331210166</v>
      </c>
      <c r="AF78" s="9">
        <f t="shared" si="100"/>
        <v>4825.0764331210166</v>
      </c>
      <c r="AG78" s="9">
        <f t="shared" si="101"/>
        <v>2554.4522292993624</v>
      </c>
      <c r="AH78" s="9">
        <f t="shared" si="102"/>
        <v>3500.5456475583883</v>
      </c>
      <c r="AI78" s="9">
        <f t="shared" si="102"/>
        <v>3500.5456475583883</v>
      </c>
      <c r="AJ78" s="9">
        <f t="shared" si="103"/>
        <v>3405.9363057324854</v>
      </c>
      <c r="AK78" s="9">
        <f t="shared" si="103"/>
        <v>3405.9363057324854</v>
      </c>
      <c r="AL78" s="9">
        <f t="shared" si="104"/>
        <v>614.96072186836489</v>
      </c>
    </row>
    <row r="79" spans="1:52">
      <c r="A79" s="3" t="s">
        <v>66</v>
      </c>
      <c r="B79" t="s">
        <v>19</v>
      </c>
      <c r="C79" t="str">
        <f>+_xlfn.XLOOKUP(B79,'L4'!B:B,'L4'!C:C)</f>
        <v>SÜREN - TÜNEL - ÇELIK BORU + ENJEKS.</v>
      </c>
      <c r="D79" t="s">
        <v>5184</v>
      </c>
      <c r="E79" t="str">
        <f>+_xlfn.XLOOKUP(D79,'M2'!H:H,'M2'!I:I)</f>
        <v>ÖZDOĞAN İNŞAAT - GENEL</v>
      </c>
      <c r="F79" s="91" t="s">
        <v>4971</v>
      </c>
      <c r="G79" t="s">
        <v>4998</v>
      </c>
      <c r="H79" s="3" t="s">
        <v>5187</v>
      </c>
      <c r="I79" s="3" t="s">
        <v>53</v>
      </c>
      <c r="J79" s="124">
        <v>39219.199999999997</v>
      </c>
      <c r="K79" s="124">
        <f t="shared" si="97"/>
        <v>39219.199999999997</v>
      </c>
      <c r="L79" s="6">
        <f t="shared" si="96"/>
        <v>0</v>
      </c>
      <c r="M79" s="124">
        <v>39219.199999999997</v>
      </c>
      <c r="P79" s="9">
        <v>0</v>
      </c>
      <c r="Q79" s="9">
        <v>0</v>
      </c>
      <c r="R79" s="9">
        <v>0</v>
      </c>
      <c r="S79" s="9">
        <v>0</v>
      </c>
      <c r="T79" s="9">
        <v>0</v>
      </c>
      <c r="U79" s="9">
        <v>0</v>
      </c>
      <c r="V79" s="9">
        <v>0</v>
      </c>
      <c r="W79" s="9">
        <v>0</v>
      </c>
      <c r="X79" s="10">
        <f t="shared" si="98"/>
        <v>1790.2607218683654</v>
      </c>
      <c r="Y79" s="9">
        <f t="shared" si="98"/>
        <v>1790.2607218683654</v>
      </c>
      <c r="Z79" s="9">
        <f t="shared" si="98"/>
        <v>1790.2607218683654</v>
      </c>
      <c r="AA79" s="9">
        <f t="shared" si="98"/>
        <v>1790.2607218683654</v>
      </c>
      <c r="AB79" s="9">
        <f t="shared" si="98"/>
        <v>1790.2607218683654</v>
      </c>
      <c r="AC79" s="9">
        <f t="shared" si="99"/>
        <v>3413.9855626326957</v>
      </c>
      <c r="AD79" s="9">
        <f t="shared" si="99"/>
        <v>3413.9855626326957</v>
      </c>
      <c r="AE79" s="9">
        <f t="shared" si="100"/>
        <v>4246.6649681528634</v>
      </c>
      <c r="AF79" s="9">
        <f t="shared" si="100"/>
        <v>4246.6649681528634</v>
      </c>
      <c r="AG79" s="9">
        <f t="shared" si="101"/>
        <v>2248.234394904458</v>
      </c>
      <c r="AH79" s="9">
        <f t="shared" si="102"/>
        <v>3080.9138004246297</v>
      </c>
      <c r="AI79" s="9">
        <f t="shared" si="102"/>
        <v>3080.9138004246297</v>
      </c>
      <c r="AJ79" s="9">
        <f t="shared" si="103"/>
        <v>2997.6458598726122</v>
      </c>
      <c r="AK79" s="9">
        <f t="shared" si="103"/>
        <v>2997.6458598726122</v>
      </c>
      <c r="AL79" s="9">
        <f t="shared" si="104"/>
        <v>541.24161358811011</v>
      </c>
    </row>
    <row r="80" spans="1:52">
      <c r="A80" s="3" t="s">
        <v>66</v>
      </c>
      <c r="B80" t="s">
        <v>20</v>
      </c>
      <c r="C80" t="str">
        <f>+_xlfn.XLOOKUP(B80,'L4'!B:B,'L4'!C:C)</f>
        <v>TÜNELDE HASIR ÇELIK ILE İKSA</v>
      </c>
      <c r="D80" t="s">
        <v>5184</v>
      </c>
      <c r="E80" t="str">
        <f>+_xlfn.XLOOKUP(D80,'M2'!H:H,'M2'!I:I)</f>
        <v>ÖZDOĞAN İNŞAAT - GENEL</v>
      </c>
      <c r="F80" s="91" t="s">
        <v>4971</v>
      </c>
      <c r="G80" t="s">
        <v>4998</v>
      </c>
      <c r="H80" s="3" t="s">
        <v>5187</v>
      </c>
      <c r="I80" s="3" t="s">
        <v>54</v>
      </c>
      <c r="J80" s="124">
        <v>1076.374</v>
      </c>
      <c r="K80" s="124">
        <f t="shared" si="97"/>
        <v>1027.829</v>
      </c>
      <c r="L80" s="6">
        <f t="shared" si="96"/>
        <v>0</v>
      </c>
      <c r="M80" s="124">
        <v>1076.374</v>
      </c>
      <c r="P80" s="9">
        <v>0</v>
      </c>
      <c r="Q80" s="9">
        <v>0</v>
      </c>
      <c r="R80" s="9">
        <v>0</v>
      </c>
      <c r="S80" s="9">
        <v>0</v>
      </c>
      <c r="T80" s="9">
        <v>0</v>
      </c>
      <c r="U80" s="9">
        <v>9.2039115666666635</v>
      </c>
      <c r="V80" s="9">
        <v>12.943472433333342</v>
      </c>
      <c r="W80" s="9">
        <v>26.397615999999996</v>
      </c>
      <c r="X80" s="10">
        <f t="shared" si="98"/>
        <v>46.917884288747352</v>
      </c>
      <c r="Y80" s="9">
        <f t="shared" si="98"/>
        <v>46.917884288747352</v>
      </c>
      <c r="Z80" s="9">
        <f t="shared" si="98"/>
        <v>46.917884288747352</v>
      </c>
      <c r="AA80" s="9">
        <f t="shared" si="98"/>
        <v>46.917884288747352</v>
      </c>
      <c r="AB80" s="9">
        <f t="shared" si="98"/>
        <v>46.917884288747352</v>
      </c>
      <c r="AC80" s="9">
        <f t="shared" si="99"/>
        <v>89.471314225053064</v>
      </c>
      <c r="AD80" s="9">
        <f t="shared" si="99"/>
        <v>89.471314225053064</v>
      </c>
      <c r="AE80" s="9">
        <f t="shared" si="100"/>
        <v>111.29358598726107</v>
      </c>
      <c r="AF80" s="9">
        <f t="shared" si="100"/>
        <v>111.29358598726107</v>
      </c>
      <c r="AG80" s="9">
        <f t="shared" si="101"/>
        <v>58.920133757961764</v>
      </c>
      <c r="AH80" s="9">
        <f t="shared" si="102"/>
        <v>80.742405520169882</v>
      </c>
      <c r="AI80" s="9">
        <f t="shared" si="102"/>
        <v>80.742405520169882</v>
      </c>
      <c r="AJ80" s="9">
        <f t="shared" si="103"/>
        <v>78.560178343949062</v>
      </c>
      <c r="AK80" s="9">
        <f t="shared" si="103"/>
        <v>78.560178343949062</v>
      </c>
      <c r="AL80" s="9">
        <f t="shared" si="104"/>
        <v>14.184476645435236</v>
      </c>
    </row>
    <row r="81" spans="1:76">
      <c r="A81" s="3" t="s">
        <v>66</v>
      </c>
      <c r="B81" t="s">
        <v>21</v>
      </c>
      <c r="C81" t="str">
        <f>+_xlfn.XLOOKUP(B81,'L4'!B:B,'L4'!C:C)</f>
        <v>TÜNELDE PÜSKÜRTME BETONU YAPILMASI</v>
      </c>
      <c r="D81" t="s">
        <v>5184</v>
      </c>
      <c r="E81" t="str">
        <f>+_xlfn.XLOOKUP(D81,'M2'!H:H,'M2'!I:I)</f>
        <v>ÖZDOĞAN İNŞAAT - GENEL</v>
      </c>
      <c r="F81" s="91" t="s">
        <v>4971</v>
      </c>
      <c r="G81" t="s">
        <v>4998</v>
      </c>
      <c r="H81" s="3" t="s">
        <v>5187</v>
      </c>
      <c r="I81" s="3" t="s">
        <v>55</v>
      </c>
      <c r="J81" s="124">
        <v>10359.347</v>
      </c>
      <c r="K81" s="124">
        <f t="shared" si="97"/>
        <v>9374.9580000000005</v>
      </c>
      <c r="L81" s="6">
        <f t="shared" si="96"/>
        <v>0</v>
      </c>
      <c r="M81" s="124">
        <v>10359.347</v>
      </c>
      <c r="P81" s="9">
        <v>0</v>
      </c>
      <c r="Q81" s="9">
        <v>0</v>
      </c>
      <c r="R81" s="9">
        <v>0</v>
      </c>
      <c r="S81" s="9">
        <v>0</v>
      </c>
      <c r="T81" s="9">
        <v>0</v>
      </c>
      <c r="U81" s="9">
        <v>131.13061500000006</v>
      </c>
      <c r="V81" s="9">
        <v>312.64838499999985</v>
      </c>
      <c r="W81" s="9">
        <v>540.61000000000013</v>
      </c>
      <c r="X81" s="10">
        <f t="shared" si="98"/>
        <v>427.94394267515935</v>
      </c>
      <c r="Y81" s="9">
        <f t="shared" si="98"/>
        <v>427.94394267515935</v>
      </c>
      <c r="Z81" s="9">
        <f t="shared" si="98"/>
        <v>427.94394267515935</v>
      </c>
      <c r="AA81" s="9">
        <f t="shared" si="98"/>
        <v>427.94394267515935</v>
      </c>
      <c r="AB81" s="9">
        <f t="shared" si="98"/>
        <v>427.94394267515935</v>
      </c>
      <c r="AC81" s="9">
        <f t="shared" si="99"/>
        <v>816.07914649681527</v>
      </c>
      <c r="AD81" s="9">
        <f t="shared" si="99"/>
        <v>816.07914649681527</v>
      </c>
      <c r="AE81" s="9">
        <f t="shared" si="100"/>
        <v>1015.1228407643307</v>
      </c>
      <c r="AF81" s="9">
        <f t="shared" si="100"/>
        <v>1015.1228407643307</v>
      </c>
      <c r="AG81" s="9">
        <f t="shared" si="101"/>
        <v>537.41797452229287</v>
      </c>
      <c r="AH81" s="9">
        <f t="shared" si="102"/>
        <v>736.46166878980932</v>
      </c>
      <c r="AI81" s="9">
        <f t="shared" si="102"/>
        <v>736.46166878980932</v>
      </c>
      <c r="AJ81" s="9">
        <f t="shared" si="103"/>
        <v>716.55729936305761</v>
      </c>
      <c r="AK81" s="9">
        <f t="shared" si="103"/>
        <v>716.55729936305761</v>
      </c>
      <c r="AL81" s="9">
        <f t="shared" si="104"/>
        <v>129.37840127388529</v>
      </c>
    </row>
    <row r="82" spans="1:76">
      <c r="A82" s="3" t="s">
        <v>66</v>
      </c>
      <c r="B82" t="s">
        <v>22</v>
      </c>
      <c r="C82" t="str">
        <f>+_xlfn.XLOOKUP(B82,'L4'!B:B,'L4'!C:C)</f>
        <v>TÜNELLERDE SN KAYA BULONU YAPILMASI</v>
      </c>
      <c r="D82" t="s">
        <v>5184</v>
      </c>
      <c r="E82" t="str">
        <f>+_xlfn.XLOOKUP(D82,'M2'!H:H,'M2'!I:I)</f>
        <v>ÖZDOĞAN İNŞAAT - GENEL</v>
      </c>
      <c r="F82" s="91" t="s">
        <v>4971</v>
      </c>
      <c r="G82" t="s">
        <v>4998</v>
      </c>
      <c r="H82" s="3" t="s">
        <v>5187</v>
      </c>
      <c r="I82" s="3" t="s">
        <v>56</v>
      </c>
      <c r="J82" s="124">
        <v>45347.199999999997</v>
      </c>
      <c r="K82" s="124">
        <f t="shared" si="97"/>
        <v>14029.199999999997</v>
      </c>
      <c r="L82" s="6">
        <f t="shared" si="96"/>
        <v>0</v>
      </c>
      <c r="M82" s="124">
        <v>45347.199999999997</v>
      </c>
      <c r="P82" s="9">
        <v>0</v>
      </c>
      <c r="Q82" s="9">
        <v>0</v>
      </c>
      <c r="R82" s="9">
        <v>0</v>
      </c>
      <c r="S82" s="9">
        <v>0</v>
      </c>
      <c r="T82" s="9">
        <v>0</v>
      </c>
      <c r="U82" s="9">
        <v>0</v>
      </c>
      <c r="V82" s="9">
        <v>31318</v>
      </c>
      <c r="W82" s="9">
        <v>0</v>
      </c>
      <c r="X82" s="10">
        <f t="shared" si="98"/>
        <v>640.39872611464966</v>
      </c>
      <c r="Y82" s="9">
        <f t="shared" si="98"/>
        <v>640.39872611464966</v>
      </c>
      <c r="Z82" s="9">
        <f t="shared" si="98"/>
        <v>640.39872611464966</v>
      </c>
      <c r="AA82" s="9">
        <f t="shared" si="98"/>
        <v>640.39872611464966</v>
      </c>
      <c r="AB82" s="9">
        <f t="shared" si="98"/>
        <v>640.39872611464966</v>
      </c>
      <c r="AC82" s="9">
        <f t="shared" si="99"/>
        <v>1221.2254777070061</v>
      </c>
      <c r="AD82" s="9">
        <f t="shared" si="99"/>
        <v>1221.2254777070061</v>
      </c>
      <c r="AE82" s="9">
        <f t="shared" si="100"/>
        <v>1519.0853503184701</v>
      </c>
      <c r="AF82" s="9">
        <f t="shared" si="100"/>
        <v>1519.0853503184701</v>
      </c>
      <c r="AG82" s="9">
        <f t="shared" si="101"/>
        <v>804.22165605095506</v>
      </c>
      <c r="AH82" s="9">
        <f t="shared" si="102"/>
        <v>1102.0815286624206</v>
      </c>
      <c r="AI82" s="9">
        <f t="shared" si="102"/>
        <v>1102.0815286624206</v>
      </c>
      <c r="AJ82" s="9">
        <f t="shared" si="103"/>
        <v>1072.295541401274</v>
      </c>
      <c r="AK82" s="9">
        <f t="shared" si="103"/>
        <v>1072.295541401274</v>
      </c>
      <c r="AL82" s="9">
        <f t="shared" si="104"/>
        <v>193.60891719745209</v>
      </c>
    </row>
    <row r="83" spans="1:76">
      <c r="A83" s="3" t="s">
        <v>66</v>
      </c>
      <c r="B83" t="s">
        <v>23</v>
      </c>
      <c r="C83" t="str">
        <f>+_xlfn.XLOOKUP(B83,'L4'!B:B,'L4'!C:C)</f>
        <v>TÜNELLERDE IBO BULONU YAPILMASI (MLZ.+İŞÇ.)</v>
      </c>
      <c r="D83" t="s">
        <v>5184</v>
      </c>
      <c r="E83" t="str">
        <f>+_xlfn.XLOOKUP(D83,'M2'!H:H,'M2'!I:I)</f>
        <v>ÖZDOĞAN İNŞAAT - GENEL</v>
      </c>
      <c r="F83" s="91" t="s">
        <v>4971</v>
      </c>
      <c r="G83" t="s">
        <v>4998</v>
      </c>
      <c r="H83" s="3" t="s">
        <v>5187</v>
      </c>
      <c r="I83" s="3" t="s">
        <v>57</v>
      </c>
      <c r="J83" s="124">
        <v>95472</v>
      </c>
      <c r="K83" s="124">
        <f t="shared" si="97"/>
        <v>74697</v>
      </c>
      <c r="L83" s="6">
        <f t="shared" si="96"/>
        <v>0</v>
      </c>
      <c r="M83" s="124">
        <v>95472</v>
      </c>
      <c r="P83" s="9">
        <v>0</v>
      </c>
      <c r="Q83" s="9">
        <v>0</v>
      </c>
      <c r="R83" s="9">
        <v>0</v>
      </c>
      <c r="S83" s="9">
        <v>0</v>
      </c>
      <c r="T83" s="9">
        <v>3336</v>
      </c>
      <c r="U83" s="9">
        <v>2826</v>
      </c>
      <c r="V83" s="9">
        <v>3735</v>
      </c>
      <c r="W83" s="9">
        <v>10878</v>
      </c>
      <c r="X83" s="10">
        <f t="shared" si="98"/>
        <v>3409.7356687898096</v>
      </c>
      <c r="Y83" s="9">
        <f t="shared" si="98"/>
        <v>3409.7356687898096</v>
      </c>
      <c r="Z83" s="9">
        <f t="shared" si="98"/>
        <v>3409.7356687898096</v>
      </c>
      <c r="AA83" s="9">
        <f t="shared" si="98"/>
        <v>3409.7356687898096</v>
      </c>
      <c r="AB83" s="9">
        <f t="shared" si="98"/>
        <v>3409.7356687898096</v>
      </c>
      <c r="AC83" s="9">
        <f t="shared" si="99"/>
        <v>6502.2866242038217</v>
      </c>
      <c r="AD83" s="9">
        <f t="shared" si="99"/>
        <v>6502.2866242038217</v>
      </c>
      <c r="AE83" s="9">
        <f t="shared" si="100"/>
        <v>8088.2101910827978</v>
      </c>
      <c r="AF83" s="9">
        <f t="shared" si="100"/>
        <v>8088.2101910827978</v>
      </c>
      <c r="AG83" s="9">
        <f t="shared" si="101"/>
        <v>4281.9936305732472</v>
      </c>
      <c r="AH83" s="9">
        <f t="shared" si="102"/>
        <v>5867.9171974522324</v>
      </c>
      <c r="AI83" s="9">
        <f t="shared" si="102"/>
        <v>5867.9171974522324</v>
      </c>
      <c r="AJ83" s="9">
        <f t="shared" si="103"/>
        <v>5709.3248407643332</v>
      </c>
      <c r="AK83" s="9">
        <f t="shared" si="103"/>
        <v>5709.3248407643332</v>
      </c>
      <c r="AL83" s="9">
        <f t="shared" si="104"/>
        <v>1030.850318471337</v>
      </c>
    </row>
    <row r="84" spans="1:76">
      <c r="A84" s="3" t="s">
        <v>66</v>
      </c>
      <c r="B84" t="s">
        <v>24</v>
      </c>
      <c r="C84" t="str">
        <f>+_xlfn.XLOOKUP(B84,'L4'!B:B,'L4'!C:C)</f>
        <v>SU YALITIMI  - TÜNELLERDE</v>
      </c>
      <c r="D84" t="s">
        <v>5184</v>
      </c>
      <c r="E84" t="str">
        <f>+_xlfn.XLOOKUP(D84,'M2'!H:H,'M2'!I:I)</f>
        <v>ÖZDOĞAN İNŞAAT - GENEL</v>
      </c>
      <c r="F84" s="91" t="s">
        <v>4971</v>
      </c>
      <c r="G84" t="s">
        <v>4998</v>
      </c>
      <c r="H84" s="3" t="s">
        <v>5187</v>
      </c>
      <c r="I84" s="3" t="s">
        <v>58</v>
      </c>
      <c r="J84" s="124">
        <v>29299.342000000001</v>
      </c>
      <c r="K84" s="124">
        <f t="shared" si="97"/>
        <v>29299.342000000001</v>
      </c>
      <c r="L84" s="6">
        <f t="shared" si="96"/>
        <v>0</v>
      </c>
      <c r="M84" s="124">
        <v>29299.342000000001</v>
      </c>
      <c r="P84" s="9">
        <v>0</v>
      </c>
      <c r="Q84" s="9">
        <v>0</v>
      </c>
      <c r="R84" s="9">
        <v>0</v>
      </c>
      <c r="S84" s="9">
        <v>0</v>
      </c>
      <c r="T84" s="9">
        <v>0</v>
      </c>
      <c r="U84" s="9">
        <v>0</v>
      </c>
      <c r="V84" s="9">
        <v>0</v>
      </c>
      <c r="W84" s="9">
        <v>0</v>
      </c>
      <c r="X84" s="10">
        <v>0</v>
      </c>
      <c r="Y84" s="9">
        <v>0</v>
      </c>
      <c r="Z84" s="9">
        <v>0</v>
      </c>
      <c r="AA84" s="9">
        <v>0</v>
      </c>
      <c r="AB84" s="9">
        <v>0</v>
      </c>
      <c r="AC84" s="9">
        <v>0</v>
      </c>
      <c r="AD84" s="9">
        <v>0</v>
      </c>
      <c r="AE84" s="9">
        <v>0</v>
      </c>
      <c r="AF84" s="9">
        <v>0</v>
      </c>
      <c r="AG84" s="9">
        <v>0</v>
      </c>
      <c r="AH84" s="9">
        <v>0</v>
      </c>
      <c r="AI84" s="9">
        <v>0</v>
      </c>
      <c r="AJ84" s="9">
        <v>0</v>
      </c>
      <c r="AK84" s="9">
        <v>0</v>
      </c>
      <c r="AL84" s="9">
        <f>(+$K84)*0.352941176470588</f>
        <v>10340.94423529411</v>
      </c>
      <c r="AM84" s="9">
        <f>(+$K84)*0.352941176470588</f>
        <v>10340.94423529411</v>
      </c>
      <c r="AN84" s="9">
        <f>(+$K84)*0.294117647058824</f>
        <v>8617.4535294117777</v>
      </c>
    </row>
    <row r="85" spans="1:76">
      <c r="A85" s="3" t="s">
        <v>66</v>
      </c>
      <c r="B85" t="s">
        <v>25</v>
      </c>
      <c r="C85" t="str">
        <f>+_xlfn.XLOOKUP(B85,'L4'!B:B,'L4'!C:C)</f>
        <v>TÜNELLERDE NIHAI BETON KAPLAMASI - C25/30</v>
      </c>
      <c r="D85" t="s">
        <v>5184</v>
      </c>
      <c r="E85" t="str">
        <f>+_xlfn.XLOOKUP(D85,'M2'!H:H,'M2'!I:I)</f>
        <v>ÖZDOĞAN İNŞAAT - GENEL</v>
      </c>
      <c r="F85" s="91" t="s">
        <v>4971</v>
      </c>
      <c r="G85" t="s">
        <v>4998</v>
      </c>
      <c r="H85" s="3" t="s">
        <v>5187</v>
      </c>
      <c r="I85" s="3" t="s">
        <v>59</v>
      </c>
      <c r="J85" s="124">
        <v>23350.986000000001</v>
      </c>
      <c r="K85" s="124">
        <f t="shared" si="97"/>
        <v>23350.986000000001</v>
      </c>
      <c r="L85" s="6">
        <f t="shared" si="96"/>
        <v>0</v>
      </c>
      <c r="M85" s="124">
        <v>23350.986000000001</v>
      </c>
      <c r="P85" s="9">
        <v>0</v>
      </c>
      <c r="Q85" s="9">
        <v>0</v>
      </c>
      <c r="R85" s="9">
        <v>0</v>
      </c>
      <c r="S85" s="9">
        <v>0</v>
      </c>
      <c r="T85" s="9">
        <v>0</v>
      </c>
      <c r="U85" s="9">
        <v>0</v>
      </c>
      <c r="V85" s="9">
        <v>0</v>
      </c>
      <c r="W85" s="9">
        <v>0</v>
      </c>
      <c r="X85" s="10">
        <v>0</v>
      </c>
      <c r="Y85" s="9">
        <v>0</v>
      </c>
      <c r="Z85" s="9">
        <v>0</v>
      </c>
      <c r="AA85" s="9">
        <v>0</v>
      </c>
      <c r="AB85" s="9">
        <v>0</v>
      </c>
      <c r="AC85" s="9">
        <v>0</v>
      </c>
      <c r="AD85" s="9">
        <v>0</v>
      </c>
      <c r="AE85" s="9">
        <v>0</v>
      </c>
      <c r="AF85" s="9">
        <v>0</v>
      </c>
      <c r="AG85" s="9">
        <v>0</v>
      </c>
      <c r="AH85" s="9">
        <v>0</v>
      </c>
      <c r="AI85" s="9">
        <v>0</v>
      </c>
      <c r="AJ85" s="9">
        <v>0</v>
      </c>
      <c r="AK85" s="9">
        <v>0</v>
      </c>
      <c r="AL85" s="9">
        <f>(+$K85)*0.352941176470588</f>
        <v>8241.5244705882287</v>
      </c>
      <c r="AM85" s="9">
        <f>(+$K85)*0.352941176470588</f>
        <v>8241.5244705882287</v>
      </c>
      <c r="AN85" s="9">
        <f>(+$K85)*0.294117647058824</f>
        <v>6867.9370588235406</v>
      </c>
    </row>
    <row r="86" spans="1:76">
      <c r="A86" s="3" t="s">
        <v>66</v>
      </c>
      <c r="B86" t="s">
        <v>26</v>
      </c>
      <c r="C86" t="str">
        <f>+_xlfn.XLOOKUP(B86,'L4'!B:B,'L4'!C:C)</f>
        <v>PREKAST KABLO KANALI YAPILMASI</v>
      </c>
      <c r="D86" t="s">
        <v>5184</v>
      </c>
      <c r="E86" t="str">
        <f>+_xlfn.XLOOKUP(D86,'M2'!H:H,'M2'!I:I)</f>
        <v>ÖZDOĞAN İNŞAAT - GENEL</v>
      </c>
      <c r="F86" s="91" t="s">
        <v>4971</v>
      </c>
      <c r="G86" t="s">
        <v>4998</v>
      </c>
      <c r="H86" s="3" t="s">
        <v>5187</v>
      </c>
      <c r="I86" s="3" t="s">
        <v>60</v>
      </c>
      <c r="J86" s="124">
        <v>2040</v>
      </c>
      <c r="K86" s="124">
        <f t="shared" si="97"/>
        <v>2040</v>
      </c>
      <c r="L86" s="6">
        <f t="shared" si="96"/>
        <v>0</v>
      </c>
      <c r="M86" s="124">
        <v>2040</v>
      </c>
      <c r="P86" s="9">
        <v>0</v>
      </c>
      <c r="Q86" s="9">
        <v>0</v>
      </c>
      <c r="R86" s="9">
        <v>0</v>
      </c>
      <c r="S86" s="9">
        <v>0</v>
      </c>
      <c r="T86" s="9">
        <v>0</v>
      </c>
      <c r="U86" s="9">
        <v>0</v>
      </c>
      <c r="V86" s="9">
        <v>0</v>
      </c>
      <c r="W86" s="9">
        <v>0</v>
      </c>
      <c r="X86" s="10">
        <f t="shared" ref="X86:AB89" si="105">(+$K86)*0.0456475583864119</f>
        <v>93.121019108280279</v>
      </c>
      <c r="Y86" s="9">
        <f t="shared" si="105"/>
        <v>93.121019108280279</v>
      </c>
      <c r="Z86" s="9">
        <f t="shared" si="105"/>
        <v>93.121019108280279</v>
      </c>
      <c r="AA86" s="9">
        <f t="shared" si="105"/>
        <v>93.121019108280279</v>
      </c>
      <c r="AB86" s="9">
        <f t="shared" si="105"/>
        <v>93.121019108280279</v>
      </c>
      <c r="AC86" s="9">
        <f t="shared" ref="AC86:AD89" si="106">(+$K86)*0.0870488322717622</f>
        <v>177.5796178343949</v>
      </c>
      <c r="AD86" s="9">
        <f t="shared" si="106"/>
        <v>177.5796178343949</v>
      </c>
      <c r="AE86" s="9">
        <f t="shared" ref="AE86:AF89" si="107">(+$K86)*0.10828025477707</f>
        <v>220.89171974522279</v>
      </c>
      <c r="AF86" s="9">
        <f t="shared" si="107"/>
        <v>220.89171974522279</v>
      </c>
      <c r="AG86" s="9">
        <f>(+$K86)*0.0573248407643312</f>
        <v>116.94267515923565</v>
      </c>
      <c r="AH86" s="9">
        <f t="shared" ref="AH86:AI89" si="108">(+$K86)*0.0785562632696391</f>
        <v>160.25477707006377</v>
      </c>
      <c r="AI86" s="9">
        <f t="shared" si="108"/>
        <v>160.25477707006377</v>
      </c>
      <c r="AJ86" s="9">
        <f t="shared" ref="AJ86:AK89" si="109">(+$K86)*0.0764331210191083</f>
        <v>155.92356687898095</v>
      </c>
      <c r="AK86" s="9">
        <f t="shared" si="109"/>
        <v>155.92356687898095</v>
      </c>
      <c r="AL86" s="9">
        <f>(+$K86)*0.0138004246284501</f>
        <v>28.152866242038204</v>
      </c>
    </row>
    <row r="87" spans="1:76">
      <c r="A87" s="3" t="s">
        <v>66</v>
      </c>
      <c r="B87" t="s">
        <v>27</v>
      </c>
      <c r="C87" t="str">
        <f>+_xlfn.XLOOKUP(B87,'L4'!B:B,'L4'!C:C)</f>
        <v>TÜNELDE ENJEKSIYON YAPILMASI</v>
      </c>
      <c r="D87" t="s">
        <v>5184</v>
      </c>
      <c r="E87" t="str">
        <f>+_xlfn.XLOOKUP(D87,'M2'!H:H,'M2'!I:I)</f>
        <v>ÖZDOĞAN İNŞAAT - GENEL</v>
      </c>
      <c r="F87" s="91" t="s">
        <v>4971</v>
      </c>
      <c r="G87" t="s">
        <v>4998</v>
      </c>
      <c r="H87" s="3" t="s">
        <v>5187</v>
      </c>
      <c r="I87" s="3" t="s">
        <v>61</v>
      </c>
      <c r="J87" s="124">
        <v>4086.1350000000002</v>
      </c>
      <c r="K87" s="124">
        <f t="shared" si="97"/>
        <v>0</v>
      </c>
      <c r="L87" s="6">
        <f t="shared" si="96"/>
        <v>0</v>
      </c>
      <c r="M87" s="124">
        <v>0</v>
      </c>
      <c r="P87" s="9">
        <v>0</v>
      </c>
      <c r="Q87" s="9">
        <v>0</v>
      </c>
      <c r="R87" s="9">
        <v>0</v>
      </c>
      <c r="S87" s="9">
        <v>0</v>
      </c>
      <c r="T87" s="9">
        <v>0</v>
      </c>
      <c r="U87" s="9">
        <v>0</v>
      </c>
      <c r="V87" s="9">
        <v>0</v>
      </c>
      <c r="W87" s="9">
        <v>0</v>
      </c>
      <c r="X87" s="10">
        <f t="shared" si="105"/>
        <v>0</v>
      </c>
      <c r="Y87" s="9">
        <f t="shared" si="105"/>
        <v>0</v>
      </c>
      <c r="Z87" s="9">
        <f t="shared" si="105"/>
        <v>0</v>
      </c>
      <c r="AA87" s="9">
        <f t="shared" si="105"/>
        <v>0</v>
      </c>
      <c r="AB87" s="9">
        <f t="shared" si="105"/>
        <v>0</v>
      </c>
      <c r="AC87" s="9">
        <f t="shared" si="106"/>
        <v>0</v>
      </c>
      <c r="AD87" s="9">
        <f t="shared" si="106"/>
        <v>0</v>
      </c>
      <c r="AE87" s="9">
        <f t="shared" si="107"/>
        <v>0</v>
      </c>
      <c r="AF87" s="9">
        <f t="shared" si="107"/>
        <v>0</v>
      </c>
      <c r="AG87" s="9">
        <f>(+$K87)*0.0573248407643312</f>
        <v>0</v>
      </c>
      <c r="AH87" s="9">
        <f t="shared" si="108"/>
        <v>0</v>
      </c>
      <c r="AI87" s="9">
        <f t="shared" si="108"/>
        <v>0</v>
      </c>
      <c r="AJ87" s="9">
        <f t="shared" si="109"/>
        <v>0</v>
      </c>
      <c r="AK87" s="9">
        <f t="shared" si="109"/>
        <v>0</v>
      </c>
      <c r="AL87" s="9">
        <f>(+$K87)*0.0138004246284501</f>
        <v>0</v>
      </c>
    </row>
    <row r="88" spans="1:76">
      <c r="A88" s="3" t="s">
        <v>66</v>
      </c>
      <c r="B88" t="s">
        <v>28</v>
      </c>
      <c r="C88" t="str">
        <f>+_xlfn.XLOOKUP(B88,'L4'!B:B,'L4'!C:C)</f>
        <v>ENJEKSIYON AMAÇLI DELIK AÇILMASI</v>
      </c>
      <c r="D88" t="s">
        <v>5184</v>
      </c>
      <c r="E88" t="str">
        <f>+_xlfn.XLOOKUP(D88,'M2'!H:H,'M2'!I:I)</f>
        <v>ÖZDOĞAN İNŞAAT - GENEL</v>
      </c>
      <c r="F88" s="91" t="s">
        <v>4971</v>
      </c>
      <c r="G88" t="s">
        <v>4998</v>
      </c>
      <c r="H88" s="3" t="s">
        <v>5187</v>
      </c>
      <c r="I88" s="3" t="s">
        <v>62</v>
      </c>
      <c r="J88" s="124">
        <v>14981.985000000001</v>
      </c>
      <c r="K88" s="124">
        <f t="shared" si="97"/>
        <v>0</v>
      </c>
      <c r="L88" s="6">
        <f t="shared" si="96"/>
        <v>0</v>
      </c>
      <c r="M88" s="124">
        <v>0</v>
      </c>
      <c r="P88" s="9">
        <v>0</v>
      </c>
      <c r="Q88" s="9">
        <v>0</v>
      </c>
      <c r="R88" s="9">
        <v>0</v>
      </c>
      <c r="S88" s="9">
        <v>0</v>
      </c>
      <c r="T88" s="9">
        <v>0</v>
      </c>
      <c r="U88" s="9">
        <v>0</v>
      </c>
      <c r="V88" s="9">
        <v>0</v>
      </c>
      <c r="W88" s="9">
        <v>0</v>
      </c>
      <c r="X88" s="10">
        <f t="shared" si="105"/>
        <v>0</v>
      </c>
      <c r="Y88" s="9">
        <f t="shared" si="105"/>
        <v>0</v>
      </c>
      <c r="Z88" s="9">
        <f t="shared" si="105"/>
        <v>0</v>
      </c>
      <c r="AA88" s="9">
        <f t="shared" si="105"/>
        <v>0</v>
      </c>
      <c r="AB88" s="9">
        <f t="shared" si="105"/>
        <v>0</v>
      </c>
      <c r="AC88" s="9">
        <f t="shared" si="106"/>
        <v>0</v>
      </c>
      <c r="AD88" s="9">
        <f t="shared" si="106"/>
        <v>0</v>
      </c>
      <c r="AE88" s="9">
        <f t="shared" si="107"/>
        <v>0</v>
      </c>
      <c r="AF88" s="9">
        <f t="shared" si="107"/>
        <v>0</v>
      </c>
      <c r="AG88" s="9">
        <f>(+$K88)*0.0573248407643312</f>
        <v>0</v>
      </c>
      <c r="AH88" s="9">
        <f t="shared" si="108"/>
        <v>0</v>
      </c>
      <c r="AI88" s="9">
        <f t="shared" si="108"/>
        <v>0</v>
      </c>
      <c r="AJ88" s="9">
        <f t="shared" si="109"/>
        <v>0</v>
      </c>
      <c r="AK88" s="9">
        <f t="shared" si="109"/>
        <v>0</v>
      </c>
      <c r="AL88" s="9">
        <f>(+$K88)*0.0138004246284501</f>
        <v>0</v>
      </c>
    </row>
    <row r="89" spans="1:76">
      <c r="A89" s="3" t="s">
        <v>66</v>
      </c>
      <c r="B89" t="s">
        <v>29</v>
      </c>
      <c r="C89" t="str">
        <f>+_xlfn.XLOOKUP(B89,'L4'!B:B,'L4'!C:C)</f>
        <v>BETON - DEMIRSIZ - BOŞLUK / POROZ</v>
      </c>
      <c r="D89" t="s">
        <v>5184</v>
      </c>
      <c r="E89" t="str">
        <f>+_xlfn.XLOOKUP(D89,'M2'!H:H,'M2'!I:I)</f>
        <v>ÖZDOĞAN İNŞAAT - GENEL</v>
      </c>
      <c r="F89" s="91" t="s">
        <v>4971</v>
      </c>
      <c r="G89" t="s">
        <v>4998</v>
      </c>
      <c r="H89" s="3" t="s">
        <v>5187</v>
      </c>
      <c r="I89" s="3" t="s">
        <v>63</v>
      </c>
      <c r="J89" s="124">
        <v>109.524</v>
      </c>
      <c r="K89" s="124">
        <f t="shared" si="97"/>
        <v>109.524</v>
      </c>
      <c r="L89" s="6">
        <f t="shared" si="96"/>
        <v>0</v>
      </c>
      <c r="M89" s="124">
        <v>109.524</v>
      </c>
      <c r="P89" s="9">
        <v>0</v>
      </c>
      <c r="Q89" s="9">
        <v>0</v>
      </c>
      <c r="R89" s="9">
        <v>0</v>
      </c>
      <c r="S89" s="9">
        <v>0</v>
      </c>
      <c r="T89" s="9">
        <v>0</v>
      </c>
      <c r="U89" s="9">
        <v>0</v>
      </c>
      <c r="V89" s="9">
        <v>0</v>
      </c>
      <c r="W89" s="9">
        <v>0</v>
      </c>
      <c r="X89" s="10">
        <f t="shared" si="105"/>
        <v>4.9995031847133768</v>
      </c>
      <c r="Y89" s="9">
        <f t="shared" si="105"/>
        <v>4.9995031847133768</v>
      </c>
      <c r="Z89" s="9">
        <f t="shared" si="105"/>
        <v>4.9995031847133768</v>
      </c>
      <c r="AA89" s="9">
        <f t="shared" si="105"/>
        <v>4.9995031847133768</v>
      </c>
      <c r="AB89" s="9">
        <f t="shared" si="105"/>
        <v>4.9995031847133768</v>
      </c>
      <c r="AC89" s="9">
        <f t="shared" si="106"/>
        <v>9.5339363057324835</v>
      </c>
      <c r="AD89" s="9">
        <f t="shared" si="106"/>
        <v>9.5339363057324835</v>
      </c>
      <c r="AE89" s="9">
        <f t="shared" si="107"/>
        <v>11.859286624203815</v>
      </c>
      <c r="AF89" s="9">
        <f t="shared" si="107"/>
        <v>11.859286624203815</v>
      </c>
      <c r="AG89" s="9">
        <f>(+$K89)*0.0573248407643312</f>
        <v>6.2784458598726101</v>
      </c>
      <c r="AH89" s="9">
        <f t="shared" si="108"/>
        <v>8.6037961783439538</v>
      </c>
      <c r="AI89" s="9">
        <f t="shared" si="108"/>
        <v>8.6037961783439538</v>
      </c>
      <c r="AJ89" s="9">
        <f t="shared" si="109"/>
        <v>8.3712611464968187</v>
      </c>
      <c r="AK89" s="9">
        <f t="shared" si="109"/>
        <v>8.3712611464968187</v>
      </c>
      <c r="AL89" s="9">
        <f>(+$K89)*0.0138004246284501</f>
        <v>1.5114777070063687</v>
      </c>
    </row>
    <row r="90" spans="1:76">
      <c r="A90" s="3" t="s">
        <v>66</v>
      </c>
      <c r="B90" t="s">
        <v>2</v>
      </c>
      <c r="C90" t="str">
        <f>+_xlfn.XLOOKUP(B90,'L4'!B:B,'L4'!C:C)</f>
        <v>KAZI - YARMA VE YAN ARIYET</v>
      </c>
      <c r="D90" t="s">
        <v>5183</v>
      </c>
      <c r="E90" t="str">
        <f>+_xlfn.XLOOKUP(D90,'M2'!H:H,'M2'!I:I)</f>
        <v>ÖZDOĞAN İNŞAAT - GENEL</v>
      </c>
      <c r="F90" s="91" t="s">
        <v>4971</v>
      </c>
      <c r="G90" t="s">
        <v>4998</v>
      </c>
      <c r="H90" s="3" t="s">
        <v>5188</v>
      </c>
      <c r="I90" s="3" t="s">
        <v>64</v>
      </c>
      <c r="J90" s="124">
        <v>0</v>
      </c>
      <c r="K90" s="124">
        <f t="shared" si="97"/>
        <v>244644.22999999998</v>
      </c>
      <c r="L90" s="6">
        <f t="shared" si="96"/>
        <v>0</v>
      </c>
      <c r="M90" s="124">
        <v>1000000</v>
      </c>
      <c r="P90" s="9">
        <v>0</v>
      </c>
      <c r="Q90" s="9">
        <v>0</v>
      </c>
      <c r="R90" s="9">
        <v>0</v>
      </c>
      <c r="S90" s="9">
        <v>162000</v>
      </c>
      <c r="T90" s="9">
        <v>186141.05</v>
      </c>
      <c r="U90" s="9">
        <v>132741.90500000003</v>
      </c>
      <c r="V90" s="9">
        <v>179340.79399999994</v>
      </c>
      <c r="W90" s="9">
        <v>95132.021000000066</v>
      </c>
      <c r="X90" s="10">
        <f>(+$K90)*0.0144749872220802</f>
        <v>3541.2221032056491</v>
      </c>
      <c r="Y90" s="9">
        <f>(+$K90)*0.0144749872220802</f>
        <v>3541.2221032056491</v>
      </c>
      <c r="Z90" s="9">
        <f>(+$K90)*0.0144749872220802</f>
        <v>3541.2221032056491</v>
      </c>
      <c r="AA90" s="9">
        <f>(+$K90)*0.0144749872220802</f>
        <v>3541.2221032056491</v>
      </c>
      <c r="AB90" s="9">
        <f>(+$K90)*0.00621725658062867</f>
        <v>1521.0159488803338</v>
      </c>
      <c r="AC90" s="9">
        <f>(+$K90)*0.024956874520828</f>
        <v>6105.5553503545843</v>
      </c>
      <c r="AD90" s="9">
        <f>(+$K90)*0.037435311781242</f>
        <v>9158.3330255318779</v>
      </c>
      <c r="AE90" s="9">
        <f t="shared" ref="AE90:AL90" si="110">(+$K90)*0.049913749041656</f>
        <v>12211.110700709169</v>
      </c>
      <c r="AF90" s="9">
        <f t="shared" si="110"/>
        <v>12211.110700709169</v>
      </c>
      <c r="AG90" s="9">
        <f t="shared" si="110"/>
        <v>12211.110700709169</v>
      </c>
      <c r="AH90" s="9">
        <f t="shared" si="110"/>
        <v>12211.110700709169</v>
      </c>
      <c r="AI90" s="9">
        <f t="shared" si="110"/>
        <v>12211.110700709169</v>
      </c>
      <c r="AJ90" s="9">
        <f t="shared" si="110"/>
        <v>12211.110700709169</v>
      </c>
      <c r="AK90" s="9">
        <f t="shared" si="110"/>
        <v>12211.110700709169</v>
      </c>
      <c r="AL90" s="9">
        <f t="shared" si="110"/>
        <v>12211.110700709169</v>
      </c>
      <c r="AM90" s="9">
        <f>(+$K90)*0.037435311781242</f>
        <v>9158.3330255318779</v>
      </c>
      <c r="AN90" s="9">
        <f>(+$K90)*0.024956874520828</f>
        <v>6105.5553503545843</v>
      </c>
      <c r="AO90" s="9">
        <f>(+$K90)*0.024956874520828</f>
        <v>6105.5553503545843</v>
      </c>
      <c r="AP90" s="9">
        <f>(+$K90)*0.037435311781242</f>
        <v>9158.3330255318779</v>
      </c>
      <c r="AQ90" s="9">
        <f t="shared" ref="AQ90:AW90" si="111">(+$K90)*0.049913749041656</f>
        <v>12211.110700709169</v>
      </c>
      <c r="AR90" s="9">
        <f t="shared" si="111"/>
        <v>12211.110700709169</v>
      </c>
      <c r="AS90" s="9">
        <f t="shared" si="111"/>
        <v>12211.110700709169</v>
      </c>
      <c r="AT90" s="9">
        <f t="shared" si="111"/>
        <v>12211.110700709169</v>
      </c>
      <c r="AU90" s="9">
        <f t="shared" si="111"/>
        <v>12211.110700709169</v>
      </c>
      <c r="AV90" s="9">
        <f t="shared" si="111"/>
        <v>12211.110700709169</v>
      </c>
      <c r="AW90" s="9">
        <f t="shared" si="111"/>
        <v>12211.110700709169</v>
      </c>
    </row>
    <row r="91" spans="1:76">
      <c r="A91" s="3" t="s">
        <v>66</v>
      </c>
      <c r="B91" t="s">
        <v>2</v>
      </c>
      <c r="C91" t="str">
        <f>+_xlfn.XLOOKUP(B91,'L4'!B:B,'L4'!C:C)</f>
        <v>KAZI - YARMA VE YAN ARIYET</v>
      </c>
      <c r="D91" t="s">
        <v>4967</v>
      </c>
      <c r="E91" t="str">
        <f>+_xlfn.XLOOKUP(D91,'M2'!H:H,'M2'!I:I)</f>
        <v>PROJE GENELİ</v>
      </c>
      <c r="F91" s="91" t="s">
        <v>4973</v>
      </c>
      <c r="G91" t="s">
        <v>4983</v>
      </c>
      <c r="H91" s="3" t="s">
        <v>4984</v>
      </c>
      <c r="I91" s="3" t="s">
        <v>109</v>
      </c>
      <c r="J91" s="124">
        <v>22888989.096000008</v>
      </c>
      <c r="K91" s="124">
        <f t="shared" si="97"/>
        <v>22583418.096000008</v>
      </c>
      <c r="L91" s="6">
        <f>+SUM(X91:BT91)-K91</f>
        <v>0</v>
      </c>
      <c r="M91" s="124">
        <v>22888989.096000008</v>
      </c>
      <c r="N91" s="9">
        <v>0</v>
      </c>
      <c r="R91" s="9">
        <v>0</v>
      </c>
      <c r="S91" s="9">
        <v>0</v>
      </c>
      <c r="T91" s="9">
        <v>0</v>
      </c>
      <c r="U91" s="9">
        <v>0</v>
      </c>
      <c r="V91" s="9">
        <v>166399</v>
      </c>
      <c r="W91" s="9">
        <v>139172</v>
      </c>
      <c r="X91" s="10">
        <v>487143.47858568147</v>
      </c>
      <c r="Y91" s="9">
        <v>805767.90997387096</v>
      </c>
      <c r="Z91" s="9">
        <v>809198.15055330715</v>
      </c>
      <c r="AA91" s="9">
        <v>569586.10834023287</v>
      </c>
      <c r="AB91" s="9">
        <v>492579.9087017877</v>
      </c>
      <c r="AC91" s="9">
        <v>884950.37805250287</v>
      </c>
      <c r="AD91" s="9">
        <v>804057.49390982476</v>
      </c>
      <c r="AE91" s="9">
        <v>924739.74440578267</v>
      </c>
      <c r="AF91" s="9">
        <v>925276.74191545043</v>
      </c>
      <c r="AG91" s="9">
        <v>921294.43369843939</v>
      </c>
      <c r="AH91" s="9">
        <v>961738.85312917049</v>
      </c>
      <c r="AI91" s="9">
        <v>961201.85561950272</v>
      </c>
      <c r="AJ91" s="9">
        <v>961201.85561950272</v>
      </c>
      <c r="AK91" s="9">
        <v>961201.85561950272</v>
      </c>
      <c r="AL91" s="9">
        <v>961201.85561950272</v>
      </c>
      <c r="AM91" s="9">
        <v>720797.3393603561</v>
      </c>
      <c r="AN91" s="9">
        <v>640022.51078546094</v>
      </c>
      <c r="AO91" s="9">
        <v>640022.51078546094</v>
      </c>
      <c r="AP91" s="9">
        <v>720797.3393603561</v>
      </c>
      <c r="AQ91" s="9">
        <v>802109.16544491844</v>
      </c>
      <c r="AR91" s="9">
        <v>881631.10155449819</v>
      </c>
      <c r="AS91" s="9">
        <v>882363.37088586343</v>
      </c>
      <c r="AT91" s="9">
        <v>882656.27861840965</v>
      </c>
      <c r="AU91" s="9">
        <v>882363.37088586343</v>
      </c>
      <c r="AV91" s="9">
        <v>842455.94896480069</v>
      </c>
      <c r="AW91" s="9">
        <v>817124.31382618693</v>
      </c>
      <c r="AX91" s="9">
        <v>479449.21274415799</v>
      </c>
      <c r="AY91" s="9">
        <v>479864.16536526498</v>
      </c>
      <c r="AZ91" s="9">
        <v>480620.84367434238</v>
      </c>
      <c r="BA91" s="9">
        <v>0</v>
      </c>
      <c r="BB91" s="9">
        <v>0</v>
      </c>
      <c r="BC91" s="9">
        <v>0</v>
      </c>
      <c r="BD91" s="9">
        <v>0</v>
      </c>
      <c r="BE91" s="9">
        <v>0</v>
      </c>
      <c r="BF91" s="9">
        <v>0</v>
      </c>
      <c r="BG91" s="9">
        <v>0</v>
      </c>
      <c r="BH91" s="9">
        <v>0</v>
      </c>
      <c r="BI91" s="9">
        <v>0</v>
      </c>
      <c r="BJ91" s="9">
        <v>0</v>
      </c>
      <c r="BK91" s="9">
        <v>0</v>
      </c>
      <c r="BL91" s="9">
        <v>0</v>
      </c>
      <c r="BM91" s="9">
        <v>0</v>
      </c>
      <c r="BN91" s="9">
        <v>0</v>
      </c>
      <c r="BO91" s="9">
        <v>0</v>
      </c>
      <c r="BP91" s="9">
        <v>0</v>
      </c>
      <c r="BQ91" s="9">
        <v>0</v>
      </c>
      <c r="BR91" s="9">
        <v>0</v>
      </c>
      <c r="BS91" s="9">
        <v>0</v>
      </c>
      <c r="BT91" s="9">
        <v>0</v>
      </c>
      <c r="BU91" s="9">
        <v>0</v>
      </c>
      <c r="BV91" s="9">
        <v>0</v>
      </c>
      <c r="BW91" s="9">
        <v>0</v>
      </c>
      <c r="BX91" s="9">
        <v>0</v>
      </c>
    </row>
    <row r="92" spans="1:76">
      <c r="A92" s="3" t="s">
        <v>66</v>
      </c>
      <c r="B92" t="s">
        <v>2615</v>
      </c>
      <c r="C92" t="str">
        <f>+_xlfn.XLOOKUP(B92,'L4'!B:B,'L4'!C:C)</f>
        <v>KAZI - ARIYET OCAĞI</v>
      </c>
      <c r="D92" t="s">
        <v>4967</v>
      </c>
      <c r="E92" t="str">
        <f>+_xlfn.XLOOKUP(D92,'M2'!H:H,'M2'!I:I)</f>
        <v>PROJE GENELİ</v>
      </c>
      <c r="F92" s="91" t="s">
        <v>4973</v>
      </c>
      <c r="G92" t="s">
        <v>4983</v>
      </c>
      <c r="H92" s="3" t="s">
        <v>4984</v>
      </c>
      <c r="I92" s="3" t="s">
        <v>119</v>
      </c>
      <c r="J92" s="124">
        <v>8870000</v>
      </c>
      <c r="K92" s="124">
        <f t="shared" si="97"/>
        <v>8870000</v>
      </c>
      <c r="L92" s="6">
        <f t="shared" si="96"/>
        <v>0</v>
      </c>
      <c r="M92" s="124">
        <f t="shared" ref="M92:M149" si="112">+SUM(N92:BX92)</f>
        <v>8870000</v>
      </c>
      <c r="N92" s="9">
        <v>0</v>
      </c>
      <c r="O92" s="9">
        <v>0</v>
      </c>
      <c r="P92" s="9">
        <v>0</v>
      </c>
      <c r="Q92" s="9">
        <v>0</v>
      </c>
      <c r="R92" s="9">
        <v>0</v>
      </c>
      <c r="S92" s="9">
        <v>0</v>
      </c>
      <c r="T92" s="9">
        <v>0</v>
      </c>
      <c r="U92" s="9">
        <v>0</v>
      </c>
      <c r="V92" s="9">
        <v>0</v>
      </c>
      <c r="W92" s="9">
        <v>0</v>
      </c>
      <c r="X92" s="10">
        <v>50000</v>
      </c>
      <c r="Y92" s="9">
        <v>300000</v>
      </c>
      <c r="Z92" s="9">
        <v>300000</v>
      </c>
      <c r="AA92" s="9">
        <v>300000</v>
      </c>
      <c r="AB92" s="9">
        <v>270000</v>
      </c>
      <c r="AC92" s="9">
        <v>150000</v>
      </c>
      <c r="AD92" s="9">
        <v>150000</v>
      </c>
      <c r="AE92" s="9">
        <v>250000</v>
      </c>
      <c r="AF92" s="9">
        <v>350000</v>
      </c>
      <c r="AG92" s="9">
        <v>450000</v>
      </c>
      <c r="AH92" s="9">
        <v>450000</v>
      </c>
      <c r="AI92" s="9">
        <v>450000</v>
      </c>
      <c r="AJ92" s="9">
        <v>450000</v>
      </c>
      <c r="AK92" s="9">
        <v>450000</v>
      </c>
      <c r="AL92" s="9">
        <v>450000</v>
      </c>
      <c r="AM92" s="9">
        <v>300000</v>
      </c>
      <c r="AN92" s="9">
        <v>100000</v>
      </c>
      <c r="AO92" s="9">
        <v>0</v>
      </c>
      <c r="AP92" s="9">
        <v>150000</v>
      </c>
      <c r="AQ92" s="9">
        <v>250000</v>
      </c>
      <c r="AR92" s="9">
        <v>350000</v>
      </c>
      <c r="AS92" s="9">
        <v>450000</v>
      </c>
      <c r="AT92" s="9">
        <v>450000</v>
      </c>
      <c r="AU92" s="9">
        <v>450000</v>
      </c>
      <c r="AV92" s="9">
        <v>450000</v>
      </c>
      <c r="AW92" s="9">
        <v>450000</v>
      </c>
      <c r="AX92" s="9">
        <v>450000</v>
      </c>
      <c r="AY92" s="9">
        <v>200000</v>
      </c>
      <c r="AZ92" s="9">
        <v>0</v>
      </c>
      <c r="BA92" s="9">
        <v>0</v>
      </c>
      <c r="BB92" s="9">
        <v>0</v>
      </c>
      <c r="BC92" s="9">
        <v>0</v>
      </c>
      <c r="BD92" s="9">
        <v>0</v>
      </c>
      <c r="BE92" s="9">
        <v>0</v>
      </c>
      <c r="BF92" s="9">
        <v>0</v>
      </c>
      <c r="BG92" s="9">
        <v>0</v>
      </c>
      <c r="BH92" s="9">
        <v>0</v>
      </c>
      <c r="BI92" s="9">
        <v>0</v>
      </c>
      <c r="BJ92" s="9">
        <v>0</v>
      </c>
      <c r="BK92" s="9">
        <v>0</v>
      </c>
      <c r="BL92" s="9">
        <v>0</v>
      </c>
      <c r="BM92" s="9">
        <v>0</v>
      </c>
      <c r="BN92" s="9">
        <v>0</v>
      </c>
      <c r="BO92" s="9">
        <v>0</v>
      </c>
      <c r="BP92" s="9">
        <v>0</v>
      </c>
      <c r="BQ92" s="9">
        <v>0</v>
      </c>
      <c r="BR92" s="9">
        <v>0</v>
      </c>
      <c r="BS92" s="9">
        <v>0</v>
      </c>
      <c r="BT92" s="9">
        <v>0</v>
      </c>
      <c r="BU92" s="9">
        <v>0</v>
      </c>
      <c r="BV92" s="9">
        <v>0</v>
      </c>
      <c r="BW92" s="9">
        <v>0</v>
      </c>
      <c r="BX92" s="9">
        <v>0</v>
      </c>
    </row>
    <row r="93" spans="1:76">
      <c r="A93" s="3" t="s">
        <v>66</v>
      </c>
      <c r="B93" t="s">
        <v>2616</v>
      </c>
      <c r="C93" t="str">
        <f>+_xlfn.XLOOKUP(B93,'L4'!B:B,'L4'!C:C)</f>
        <v>KAZI - SIYIRMA</v>
      </c>
      <c r="D93" t="s">
        <v>4967</v>
      </c>
      <c r="E93" t="str">
        <f>+_xlfn.XLOOKUP(D93,'M2'!H:H,'M2'!I:I)</f>
        <v>PROJE GENELİ</v>
      </c>
      <c r="F93" s="91" t="s">
        <v>4973</v>
      </c>
      <c r="G93" t="s">
        <v>4983</v>
      </c>
      <c r="H93" s="3" t="s">
        <v>4984</v>
      </c>
      <c r="I93" s="3" t="s">
        <v>124</v>
      </c>
      <c r="J93" s="124">
        <v>2085258.0000000007</v>
      </c>
      <c r="K93" s="124">
        <f t="shared" si="97"/>
        <v>2082528.9060000007</v>
      </c>
      <c r="L93" s="6">
        <f t="shared" si="96"/>
        <v>0</v>
      </c>
      <c r="M93" s="124">
        <f t="shared" si="112"/>
        <v>2085258.0000000007</v>
      </c>
      <c r="N93" s="9">
        <v>0</v>
      </c>
      <c r="O93" s="9">
        <v>0</v>
      </c>
      <c r="P93" s="9">
        <v>0</v>
      </c>
      <c r="Q93" s="9">
        <v>0</v>
      </c>
      <c r="R93" s="9">
        <v>0</v>
      </c>
      <c r="S93" s="9">
        <v>0</v>
      </c>
      <c r="T93" s="9">
        <v>0</v>
      </c>
      <c r="U93" s="9">
        <v>0</v>
      </c>
      <c r="V93" s="9">
        <v>2286.7539999999999</v>
      </c>
      <c r="W93" s="9">
        <v>442.34000000000015</v>
      </c>
      <c r="X93" s="10">
        <v>19973.824879223583</v>
      </c>
      <c r="Y93" s="9">
        <v>49934.562198058949</v>
      </c>
      <c r="Z93" s="9">
        <v>49934.562198058949</v>
      </c>
      <c r="AA93" s="9">
        <v>49934.562198058949</v>
      </c>
      <c r="AB93" s="9">
        <v>49934.562198058949</v>
      </c>
      <c r="AC93" s="9">
        <v>24967.281099029475</v>
      </c>
      <c r="AD93" s="9">
        <v>49934.562198058949</v>
      </c>
      <c r="AE93" s="9">
        <v>49934.562198058949</v>
      </c>
      <c r="AF93" s="9">
        <v>49934.562198058949</v>
      </c>
      <c r="AG93" s="9">
        <v>99869.124396117899</v>
      </c>
      <c r="AH93" s="9">
        <v>124836.40549514737</v>
      </c>
      <c r="AI93" s="9">
        <v>124836.40549514737</v>
      </c>
      <c r="AJ93" s="9">
        <v>124836.40549514737</v>
      </c>
      <c r="AK93" s="9">
        <v>99869.124396117899</v>
      </c>
      <c r="AL93" s="9">
        <v>99869.124396117899</v>
      </c>
      <c r="AM93" s="9">
        <v>49934.562198058949</v>
      </c>
      <c r="AN93" s="9">
        <v>24967.281099029475</v>
      </c>
      <c r="AO93" s="9">
        <v>24967.281099029475</v>
      </c>
      <c r="AP93" s="9">
        <v>24967.281099029475</v>
      </c>
      <c r="AQ93" s="9">
        <v>49934.562198058949</v>
      </c>
      <c r="AR93" s="9">
        <v>74901.843297088431</v>
      </c>
      <c r="AS93" s="9">
        <v>124836.40549514737</v>
      </c>
      <c r="AT93" s="9">
        <v>124836.40549514737</v>
      </c>
      <c r="AU93" s="9">
        <v>124836.40549514737</v>
      </c>
      <c r="AV93" s="9">
        <v>124836.40549514737</v>
      </c>
      <c r="AW93" s="9">
        <v>124836.40549514737</v>
      </c>
      <c r="AX93" s="9">
        <v>99869.124396117899</v>
      </c>
      <c r="AY93" s="9">
        <v>40205.312099389143</v>
      </c>
      <c r="AZ93" s="9">
        <v>0</v>
      </c>
      <c r="BA93" s="9">
        <v>0</v>
      </c>
      <c r="BB93" s="9">
        <v>0</v>
      </c>
      <c r="BC93" s="9">
        <v>0</v>
      </c>
      <c r="BD93" s="9">
        <v>0</v>
      </c>
      <c r="BE93" s="9">
        <v>0</v>
      </c>
      <c r="BF93" s="9">
        <v>0</v>
      </c>
      <c r="BG93" s="9">
        <v>0</v>
      </c>
      <c r="BH93" s="9">
        <v>0</v>
      </c>
      <c r="BI93" s="9">
        <v>0</v>
      </c>
      <c r="BJ93" s="9">
        <v>0</v>
      </c>
      <c r="BK93" s="9">
        <v>0</v>
      </c>
      <c r="BL93" s="9">
        <v>0</v>
      </c>
      <c r="BM93" s="9">
        <v>0</v>
      </c>
      <c r="BN93" s="9">
        <v>0</v>
      </c>
      <c r="BO93" s="9">
        <v>0</v>
      </c>
      <c r="BP93" s="9">
        <v>0</v>
      </c>
      <c r="BQ93" s="9">
        <v>0</v>
      </c>
      <c r="BR93" s="9">
        <v>0</v>
      </c>
      <c r="BS93" s="9">
        <v>0</v>
      </c>
      <c r="BT93" s="9">
        <v>0</v>
      </c>
      <c r="BU93" s="9">
        <v>0</v>
      </c>
      <c r="BV93" s="9">
        <v>0</v>
      </c>
      <c r="BW93" s="9">
        <v>0</v>
      </c>
      <c r="BX93" s="9">
        <v>0</v>
      </c>
    </row>
    <row r="94" spans="1:76">
      <c r="A94" s="3" t="s">
        <v>66</v>
      </c>
      <c r="B94" t="s">
        <v>2617</v>
      </c>
      <c r="C94" t="str">
        <f>+_xlfn.XLOOKUP(B94,'L4'!B:B,'L4'!C:C)</f>
        <v>DOLGU - İSTIFSIZ TAŞ - TABAN İYILEŞTIRME</v>
      </c>
      <c r="D94" t="s">
        <v>4967</v>
      </c>
      <c r="E94" t="str">
        <f>+_xlfn.XLOOKUP(D94,'M2'!H:H,'M2'!I:I)</f>
        <v>PROJE GENELİ</v>
      </c>
      <c r="F94" s="91" t="s">
        <v>4973</v>
      </c>
      <c r="G94" t="s">
        <v>4983</v>
      </c>
      <c r="H94" s="3" t="s">
        <v>4984</v>
      </c>
      <c r="I94" s="3" t="s">
        <v>129</v>
      </c>
      <c r="J94" s="124">
        <v>2840413.0940000005</v>
      </c>
      <c r="K94" s="124">
        <f t="shared" si="97"/>
        <v>2840413.0940000005</v>
      </c>
      <c r="L94" s="6">
        <f t="shared" si="96"/>
        <v>0</v>
      </c>
      <c r="M94" s="124">
        <f t="shared" si="112"/>
        <v>2840413.0940000005</v>
      </c>
      <c r="N94" s="9">
        <v>0</v>
      </c>
      <c r="O94" s="9">
        <v>0</v>
      </c>
      <c r="P94" s="9">
        <v>0</v>
      </c>
      <c r="Q94" s="9">
        <v>0</v>
      </c>
      <c r="R94" s="9">
        <v>0</v>
      </c>
      <c r="S94" s="9">
        <v>0</v>
      </c>
      <c r="T94" s="9">
        <v>0</v>
      </c>
      <c r="U94" s="9">
        <v>0</v>
      </c>
      <c r="V94" s="9">
        <v>0</v>
      </c>
      <c r="W94" s="9">
        <v>0</v>
      </c>
      <c r="X94" s="10">
        <v>20019.234657558769</v>
      </c>
      <c r="Y94" s="9">
        <v>50048.086643896924</v>
      </c>
      <c r="Z94" s="9">
        <v>50048.086643896924</v>
      </c>
      <c r="AA94" s="9">
        <v>50048.086643896924</v>
      </c>
      <c r="AB94" s="9">
        <v>50048.086643896924</v>
      </c>
      <c r="AC94" s="9">
        <v>50048.086643896924</v>
      </c>
      <c r="AD94" s="9">
        <v>75072.129965845394</v>
      </c>
      <c r="AE94" s="9">
        <v>75072.129965845394</v>
      </c>
      <c r="AF94" s="9">
        <v>125120.21660974232</v>
      </c>
      <c r="AG94" s="9">
        <v>125120.21660974232</v>
      </c>
      <c r="AH94" s="9">
        <v>150144.25993169079</v>
      </c>
      <c r="AI94" s="9">
        <v>150144.25993169079</v>
      </c>
      <c r="AJ94" s="9">
        <v>150144.25993169079</v>
      </c>
      <c r="AK94" s="9">
        <v>125120.21660974232</v>
      </c>
      <c r="AL94" s="9">
        <v>125120.21660974232</v>
      </c>
      <c r="AM94" s="9">
        <v>75072.129965845394</v>
      </c>
      <c r="AN94" s="9">
        <v>50048.086643896924</v>
      </c>
      <c r="AO94" s="9">
        <v>60057.703972676311</v>
      </c>
      <c r="AP94" s="9">
        <v>60057.703972676311</v>
      </c>
      <c r="AQ94" s="9">
        <v>85081.747294624773</v>
      </c>
      <c r="AR94" s="9">
        <v>110105.79061657323</v>
      </c>
      <c r="AS94" s="9">
        <v>160153.87726047015</v>
      </c>
      <c r="AT94" s="9">
        <v>160153.87726047015</v>
      </c>
      <c r="AU94" s="9">
        <v>160153.87726047015</v>
      </c>
      <c r="AV94" s="9">
        <v>160153.87726047015</v>
      </c>
      <c r="AW94" s="9">
        <v>160153.87726047015</v>
      </c>
      <c r="AX94" s="9">
        <v>135129.83393852171</v>
      </c>
      <c r="AY94" s="9">
        <v>75330.378092927887</v>
      </c>
      <c r="AZ94" s="9">
        <v>17442.759157130957</v>
      </c>
      <c r="BA94" s="9">
        <v>0</v>
      </c>
      <c r="BB94" s="9">
        <v>0</v>
      </c>
      <c r="BC94" s="9">
        <v>0</v>
      </c>
      <c r="BD94" s="9">
        <v>0</v>
      </c>
      <c r="BE94" s="9">
        <v>0</v>
      </c>
      <c r="BF94" s="9">
        <v>0</v>
      </c>
      <c r="BG94" s="9">
        <v>0</v>
      </c>
      <c r="BH94" s="9">
        <v>0</v>
      </c>
      <c r="BI94" s="9">
        <v>0</v>
      </c>
      <c r="BJ94" s="9">
        <v>0</v>
      </c>
      <c r="BK94" s="9">
        <v>0</v>
      </c>
      <c r="BL94" s="9">
        <v>0</v>
      </c>
      <c r="BM94" s="9">
        <v>0</v>
      </c>
      <c r="BN94" s="9">
        <v>0</v>
      </c>
      <c r="BO94" s="9">
        <v>0</v>
      </c>
      <c r="BP94" s="9">
        <v>0</v>
      </c>
      <c r="BQ94" s="9">
        <v>0</v>
      </c>
      <c r="BR94" s="9">
        <v>0</v>
      </c>
      <c r="BS94" s="9">
        <v>0</v>
      </c>
      <c r="BT94" s="9">
        <v>0</v>
      </c>
      <c r="BU94" s="9">
        <v>0</v>
      </c>
      <c r="BV94" s="9">
        <v>0</v>
      </c>
      <c r="BW94" s="9">
        <v>0</v>
      </c>
      <c r="BX94" s="9">
        <v>0</v>
      </c>
    </row>
    <row r="95" spans="1:76">
      <c r="A95" s="3" t="s">
        <v>66</v>
      </c>
      <c r="B95" t="s">
        <v>2618</v>
      </c>
      <c r="C95" t="str">
        <f>+_xlfn.XLOOKUP(B95,'L4'!B:B,'L4'!C:C)</f>
        <v>DOLGU - ALTTEMEL. YAKLAŞIM</v>
      </c>
      <c r="D95" t="s">
        <v>4967</v>
      </c>
      <c r="E95" t="str">
        <f>+_xlfn.XLOOKUP(D95,'M2'!H:H,'M2'!I:I)</f>
        <v>PROJE GENELİ</v>
      </c>
      <c r="F95" s="91" t="s">
        <v>4973</v>
      </c>
      <c r="G95" t="s">
        <v>4983</v>
      </c>
      <c r="H95" s="3" t="s">
        <v>4984</v>
      </c>
      <c r="I95" s="3" t="s">
        <v>134</v>
      </c>
      <c r="J95" s="124">
        <v>2006730</v>
      </c>
      <c r="K95" s="124">
        <f t="shared" si="97"/>
        <v>2006730</v>
      </c>
      <c r="L95" s="6">
        <f t="shared" si="96"/>
        <v>0</v>
      </c>
      <c r="M95" s="124">
        <f t="shared" si="112"/>
        <v>2006730</v>
      </c>
      <c r="N95" s="9">
        <v>0</v>
      </c>
      <c r="O95" s="9">
        <v>0</v>
      </c>
      <c r="P95" s="9">
        <v>0</v>
      </c>
      <c r="Q95" s="9">
        <v>0</v>
      </c>
      <c r="R95" s="9">
        <v>0</v>
      </c>
      <c r="S95" s="9">
        <v>0</v>
      </c>
      <c r="T95" s="9">
        <v>0</v>
      </c>
      <c r="U95" s="9">
        <v>0</v>
      </c>
      <c r="V95" s="9">
        <v>0</v>
      </c>
      <c r="W95" s="9">
        <v>0</v>
      </c>
      <c r="X95" s="10">
        <v>0</v>
      </c>
      <c r="Y95" s="9">
        <v>75000</v>
      </c>
      <c r="Z95" s="9">
        <v>50000</v>
      </c>
      <c r="AA95" s="9">
        <v>50000</v>
      </c>
      <c r="AB95" s="9">
        <v>50000</v>
      </c>
      <c r="AC95" s="9">
        <v>25000</v>
      </c>
      <c r="AD95" s="9">
        <v>50000</v>
      </c>
      <c r="AE95" s="9">
        <v>50000</v>
      </c>
      <c r="AF95" s="9">
        <v>100000</v>
      </c>
      <c r="AG95" s="9">
        <v>100000</v>
      </c>
      <c r="AH95" s="9">
        <v>125000</v>
      </c>
      <c r="AI95" s="9">
        <v>125000</v>
      </c>
      <c r="AJ95" s="9">
        <v>125000</v>
      </c>
      <c r="AK95" s="9">
        <v>125000</v>
      </c>
      <c r="AL95" s="9">
        <v>100000</v>
      </c>
      <c r="AM95" s="9">
        <v>50000</v>
      </c>
      <c r="AN95" s="9">
        <v>20000</v>
      </c>
      <c r="AO95" s="9">
        <v>20000</v>
      </c>
      <c r="AP95" s="9">
        <v>20000</v>
      </c>
      <c r="AQ95" s="9">
        <v>40000</v>
      </c>
      <c r="AR95" s="9">
        <v>40000</v>
      </c>
      <c r="AS95" s="9">
        <v>100000</v>
      </c>
      <c r="AT95" s="9">
        <v>100000</v>
      </c>
      <c r="AU95" s="9">
        <v>100000</v>
      </c>
      <c r="AV95" s="9">
        <v>100000</v>
      </c>
      <c r="AW95" s="9">
        <v>100000</v>
      </c>
      <c r="AX95" s="9">
        <v>100000</v>
      </c>
      <c r="AY95" s="9">
        <v>66730</v>
      </c>
      <c r="AZ95" s="9">
        <v>0</v>
      </c>
      <c r="BA95" s="9">
        <v>0</v>
      </c>
      <c r="BB95" s="9">
        <v>0</v>
      </c>
      <c r="BC95" s="9">
        <v>0</v>
      </c>
      <c r="BD95" s="9">
        <v>0</v>
      </c>
      <c r="BE95" s="9">
        <v>0</v>
      </c>
      <c r="BF95" s="9">
        <v>0</v>
      </c>
      <c r="BG95" s="9">
        <v>0</v>
      </c>
      <c r="BH95" s="9">
        <v>0</v>
      </c>
      <c r="BI95" s="9">
        <v>0</v>
      </c>
      <c r="BJ95" s="9">
        <v>0</v>
      </c>
      <c r="BK95" s="9">
        <v>0</v>
      </c>
      <c r="BL95" s="9">
        <v>0</v>
      </c>
      <c r="BM95" s="9">
        <v>0</v>
      </c>
      <c r="BN95" s="9">
        <v>0</v>
      </c>
      <c r="BO95" s="9">
        <v>0</v>
      </c>
      <c r="BP95" s="9">
        <v>0</v>
      </c>
      <c r="BQ95" s="9">
        <v>0</v>
      </c>
      <c r="BR95" s="9">
        <v>0</v>
      </c>
      <c r="BS95" s="9">
        <v>0</v>
      </c>
      <c r="BT95" s="9">
        <v>0</v>
      </c>
      <c r="BU95" s="9">
        <v>0</v>
      </c>
      <c r="BV95" s="9">
        <v>0</v>
      </c>
      <c r="BW95" s="9">
        <v>0</v>
      </c>
      <c r="BX95" s="9">
        <v>0</v>
      </c>
    </row>
    <row r="96" spans="1:76">
      <c r="A96" s="3" t="s">
        <v>66</v>
      </c>
      <c r="B96" t="s">
        <v>2619</v>
      </c>
      <c r="C96" t="str">
        <f>+_xlfn.XLOOKUP(B96,'L4'!B:B,'L4'!C:C)</f>
        <v>DOLGU - ÇIMENTOLU. YAKLAŞIM</v>
      </c>
      <c r="D96" t="s">
        <v>4967</v>
      </c>
      <c r="E96" t="str">
        <f>+_xlfn.XLOOKUP(D96,'M2'!H:H,'M2'!I:I)</f>
        <v>PROJE GENELİ</v>
      </c>
      <c r="F96" s="91" t="s">
        <v>4973</v>
      </c>
      <c r="G96" t="s">
        <v>4983</v>
      </c>
      <c r="H96" s="3" t="s">
        <v>4984</v>
      </c>
      <c r="I96" s="3" t="s">
        <v>139</v>
      </c>
      <c r="J96" s="124">
        <v>108520</v>
      </c>
      <c r="K96" s="124">
        <f t="shared" si="97"/>
        <v>108520</v>
      </c>
      <c r="L96" s="6">
        <f t="shared" si="96"/>
        <v>0</v>
      </c>
      <c r="M96" s="124">
        <f t="shared" si="112"/>
        <v>108520</v>
      </c>
      <c r="N96" s="9">
        <v>0</v>
      </c>
      <c r="O96" s="9">
        <v>0</v>
      </c>
      <c r="P96" s="9">
        <v>0</v>
      </c>
      <c r="Q96" s="9">
        <v>0</v>
      </c>
      <c r="R96" s="9">
        <v>0</v>
      </c>
      <c r="S96" s="9">
        <v>0</v>
      </c>
      <c r="T96" s="9">
        <v>0</v>
      </c>
      <c r="U96" s="9">
        <v>0</v>
      </c>
      <c r="V96" s="9">
        <v>0</v>
      </c>
      <c r="W96" s="9">
        <v>0</v>
      </c>
      <c r="X96" s="10">
        <v>0</v>
      </c>
      <c r="Y96" s="9">
        <v>0</v>
      </c>
      <c r="Z96" s="9">
        <v>0</v>
      </c>
      <c r="AA96" s="9">
        <v>0</v>
      </c>
      <c r="AB96" s="9">
        <v>0</v>
      </c>
      <c r="AC96" s="9">
        <v>0</v>
      </c>
      <c r="AD96" s="9">
        <v>0</v>
      </c>
      <c r="AE96" s="9">
        <v>10000</v>
      </c>
      <c r="AF96" s="9">
        <v>10000</v>
      </c>
      <c r="AG96" s="9">
        <v>10000</v>
      </c>
      <c r="AH96" s="9">
        <v>10000</v>
      </c>
      <c r="AI96" s="9">
        <v>10000</v>
      </c>
      <c r="AJ96" s="9">
        <v>10000</v>
      </c>
      <c r="AK96" s="9">
        <v>10000</v>
      </c>
      <c r="AL96" s="9">
        <v>0</v>
      </c>
      <c r="AM96" s="9">
        <v>0</v>
      </c>
      <c r="AN96" s="9">
        <v>0</v>
      </c>
      <c r="AO96" s="9">
        <v>0</v>
      </c>
      <c r="AP96" s="9">
        <v>0</v>
      </c>
      <c r="AQ96" s="9">
        <v>0</v>
      </c>
      <c r="AR96" s="9">
        <v>0</v>
      </c>
      <c r="AS96" s="9">
        <v>0</v>
      </c>
      <c r="AT96" s="9">
        <v>10000</v>
      </c>
      <c r="AU96" s="9">
        <v>10000</v>
      </c>
      <c r="AV96" s="9">
        <v>10000</v>
      </c>
      <c r="AW96" s="9">
        <v>8520</v>
      </c>
      <c r="AX96" s="9">
        <v>0</v>
      </c>
      <c r="AY96" s="9">
        <v>0</v>
      </c>
      <c r="AZ96" s="9">
        <v>0</v>
      </c>
      <c r="BA96" s="9">
        <v>0</v>
      </c>
      <c r="BB96" s="9">
        <v>0</v>
      </c>
      <c r="BC96" s="9">
        <v>0</v>
      </c>
      <c r="BD96" s="9">
        <v>0</v>
      </c>
      <c r="BE96" s="9">
        <v>0</v>
      </c>
      <c r="BF96" s="9">
        <v>0</v>
      </c>
      <c r="BG96" s="9">
        <v>0</v>
      </c>
      <c r="BH96" s="9">
        <v>0</v>
      </c>
      <c r="BI96" s="9">
        <v>0</v>
      </c>
      <c r="BJ96" s="9">
        <v>0</v>
      </c>
      <c r="BK96" s="9">
        <v>0</v>
      </c>
      <c r="BL96" s="9">
        <v>0</v>
      </c>
      <c r="BM96" s="9">
        <v>0</v>
      </c>
      <c r="BN96" s="9">
        <v>0</v>
      </c>
      <c r="BO96" s="9">
        <v>0</v>
      </c>
      <c r="BP96" s="9">
        <v>0</v>
      </c>
      <c r="BQ96" s="9">
        <v>0</v>
      </c>
      <c r="BR96" s="9">
        <v>0</v>
      </c>
      <c r="BS96" s="9">
        <v>0</v>
      </c>
      <c r="BT96" s="9">
        <v>0</v>
      </c>
      <c r="BU96" s="9">
        <v>0</v>
      </c>
      <c r="BV96" s="9">
        <v>0</v>
      </c>
      <c r="BW96" s="9">
        <v>0</v>
      </c>
      <c r="BX96" s="9">
        <v>0</v>
      </c>
    </row>
    <row r="97" spans="1:76">
      <c r="A97" s="3" t="s">
        <v>66</v>
      </c>
      <c r="B97" t="s">
        <v>5</v>
      </c>
      <c r="C97" t="str">
        <f>+_xlfn.XLOOKUP(B97,'L4'!B:B,'L4'!C:C)</f>
        <v>KAZI - SANAT YAPISI ( KÖPRÜ HARIÇ )</v>
      </c>
      <c r="D97" t="s">
        <v>4967</v>
      </c>
      <c r="E97" t="str">
        <f>+_xlfn.XLOOKUP(D97,'M2'!H:H,'M2'!I:I)</f>
        <v>PROJE GENELİ</v>
      </c>
      <c r="F97" s="91" t="s">
        <v>4973</v>
      </c>
      <c r="G97" t="s">
        <v>4983</v>
      </c>
      <c r="H97" s="3" t="s">
        <v>4984</v>
      </c>
      <c r="I97" s="3" t="s">
        <v>147</v>
      </c>
      <c r="J97" s="124">
        <v>177341.09500000003</v>
      </c>
      <c r="K97" s="124">
        <f t="shared" si="97"/>
        <v>168635.54435300003</v>
      </c>
      <c r="L97" s="6">
        <f t="shared" si="96"/>
        <v>0</v>
      </c>
      <c r="M97" s="124">
        <f t="shared" si="112"/>
        <v>177341.09500000003</v>
      </c>
      <c r="N97" s="9">
        <v>0</v>
      </c>
      <c r="O97" s="9">
        <v>0</v>
      </c>
      <c r="P97" s="9">
        <v>0</v>
      </c>
      <c r="Q97" s="9">
        <v>0</v>
      </c>
      <c r="R97" s="9">
        <v>1650.0146062938097</v>
      </c>
      <c r="S97" s="9">
        <v>2989.6170462416071</v>
      </c>
      <c r="T97" s="9">
        <v>2845.3659434645833</v>
      </c>
      <c r="U97" s="9">
        <v>0</v>
      </c>
      <c r="V97" s="9">
        <v>1220.5530509999999</v>
      </c>
      <c r="W97" s="9">
        <v>0</v>
      </c>
      <c r="X97" s="10">
        <v>1683.4927139891552</v>
      </c>
      <c r="Y97" s="9">
        <v>3956.9894999869907</v>
      </c>
      <c r="Z97" s="9">
        <v>2701.0766700305894</v>
      </c>
      <c r="AA97" s="9">
        <v>4208.8351532679217</v>
      </c>
      <c r="AB97" s="9">
        <v>2952.9223233115208</v>
      </c>
      <c r="AC97" s="9">
        <v>3774.7804848550973</v>
      </c>
      <c r="AD97" s="9">
        <v>8134.5314361199062</v>
      </c>
      <c r="AE97" s="9">
        <v>7185.0414440541754</v>
      </c>
      <c r="AF97" s="9">
        <v>6167.4574880127429</v>
      </c>
      <c r="AG97" s="9">
        <v>6933.1957907732449</v>
      </c>
      <c r="AH97" s="9">
        <v>6933.1957907732449</v>
      </c>
      <c r="AI97" s="9">
        <v>5915.6118347318106</v>
      </c>
      <c r="AJ97" s="9">
        <v>5915.6118347318106</v>
      </c>
      <c r="AK97" s="9">
        <v>5582.3687497835799</v>
      </c>
      <c r="AL97" s="9">
        <v>5582.3687497835799</v>
      </c>
      <c r="AM97" s="9">
        <v>5273.9375225059857</v>
      </c>
      <c r="AN97" s="9">
        <v>4018.0246925495831</v>
      </c>
      <c r="AO97" s="9">
        <v>4181.9805165270127</v>
      </c>
      <c r="AP97" s="9">
        <v>7711.3901324812505</v>
      </c>
      <c r="AQ97" s="9">
        <v>8728.9740885226838</v>
      </c>
      <c r="AR97" s="9">
        <v>8728.9740885226838</v>
      </c>
      <c r="AS97" s="9">
        <v>8728.9740885226838</v>
      </c>
      <c r="AT97" s="9">
        <v>7711.3901324812505</v>
      </c>
      <c r="AU97" s="9">
        <v>6693.8061764398171</v>
      </c>
      <c r="AV97" s="9">
        <v>6693.8061764398171</v>
      </c>
      <c r="AW97" s="9">
        <v>5023.6513198256062</v>
      </c>
      <c r="AX97" s="9">
        <v>6244.7520670753274</v>
      </c>
      <c r="AY97" s="9">
        <v>6244.7520670753274</v>
      </c>
      <c r="AZ97" s="9">
        <v>5023.6513198256062</v>
      </c>
      <c r="BA97" s="9">
        <v>0</v>
      </c>
      <c r="BB97" s="9">
        <v>0</v>
      </c>
      <c r="BC97" s="9">
        <v>0</v>
      </c>
      <c r="BD97" s="9">
        <v>0</v>
      </c>
      <c r="BE97" s="9">
        <v>0</v>
      </c>
      <c r="BF97" s="9">
        <v>0</v>
      </c>
      <c r="BG97" s="9">
        <v>0</v>
      </c>
      <c r="BH97" s="9">
        <v>0</v>
      </c>
      <c r="BI97" s="9">
        <v>0</v>
      </c>
      <c r="BJ97" s="9">
        <v>0</v>
      </c>
      <c r="BK97" s="9">
        <v>0</v>
      </c>
      <c r="BL97" s="9">
        <v>0</v>
      </c>
      <c r="BM97" s="9">
        <v>0</v>
      </c>
      <c r="BN97" s="9">
        <v>0</v>
      </c>
      <c r="BO97" s="9">
        <v>0</v>
      </c>
      <c r="BP97" s="9">
        <v>0</v>
      </c>
      <c r="BQ97" s="9">
        <v>0</v>
      </c>
      <c r="BR97" s="9">
        <v>0</v>
      </c>
      <c r="BS97" s="9">
        <v>0</v>
      </c>
      <c r="BT97" s="9">
        <v>0</v>
      </c>
      <c r="BU97" s="9">
        <v>0</v>
      </c>
      <c r="BV97" s="9">
        <v>0</v>
      </c>
      <c r="BW97" s="9">
        <v>0</v>
      </c>
      <c r="BX97" s="9">
        <v>0</v>
      </c>
    </row>
    <row r="98" spans="1:76">
      <c r="A98" s="3" t="s">
        <v>66</v>
      </c>
      <c r="B98" t="s">
        <v>6</v>
      </c>
      <c r="C98" t="str">
        <f>+_xlfn.XLOOKUP(B98,'L4'!B:B,'L4'!C:C)</f>
        <v>BETON - DEMIRSIZ - TEMEL - KÖPRÜ HARICI</v>
      </c>
      <c r="D98" t="s">
        <v>4967</v>
      </c>
      <c r="E98" t="str">
        <f>+_xlfn.XLOOKUP(D98,'M2'!H:H,'M2'!I:I)</f>
        <v>PROJE GENELİ</v>
      </c>
      <c r="F98" s="91" t="s">
        <v>4973</v>
      </c>
      <c r="G98" t="s">
        <v>4983</v>
      </c>
      <c r="H98" s="3" t="s">
        <v>4984</v>
      </c>
      <c r="I98" s="3" t="s">
        <v>151</v>
      </c>
      <c r="J98" s="124">
        <v>12110.234027685949</v>
      </c>
      <c r="K98" s="124">
        <f t="shared" si="97"/>
        <v>11756.946027685948</v>
      </c>
      <c r="L98" s="6">
        <f t="shared" si="96"/>
        <v>0</v>
      </c>
      <c r="M98" s="124">
        <f t="shared" si="112"/>
        <v>12110.234027685949</v>
      </c>
      <c r="N98" s="9">
        <v>0</v>
      </c>
      <c r="O98" s="9">
        <v>0</v>
      </c>
      <c r="P98" s="9">
        <v>0</v>
      </c>
      <c r="Q98" s="9">
        <v>0</v>
      </c>
      <c r="R98" s="9">
        <v>80.261431251402939</v>
      </c>
      <c r="S98" s="9">
        <v>94.483580473484935</v>
      </c>
      <c r="T98" s="9">
        <v>107.49298827511211</v>
      </c>
      <c r="U98" s="9">
        <v>0.8800000000000523</v>
      </c>
      <c r="V98" s="9">
        <v>68.738999999999976</v>
      </c>
      <c r="W98" s="9">
        <v>1.4309999999999832</v>
      </c>
      <c r="X98" s="10">
        <v>132.2957407903217</v>
      </c>
      <c r="Y98" s="9">
        <v>161.89809069817267</v>
      </c>
      <c r="Z98" s="9">
        <v>322.08829242306228</v>
      </c>
      <c r="AA98" s="9">
        <v>365.84420302702279</v>
      </c>
      <c r="AB98" s="9">
        <v>341.87935358344839</v>
      </c>
      <c r="AC98" s="9">
        <v>480.97390124909214</v>
      </c>
      <c r="AD98" s="9">
        <v>702.17058399093207</v>
      </c>
      <c r="AE98" s="9">
        <v>443.40072705019844</v>
      </c>
      <c r="AF98" s="9">
        <v>437.76322658592187</v>
      </c>
      <c r="AG98" s="9">
        <v>599.55988072441062</v>
      </c>
      <c r="AH98" s="9">
        <v>781.68378730759127</v>
      </c>
      <c r="AI98" s="9">
        <v>776.04628684331453</v>
      </c>
      <c r="AJ98" s="9">
        <v>776.04628684331453</v>
      </c>
      <c r="AK98" s="9">
        <v>680.46509957032504</v>
      </c>
      <c r="AL98" s="9">
        <v>503.35731753286757</v>
      </c>
      <c r="AM98" s="9">
        <v>372.62334794238689</v>
      </c>
      <c r="AN98" s="9">
        <v>333.22426912735625</v>
      </c>
      <c r="AO98" s="9">
        <v>346.01793978815016</v>
      </c>
      <c r="AP98" s="9">
        <v>399.5851391395758</v>
      </c>
      <c r="AQ98" s="9">
        <v>405.22263960385249</v>
      </c>
      <c r="AR98" s="9">
        <v>405.22263960385249</v>
      </c>
      <c r="AS98" s="9">
        <v>405.22263960385249</v>
      </c>
      <c r="AT98" s="9">
        <v>399.5851391395758</v>
      </c>
      <c r="AU98" s="9">
        <v>393.94763867529929</v>
      </c>
      <c r="AV98" s="9">
        <v>393.94763867529929</v>
      </c>
      <c r="AW98" s="9">
        <v>95.85939777429796</v>
      </c>
      <c r="AX98" s="9">
        <v>102.57771130907801</v>
      </c>
      <c r="AY98" s="9">
        <v>102.57771130907801</v>
      </c>
      <c r="AZ98" s="9">
        <v>95.85939777429796</v>
      </c>
      <c r="BA98" s="9">
        <v>0</v>
      </c>
      <c r="BB98" s="9">
        <v>0</v>
      </c>
      <c r="BC98" s="9">
        <v>0</v>
      </c>
      <c r="BD98" s="9">
        <v>0</v>
      </c>
      <c r="BE98" s="9">
        <v>0</v>
      </c>
      <c r="BF98" s="9">
        <v>0</v>
      </c>
      <c r="BG98" s="9">
        <v>0</v>
      </c>
      <c r="BH98" s="9">
        <v>0</v>
      </c>
      <c r="BI98" s="9">
        <v>0</v>
      </c>
      <c r="BJ98" s="9">
        <v>0</v>
      </c>
      <c r="BK98" s="9">
        <v>0</v>
      </c>
      <c r="BL98" s="9">
        <v>0</v>
      </c>
      <c r="BM98" s="9">
        <v>0</v>
      </c>
      <c r="BN98" s="9">
        <v>0</v>
      </c>
      <c r="BO98" s="9">
        <v>0</v>
      </c>
      <c r="BP98" s="9">
        <v>0</v>
      </c>
      <c r="BQ98" s="9">
        <v>0</v>
      </c>
      <c r="BR98" s="9">
        <v>0</v>
      </c>
      <c r="BS98" s="9">
        <v>0</v>
      </c>
      <c r="BT98" s="9">
        <v>0</v>
      </c>
      <c r="BU98" s="9">
        <v>0</v>
      </c>
      <c r="BV98" s="9">
        <v>0</v>
      </c>
      <c r="BW98" s="9">
        <v>0</v>
      </c>
      <c r="BX98" s="9">
        <v>0</v>
      </c>
    </row>
    <row r="99" spans="1:76">
      <c r="A99" s="3" t="s">
        <v>66</v>
      </c>
      <c r="B99" t="s">
        <v>7</v>
      </c>
      <c r="C99" t="str">
        <f>+_xlfn.XLOOKUP(B99,'L4'!B:B,'L4'!C:C)</f>
        <v>BETON - DRENAJ HENDEĞI. TÜNEL DOLGU</v>
      </c>
      <c r="D99" t="s">
        <v>4967</v>
      </c>
      <c r="E99" t="str">
        <f>+_xlfn.XLOOKUP(D99,'M2'!H:H,'M2'!I:I)</f>
        <v>PROJE GENELİ</v>
      </c>
      <c r="F99" s="91" t="s">
        <v>4973</v>
      </c>
      <c r="G99" t="s">
        <v>4983</v>
      </c>
      <c r="H99" s="3" t="s">
        <v>4984</v>
      </c>
      <c r="I99" s="3" t="s">
        <v>155</v>
      </c>
      <c r="J99" s="124">
        <v>948.20359600000006</v>
      </c>
      <c r="K99" s="124">
        <f t="shared" si="97"/>
        <v>0</v>
      </c>
      <c r="L99" s="6">
        <f t="shared" si="96"/>
        <v>0</v>
      </c>
      <c r="M99" s="124">
        <f t="shared" si="112"/>
        <v>948.20359600000006</v>
      </c>
      <c r="N99" s="9">
        <v>0</v>
      </c>
      <c r="O99" s="9">
        <v>0</v>
      </c>
      <c r="P99" s="9">
        <v>0</v>
      </c>
      <c r="Q99" s="9">
        <v>0</v>
      </c>
      <c r="R99" s="9">
        <v>106.72327500712782</v>
      </c>
      <c r="S99" s="9">
        <v>209.50480314905616</v>
      </c>
      <c r="T99" s="9">
        <v>274.69551784381611</v>
      </c>
      <c r="U99" s="9">
        <v>0</v>
      </c>
      <c r="V99" s="9">
        <v>173.42100000000005</v>
      </c>
      <c r="W99" s="9">
        <v>183.85899999999992</v>
      </c>
      <c r="X99" s="10">
        <v>0</v>
      </c>
      <c r="Y99" s="9">
        <v>0</v>
      </c>
      <c r="Z99" s="9">
        <v>0</v>
      </c>
      <c r="AA99" s="9">
        <v>0</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c r="AU99" s="9">
        <v>0</v>
      </c>
      <c r="AV99" s="9">
        <v>0</v>
      </c>
      <c r="AW99" s="9">
        <v>0</v>
      </c>
      <c r="AX99" s="9">
        <v>0</v>
      </c>
      <c r="AY99" s="9">
        <v>0</v>
      </c>
      <c r="AZ99" s="9">
        <v>0</v>
      </c>
      <c r="BA99" s="9">
        <v>0</v>
      </c>
      <c r="BB99" s="9">
        <v>0</v>
      </c>
      <c r="BC99" s="9">
        <v>0</v>
      </c>
      <c r="BD99" s="9">
        <v>0</v>
      </c>
      <c r="BE99" s="9">
        <v>0</v>
      </c>
      <c r="BF99" s="9">
        <v>0</v>
      </c>
      <c r="BG99" s="9">
        <v>0</v>
      </c>
      <c r="BH99" s="9">
        <v>0</v>
      </c>
      <c r="BI99" s="9">
        <v>0</v>
      </c>
      <c r="BJ99" s="9">
        <v>0</v>
      </c>
      <c r="BK99" s="9">
        <v>0</v>
      </c>
      <c r="BL99" s="9">
        <v>0</v>
      </c>
      <c r="BM99" s="9">
        <v>0</v>
      </c>
      <c r="BN99" s="9">
        <v>0</v>
      </c>
      <c r="BO99" s="9">
        <v>0</v>
      </c>
      <c r="BP99" s="9">
        <v>0</v>
      </c>
      <c r="BQ99" s="9">
        <v>0</v>
      </c>
      <c r="BR99" s="9">
        <v>0</v>
      </c>
      <c r="BS99" s="9">
        <v>0</v>
      </c>
      <c r="BT99" s="9">
        <v>0</v>
      </c>
      <c r="BU99" s="9">
        <v>0</v>
      </c>
      <c r="BV99" s="9">
        <v>0</v>
      </c>
      <c r="BW99" s="9">
        <v>0</v>
      </c>
      <c r="BX99" s="9">
        <v>0</v>
      </c>
    </row>
    <row r="100" spans="1:76">
      <c r="A100" s="3" t="s">
        <v>66</v>
      </c>
      <c r="B100" t="s">
        <v>5193</v>
      </c>
      <c r="C100" t="str">
        <f>+_xlfn.XLOOKUP(B100,'L4'!B:B,'L4'!C:C)</f>
        <v>BETON - DEMİRLİ - BETON DUVAR ALTGEÇİT, BACA, AÇ KAPA</v>
      </c>
      <c r="D100" t="s">
        <v>4967</v>
      </c>
      <c r="E100" t="str">
        <f>+_xlfn.XLOOKUP(D100,'M2'!H:H,'M2'!I:I)</f>
        <v>PROJE GENELİ</v>
      </c>
      <c r="F100" s="91" t="s">
        <v>4973</v>
      </c>
      <c r="G100" t="s">
        <v>4983</v>
      </c>
      <c r="H100" s="3" t="s">
        <v>4984</v>
      </c>
      <c r="I100" s="3" t="s">
        <v>159</v>
      </c>
      <c r="J100" s="124">
        <v>286499.1274745902</v>
      </c>
      <c r="K100" s="124">
        <f t="shared" si="97"/>
        <v>285920.7204745902</v>
      </c>
      <c r="L100" s="6">
        <f t="shared" si="96"/>
        <v>0</v>
      </c>
      <c r="M100" s="124">
        <f t="shared" si="112"/>
        <v>286499.1274745902</v>
      </c>
      <c r="N100" s="9">
        <v>0</v>
      </c>
      <c r="O100" s="9">
        <v>0</v>
      </c>
      <c r="P100" s="9">
        <v>0</v>
      </c>
      <c r="Q100" s="9">
        <v>0</v>
      </c>
      <c r="R100" s="9">
        <v>5.538487500096811</v>
      </c>
      <c r="S100" s="9">
        <v>6.5198953128267361</v>
      </c>
      <c r="T100" s="9">
        <v>7.4176171870764511</v>
      </c>
      <c r="U100" s="9">
        <v>339.62300000000005</v>
      </c>
      <c r="V100" s="9">
        <v>4.4250000000000114</v>
      </c>
      <c r="W100" s="9">
        <v>214.88299999999998</v>
      </c>
      <c r="X100" s="10">
        <v>2876.5975654963891</v>
      </c>
      <c r="Y100" s="9">
        <v>4711.8774957198075</v>
      </c>
      <c r="Z100" s="9">
        <v>8445.3032606813249</v>
      </c>
      <c r="AA100" s="9">
        <v>8927.5832290181843</v>
      </c>
      <c r="AB100" s="9">
        <v>7682.7189606565889</v>
      </c>
      <c r="AC100" s="9">
        <v>10519.868363240503</v>
      </c>
      <c r="AD100" s="9">
        <v>16712.988773638914</v>
      </c>
      <c r="AE100" s="9">
        <v>11627.85961871719</v>
      </c>
      <c r="AF100" s="9">
        <v>10009.836747384632</v>
      </c>
      <c r="AG100" s="9">
        <v>14109.893768793472</v>
      </c>
      <c r="AH100" s="9">
        <v>19044.609607572773</v>
      </c>
      <c r="AI100" s="9">
        <v>17426.586736240206</v>
      </c>
      <c r="AJ100" s="9">
        <v>17426.586736240206</v>
      </c>
      <c r="AK100" s="9">
        <v>15270.029527624811</v>
      </c>
      <c r="AL100" s="9">
        <v>11470.531941072628</v>
      </c>
      <c r="AM100" s="9">
        <v>8861.2975295674569</v>
      </c>
      <c r="AN100" s="9">
        <v>7799.1259651523687</v>
      </c>
      <c r="AO100" s="9">
        <v>8100.4635548971955</v>
      </c>
      <c r="AP100" s="9">
        <v>10153.000544011476</v>
      </c>
      <c r="AQ100" s="9">
        <v>10743.416205873302</v>
      </c>
      <c r="AR100" s="9">
        <v>10743.416205873302</v>
      </c>
      <c r="AS100" s="9">
        <v>10743.416205873302</v>
      </c>
      <c r="AT100" s="9">
        <v>10153.000544011476</v>
      </c>
      <c r="AU100" s="9">
        <v>9562.5848821496529</v>
      </c>
      <c r="AV100" s="9">
        <v>9562.5848821496529</v>
      </c>
      <c r="AW100" s="9">
        <v>2924.2426545049084</v>
      </c>
      <c r="AX100" s="9">
        <v>3693.5281569618032</v>
      </c>
      <c r="AY100" s="9">
        <v>3693.5281569618032</v>
      </c>
      <c r="AZ100" s="9">
        <v>2924.2426545049084</v>
      </c>
      <c r="BA100" s="9">
        <v>0</v>
      </c>
      <c r="BB100" s="9">
        <v>0</v>
      </c>
      <c r="BC100" s="9">
        <v>0</v>
      </c>
      <c r="BD100" s="9">
        <v>0</v>
      </c>
      <c r="BE100" s="9">
        <v>0</v>
      </c>
      <c r="BF100" s="9">
        <v>0</v>
      </c>
      <c r="BG100" s="9">
        <v>0</v>
      </c>
      <c r="BH100" s="9">
        <v>0</v>
      </c>
      <c r="BI100" s="9">
        <v>0</v>
      </c>
      <c r="BJ100" s="9">
        <v>0</v>
      </c>
      <c r="BK100" s="9">
        <v>0</v>
      </c>
      <c r="BL100" s="9">
        <v>0</v>
      </c>
      <c r="BM100" s="9">
        <v>0</v>
      </c>
      <c r="BN100" s="9">
        <v>0</v>
      </c>
      <c r="BO100" s="9">
        <v>0</v>
      </c>
      <c r="BP100" s="9">
        <v>0</v>
      </c>
      <c r="BQ100" s="9">
        <v>0</v>
      </c>
      <c r="BR100" s="9">
        <v>0</v>
      </c>
      <c r="BS100" s="9">
        <v>0</v>
      </c>
      <c r="BT100" s="9">
        <v>0</v>
      </c>
      <c r="BU100" s="9">
        <v>0</v>
      </c>
      <c r="BV100" s="9">
        <v>0</v>
      </c>
      <c r="BW100" s="9">
        <v>0</v>
      </c>
      <c r="BX100" s="9">
        <v>0</v>
      </c>
    </row>
    <row r="101" spans="1:76">
      <c r="A101" s="3" t="s">
        <v>66</v>
      </c>
      <c r="B101" t="s">
        <v>8</v>
      </c>
      <c r="C101" t="str">
        <f>+_xlfn.XLOOKUP(B101,'L4'!B:B,'L4'!C:C)</f>
        <v>NERVÜRLÜ ÇELIK ZATI BEDELI</v>
      </c>
      <c r="D101" t="s">
        <v>4967</v>
      </c>
      <c r="E101" t="str">
        <f>+_xlfn.XLOOKUP(D101,'M2'!H:H,'M2'!I:I)</f>
        <v>PROJE GENELİ</v>
      </c>
      <c r="F101" s="91" t="s">
        <v>4973</v>
      </c>
      <c r="G101" t="s">
        <v>4983</v>
      </c>
      <c r="H101" s="3" t="s">
        <v>4984</v>
      </c>
      <c r="I101" s="3" t="s">
        <v>163</v>
      </c>
      <c r="J101" s="124">
        <v>72686.437368401632</v>
      </c>
      <c r="K101" s="124">
        <f t="shared" si="97"/>
        <v>72592.83597036307</v>
      </c>
      <c r="L101" s="6">
        <f t="shared" si="96"/>
        <v>0</v>
      </c>
      <c r="M101" s="124">
        <f t="shared" si="112"/>
        <v>72686.437368401632</v>
      </c>
      <c r="N101" s="9">
        <v>0</v>
      </c>
      <c r="O101" s="9">
        <v>0</v>
      </c>
      <c r="P101" s="9">
        <v>0</v>
      </c>
      <c r="Q101" s="9">
        <v>0</v>
      </c>
      <c r="R101" s="9">
        <v>16.636921875353941</v>
      </c>
      <c r="S101" s="9">
        <v>27.446986329319561</v>
      </c>
      <c r="U101" s="9">
        <v>5.0731448246780388</v>
      </c>
      <c r="W101" s="9">
        <v>44.444345009204476</v>
      </c>
      <c r="X101" s="10">
        <v>502.31748197166542</v>
      </c>
      <c r="Y101" s="9">
        <v>1059.3728535804569</v>
      </c>
      <c r="Z101" s="9">
        <v>2605.6185977665205</v>
      </c>
      <c r="AA101" s="9">
        <v>2651.8192062719691</v>
      </c>
      <c r="AB101" s="9">
        <v>2563.6203399854389</v>
      </c>
      <c r="AC101" s="9">
        <v>3012.2733113971631</v>
      </c>
      <c r="AD101" s="9">
        <v>3637.301242154957</v>
      </c>
      <c r="AE101" s="9">
        <v>2757.3763016358348</v>
      </c>
      <c r="AF101" s="9">
        <v>3237.5158994595172</v>
      </c>
      <c r="AG101" s="9">
        <v>3718.6471144141738</v>
      </c>
      <c r="AH101" s="9">
        <v>4296.8609960613458</v>
      </c>
      <c r="AI101" s="9">
        <v>4253.1991630594939</v>
      </c>
      <c r="AJ101" s="9">
        <v>3935.5321159862378</v>
      </c>
      <c r="AK101" s="9">
        <v>3039.1575435538862</v>
      </c>
      <c r="AL101" s="9">
        <v>2238.7282897201471</v>
      </c>
      <c r="AM101" s="9">
        <v>1685.6330769263643</v>
      </c>
      <c r="AN101" s="9">
        <v>1540.8709140497645</v>
      </c>
      <c r="AO101" s="9">
        <v>1915.3348551826768</v>
      </c>
      <c r="AP101" s="9">
        <v>2162.4405667937303</v>
      </c>
      <c r="AQ101" s="9">
        <v>2577.8121987200252</v>
      </c>
      <c r="AR101" s="9">
        <v>3017.8291047717071</v>
      </c>
      <c r="AS101" s="9">
        <v>3017.8291047717071</v>
      </c>
      <c r="AT101" s="9">
        <v>2947.1211257337127</v>
      </c>
      <c r="AU101" s="9">
        <v>2876.4131466957183</v>
      </c>
      <c r="AV101" s="9">
        <v>2436.3962406440373</v>
      </c>
      <c r="AW101" s="9">
        <v>1180.2498064861243</v>
      </c>
      <c r="AX101" s="9">
        <v>1272.6577830412871</v>
      </c>
      <c r="AY101" s="9">
        <v>1272.6577830412871</v>
      </c>
      <c r="AZ101" s="9">
        <v>1180.2498064861243</v>
      </c>
      <c r="BA101" s="9">
        <v>0</v>
      </c>
      <c r="BB101" s="9">
        <v>0</v>
      </c>
      <c r="BC101" s="9">
        <v>0</v>
      </c>
      <c r="BD101" s="9">
        <v>0</v>
      </c>
      <c r="BE101" s="9">
        <v>0</v>
      </c>
      <c r="BF101" s="9">
        <v>0</v>
      </c>
      <c r="BG101" s="9">
        <v>0</v>
      </c>
      <c r="BH101" s="9">
        <v>0</v>
      </c>
      <c r="BI101" s="9">
        <v>0</v>
      </c>
      <c r="BJ101" s="9">
        <v>0</v>
      </c>
      <c r="BK101" s="9">
        <v>0</v>
      </c>
      <c r="BL101" s="9">
        <v>0</v>
      </c>
      <c r="BM101" s="9">
        <v>0</v>
      </c>
      <c r="BN101" s="9">
        <v>0</v>
      </c>
      <c r="BO101" s="9">
        <v>0</v>
      </c>
      <c r="BP101" s="9">
        <v>0</v>
      </c>
      <c r="BQ101" s="9">
        <v>0</v>
      </c>
      <c r="BR101" s="9">
        <v>0</v>
      </c>
      <c r="BS101" s="9">
        <v>0</v>
      </c>
      <c r="BT101" s="9">
        <v>0</v>
      </c>
      <c r="BU101" s="9">
        <v>0</v>
      </c>
      <c r="BV101" s="9">
        <v>0</v>
      </c>
      <c r="BW101" s="9">
        <v>0</v>
      </c>
      <c r="BX101" s="9">
        <v>0</v>
      </c>
    </row>
    <row r="102" spans="1:76">
      <c r="A102" s="3" t="s">
        <v>66</v>
      </c>
      <c r="B102" t="s">
        <v>2623</v>
      </c>
      <c r="C102" t="str">
        <f>+_xlfn.XLOOKUP(B102,'L4'!B:B,'L4'!C:C)</f>
        <v>MOLOZ TAŞ İNŞAAT - HAZIR BETON HARCIYLA</v>
      </c>
      <c r="D102" t="s">
        <v>4967</v>
      </c>
      <c r="E102" t="str">
        <f>+_xlfn.XLOOKUP(D102,'M2'!H:H,'M2'!I:I)</f>
        <v>PROJE GENELİ</v>
      </c>
      <c r="F102" s="91" t="s">
        <v>4973</v>
      </c>
      <c r="G102" t="s">
        <v>4983</v>
      </c>
      <c r="H102" s="3" t="s">
        <v>4984</v>
      </c>
      <c r="I102" s="3" t="s">
        <v>168</v>
      </c>
      <c r="J102" s="124">
        <v>8100</v>
      </c>
      <c r="K102" s="124">
        <f t="shared" si="97"/>
        <v>8100</v>
      </c>
      <c r="L102" s="6">
        <f t="shared" si="96"/>
        <v>0</v>
      </c>
      <c r="M102" s="124">
        <f t="shared" si="112"/>
        <v>8100</v>
      </c>
      <c r="N102" s="9">
        <v>0</v>
      </c>
      <c r="O102" s="9">
        <v>0</v>
      </c>
      <c r="P102" s="9">
        <v>0</v>
      </c>
      <c r="Q102" s="9">
        <v>0</v>
      </c>
      <c r="R102" s="9">
        <v>0</v>
      </c>
      <c r="S102" s="9">
        <v>0</v>
      </c>
      <c r="T102" s="9">
        <v>0</v>
      </c>
      <c r="U102" s="9">
        <v>0</v>
      </c>
      <c r="V102" s="9">
        <v>0</v>
      </c>
      <c r="W102" s="9">
        <v>0</v>
      </c>
      <c r="X102" s="10">
        <v>0</v>
      </c>
      <c r="Y102" s="9">
        <v>0</v>
      </c>
      <c r="Z102" s="9">
        <v>0</v>
      </c>
      <c r="AA102" s="9">
        <v>0</v>
      </c>
      <c r="AB102" s="9">
        <v>0</v>
      </c>
      <c r="AC102" s="9">
        <v>0</v>
      </c>
      <c r="AD102" s="9">
        <v>0</v>
      </c>
      <c r="AE102" s="9">
        <v>1012.5</v>
      </c>
      <c r="AF102" s="9">
        <v>1012.5</v>
      </c>
      <c r="AG102" s="9">
        <v>1012.5</v>
      </c>
      <c r="AH102" s="9">
        <v>1012.5</v>
      </c>
      <c r="AI102" s="9">
        <v>1012.5</v>
      </c>
      <c r="AJ102" s="9">
        <v>1012.5</v>
      </c>
      <c r="AK102" s="9">
        <v>1012.5</v>
      </c>
      <c r="AL102" s="9">
        <v>1012.5</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9">
        <v>0</v>
      </c>
      <c r="BD102" s="9">
        <v>0</v>
      </c>
      <c r="BE102" s="9">
        <v>0</v>
      </c>
      <c r="BF102" s="9">
        <v>0</v>
      </c>
      <c r="BG102" s="9">
        <v>0</v>
      </c>
      <c r="BH102" s="9">
        <v>0</v>
      </c>
      <c r="BI102" s="9">
        <v>0</v>
      </c>
      <c r="BJ102" s="9">
        <v>0</v>
      </c>
      <c r="BK102" s="9">
        <v>0</v>
      </c>
      <c r="BL102" s="9">
        <v>0</v>
      </c>
      <c r="BM102" s="9">
        <v>0</v>
      </c>
      <c r="BN102" s="9">
        <v>0</v>
      </c>
      <c r="BO102" s="9">
        <v>0</v>
      </c>
      <c r="BP102" s="9">
        <v>0</v>
      </c>
      <c r="BQ102" s="9">
        <v>0</v>
      </c>
      <c r="BR102" s="9">
        <v>0</v>
      </c>
      <c r="BS102" s="9">
        <v>0</v>
      </c>
      <c r="BT102" s="9">
        <v>0</v>
      </c>
      <c r="BU102" s="9">
        <v>0</v>
      </c>
      <c r="BV102" s="9">
        <v>0</v>
      </c>
      <c r="BW102" s="9">
        <v>0</v>
      </c>
      <c r="BX102" s="9">
        <v>0</v>
      </c>
    </row>
    <row r="103" spans="1:76">
      <c r="A103" s="3" t="s">
        <v>66</v>
      </c>
      <c r="B103" t="s">
        <v>9</v>
      </c>
      <c r="C103" t="str">
        <f>+_xlfn.XLOOKUP(B103,'L4'!B:B,'L4'!C:C)</f>
        <v>DOLGU - KIRMATAŞ</v>
      </c>
      <c r="D103" t="s">
        <v>4967</v>
      </c>
      <c r="E103" t="str">
        <f>+_xlfn.XLOOKUP(D103,'M2'!H:H,'M2'!I:I)</f>
        <v>PROJE GENELİ</v>
      </c>
      <c r="F103" s="91" t="s">
        <v>4973</v>
      </c>
      <c r="G103" t="s">
        <v>4983</v>
      </c>
      <c r="H103" s="3" t="s">
        <v>4984</v>
      </c>
      <c r="I103" s="3" t="s">
        <v>172</v>
      </c>
      <c r="J103" s="124">
        <v>3238.2950000000005</v>
      </c>
      <c r="K103" s="124">
        <f t="shared" si="97"/>
        <v>3238.2950000000005</v>
      </c>
      <c r="L103" s="6">
        <f t="shared" si="96"/>
        <v>0</v>
      </c>
      <c r="M103" s="124">
        <f t="shared" si="112"/>
        <v>3238.2950000000005</v>
      </c>
      <c r="N103" s="9">
        <v>0</v>
      </c>
      <c r="O103" s="9">
        <v>0</v>
      </c>
      <c r="P103" s="9">
        <v>0</v>
      </c>
      <c r="Q103" s="9">
        <v>0</v>
      </c>
      <c r="R103" s="9">
        <v>0</v>
      </c>
      <c r="S103" s="9">
        <v>0</v>
      </c>
      <c r="T103" s="9">
        <v>0</v>
      </c>
      <c r="U103" s="9">
        <v>0</v>
      </c>
      <c r="V103" s="9">
        <v>0</v>
      </c>
      <c r="W103" s="9">
        <v>0</v>
      </c>
      <c r="X103" s="10">
        <v>0</v>
      </c>
      <c r="Y103" s="9">
        <v>0</v>
      </c>
      <c r="Z103" s="9">
        <v>110.23163132687678</v>
      </c>
      <c r="AA103" s="9">
        <v>102.7101307848183</v>
      </c>
      <c r="AB103" s="9">
        <v>109.18594637601171</v>
      </c>
      <c r="AC103" s="9">
        <v>105.212607491672</v>
      </c>
      <c r="AD103" s="9">
        <v>202.87246565497281</v>
      </c>
      <c r="AE103" s="9">
        <v>84.000765755589612</v>
      </c>
      <c r="AF103" s="9">
        <v>88.920356616652427</v>
      </c>
      <c r="AG103" s="9">
        <v>203.17969422778134</v>
      </c>
      <c r="AH103" s="9">
        <v>325.28004989368287</v>
      </c>
      <c r="AI103" s="9">
        <v>330.1996407547457</v>
      </c>
      <c r="AJ103" s="9">
        <v>330.1996407547457</v>
      </c>
      <c r="AK103" s="9">
        <v>285.24703609172008</v>
      </c>
      <c r="AL103" s="9">
        <v>166.50961395051505</v>
      </c>
      <c r="AM103" s="9">
        <v>96.603083737136714</v>
      </c>
      <c r="AN103" s="9">
        <v>92.327406794730649</v>
      </c>
      <c r="AO103" s="9">
        <v>91.534749276430944</v>
      </c>
      <c r="AP103" s="9">
        <v>74.471536763586741</v>
      </c>
      <c r="AQ103" s="9">
        <v>69.55194590252394</v>
      </c>
      <c r="AR103" s="9">
        <v>69.55194590252394</v>
      </c>
      <c r="AS103" s="9">
        <v>69.55194590252394</v>
      </c>
      <c r="AT103" s="9">
        <v>74.471536763586741</v>
      </c>
      <c r="AU103" s="9">
        <v>79.39112762464957</v>
      </c>
      <c r="AV103" s="9">
        <v>77.09014165252286</v>
      </c>
      <c r="AW103" s="9">
        <v>0</v>
      </c>
      <c r="AX103" s="9">
        <v>0</v>
      </c>
      <c r="AY103" s="9">
        <v>0</v>
      </c>
      <c r="AZ103" s="9">
        <v>0</v>
      </c>
      <c r="BA103" s="9">
        <v>0</v>
      </c>
      <c r="BB103" s="9">
        <v>0</v>
      </c>
      <c r="BC103" s="9">
        <v>0</v>
      </c>
      <c r="BD103" s="9">
        <v>0</v>
      </c>
      <c r="BE103" s="9">
        <v>0</v>
      </c>
      <c r="BF103" s="9">
        <v>0</v>
      </c>
      <c r="BG103" s="9">
        <v>0</v>
      </c>
      <c r="BH103" s="9">
        <v>0</v>
      </c>
      <c r="BI103" s="9">
        <v>0</v>
      </c>
      <c r="BJ103" s="9">
        <v>0</v>
      </c>
      <c r="BK103" s="9">
        <v>0</v>
      </c>
      <c r="BL103" s="9">
        <v>0</v>
      </c>
      <c r="BM103" s="9">
        <v>0</v>
      </c>
      <c r="BN103" s="9">
        <v>0</v>
      </c>
      <c r="BO103" s="9">
        <v>0</v>
      </c>
      <c r="BP103" s="9">
        <v>0</v>
      </c>
      <c r="BQ103" s="9">
        <v>0</v>
      </c>
      <c r="BR103" s="9">
        <v>0</v>
      </c>
      <c r="BS103" s="9">
        <v>0</v>
      </c>
      <c r="BT103" s="9">
        <v>0</v>
      </c>
      <c r="BU103" s="9">
        <v>0</v>
      </c>
      <c r="BV103" s="9">
        <v>0</v>
      </c>
      <c r="BW103" s="9">
        <v>0</v>
      </c>
      <c r="BX103" s="9">
        <v>0</v>
      </c>
    </row>
    <row r="104" spans="1:76">
      <c r="A104" s="3" t="s">
        <v>66</v>
      </c>
      <c r="B104" t="s">
        <v>10</v>
      </c>
      <c r="C104" t="str">
        <f>+_xlfn.XLOOKUP(B104,'L4'!B:B,'L4'!C:C)</f>
        <v>TÜNEL TIPI DRENAJ BORUSU DÖŞENMESI</v>
      </c>
      <c r="D104" t="s">
        <v>4967</v>
      </c>
      <c r="E104" t="str">
        <f>+_xlfn.XLOOKUP(D104,'M2'!H:H,'M2'!I:I)</f>
        <v>PROJE GENELİ</v>
      </c>
      <c r="F104" s="91" t="s">
        <v>4973</v>
      </c>
      <c r="G104" t="s">
        <v>4983</v>
      </c>
      <c r="H104" s="3" t="s">
        <v>4984</v>
      </c>
      <c r="I104" s="3" t="s">
        <v>177</v>
      </c>
      <c r="J104" s="124">
        <v>0</v>
      </c>
      <c r="K104" s="124">
        <f t="shared" si="97"/>
        <v>0</v>
      </c>
      <c r="L104" s="6">
        <f t="shared" si="96"/>
        <v>0</v>
      </c>
      <c r="M104" s="124">
        <f t="shared" si="112"/>
        <v>0</v>
      </c>
      <c r="N104" s="9">
        <v>0</v>
      </c>
      <c r="O104" s="9">
        <v>0</v>
      </c>
      <c r="P104" s="9">
        <v>0</v>
      </c>
      <c r="Q104" s="9">
        <v>0</v>
      </c>
      <c r="R104" s="9">
        <v>0</v>
      </c>
      <c r="S104" s="9">
        <v>0</v>
      </c>
      <c r="T104" s="9">
        <v>0</v>
      </c>
      <c r="U104" s="9">
        <v>0</v>
      </c>
      <c r="V104" s="9">
        <v>0</v>
      </c>
      <c r="W104" s="9">
        <v>0</v>
      </c>
      <c r="X104" s="10">
        <v>0</v>
      </c>
      <c r="Y104" s="9">
        <v>0</v>
      </c>
      <c r="Z104" s="9">
        <v>0</v>
      </c>
      <c r="AA104" s="9">
        <v>0</v>
      </c>
      <c r="AB104" s="9">
        <v>0</v>
      </c>
      <c r="AC104" s="9">
        <v>0</v>
      </c>
      <c r="AD104" s="9">
        <v>0</v>
      </c>
      <c r="AE104" s="9">
        <v>0</v>
      </c>
      <c r="AF104" s="9">
        <v>0</v>
      </c>
      <c r="AG104" s="9">
        <v>0</v>
      </c>
      <c r="AH104" s="9">
        <v>0</v>
      </c>
      <c r="AI104" s="9">
        <v>0</v>
      </c>
      <c r="AJ104" s="9">
        <v>0</v>
      </c>
      <c r="AK104" s="9">
        <v>0</v>
      </c>
      <c r="AL104" s="9">
        <v>0</v>
      </c>
      <c r="AM104" s="9">
        <v>0</v>
      </c>
      <c r="AN104" s="9">
        <v>0</v>
      </c>
      <c r="AO104" s="9">
        <v>0</v>
      </c>
      <c r="AP104" s="9">
        <v>0</v>
      </c>
      <c r="AQ104" s="9">
        <v>0</v>
      </c>
      <c r="AR104" s="9">
        <v>0</v>
      </c>
      <c r="AS104" s="9">
        <v>0</v>
      </c>
      <c r="AT104" s="9">
        <v>0</v>
      </c>
      <c r="AU104" s="9">
        <v>0</v>
      </c>
      <c r="AV104" s="9">
        <v>0</v>
      </c>
      <c r="AW104" s="9">
        <v>0</v>
      </c>
      <c r="AX104" s="9">
        <v>0</v>
      </c>
      <c r="AY104" s="9">
        <v>0</v>
      </c>
      <c r="AZ104" s="9">
        <v>0</v>
      </c>
      <c r="BA104" s="9">
        <v>0</v>
      </c>
      <c r="BB104" s="9">
        <v>0</v>
      </c>
      <c r="BC104" s="9">
        <v>0</v>
      </c>
      <c r="BD104" s="9">
        <v>0</v>
      </c>
      <c r="BE104" s="9">
        <v>0</v>
      </c>
      <c r="BF104" s="9">
        <v>0</v>
      </c>
      <c r="BG104" s="9">
        <v>0</v>
      </c>
      <c r="BH104" s="9">
        <v>0</v>
      </c>
      <c r="BI104" s="9">
        <v>0</v>
      </c>
      <c r="BJ104" s="9">
        <v>0</v>
      </c>
      <c r="BK104" s="9">
        <v>0</v>
      </c>
      <c r="BL104" s="9">
        <v>0</v>
      </c>
      <c r="BM104" s="9">
        <v>0</v>
      </c>
      <c r="BN104" s="9">
        <v>0</v>
      </c>
      <c r="BO104" s="9">
        <v>0</v>
      </c>
      <c r="BP104" s="9">
        <v>0</v>
      </c>
      <c r="BQ104" s="9">
        <v>0</v>
      </c>
      <c r="BR104" s="9">
        <v>0</v>
      </c>
      <c r="BS104" s="9">
        <v>0</v>
      </c>
    </row>
    <row r="105" spans="1:76">
      <c r="A105" s="3" t="s">
        <v>66</v>
      </c>
      <c r="B105" t="s">
        <v>2624</v>
      </c>
      <c r="C105" t="str">
        <f>+_xlfn.XLOOKUP(B105,'L4'!B:B,'L4'!C:C)</f>
        <v>PREFABRIK DRENAJ VE KONTROL BACASI YAP.</v>
      </c>
      <c r="D105" t="s">
        <v>4967</v>
      </c>
      <c r="E105" t="str">
        <f>+_xlfn.XLOOKUP(D105,'M2'!H:H,'M2'!I:I)</f>
        <v>PROJE GENELİ</v>
      </c>
      <c r="F105" s="91" t="s">
        <v>4973</v>
      </c>
      <c r="G105" t="s">
        <v>4983</v>
      </c>
      <c r="H105" s="3" t="s">
        <v>4984</v>
      </c>
      <c r="I105" s="3" t="s">
        <v>183</v>
      </c>
      <c r="J105" s="124">
        <v>2770.4599999999996</v>
      </c>
      <c r="K105" s="124">
        <f t="shared" si="97"/>
        <v>2770.4599999999996</v>
      </c>
      <c r="L105" s="6">
        <f t="shared" si="96"/>
        <v>0</v>
      </c>
      <c r="M105" s="124">
        <f t="shared" si="112"/>
        <v>2770.4599999999996</v>
      </c>
      <c r="N105" s="9">
        <v>0</v>
      </c>
      <c r="O105" s="9">
        <v>0</v>
      </c>
      <c r="P105" s="9">
        <v>0</v>
      </c>
      <c r="Q105" s="9">
        <v>0</v>
      </c>
      <c r="R105" s="9">
        <v>0</v>
      </c>
      <c r="S105" s="9">
        <v>0</v>
      </c>
      <c r="T105" s="9">
        <v>0</v>
      </c>
      <c r="U105" s="9">
        <v>0</v>
      </c>
      <c r="V105" s="9">
        <v>0</v>
      </c>
      <c r="W105" s="9">
        <v>0</v>
      </c>
      <c r="X105" s="10">
        <v>0</v>
      </c>
      <c r="Y105" s="9">
        <v>0</v>
      </c>
      <c r="Z105" s="9">
        <v>0</v>
      </c>
      <c r="AA105" s="9">
        <v>0</v>
      </c>
      <c r="AB105" s="9">
        <v>0</v>
      </c>
      <c r="AC105" s="9">
        <v>0</v>
      </c>
      <c r="AD105" s="9">
        <v>0</v>
      </c>
      <c r="AE105" s="9">
        <v>173.15375</v>
      </c>
      <c r="AF105" s="9">
        <v>173.15375</v>
      </c>
      <c r="AG105" s="9">
        <v>173.15375</v>
      </c>
      <c r="AH105" s="9">
        <v>173.15375</v>
      </c>
      <c r="AI105" s="9">
        <v>173.15375</v>
      </c>
      <c r="AJ105" s="9">
        <v>173.15375</v>
      </c>
      <c r="AK105" s="9">
        <v>173.15375</v>
      </c>
      <c r="AL105" s="9">
        <v>173.15375</v>
      </c>
      <c r="AM105" s="9">
        <v>0</v>
      </c>
      <c r="AN105" s="9">
        <v>0</v>
      </c>
      <c r="AO105" s="9">
        <v>0</v>
      </c>
      <c r="AP105" s="9">
        <v>0</v>
      </c>
      <c r="AQ105" s="9">
        <v>173.15375</v>
      </c>
      <c r="AR105" s="9">
        <v>173.15375</v>
      </c>
      <c r="AS105" s="9">
        <v>173.15375</v>
      </c>
      <c r="AT105" s="9">
        <v>173.15375</v>
      </c>
      <c r="AU105" s="9">
        <v>173.15375</v>
      </c>
      <c r="AV105" s="9">
        <v>173.15375</v>
      </c>
      <c r="AW105" s="9">
        <v>173.15375</v>
      </c>
      <c r="AX105" s="9">
        <v>173.15375</v>
      </c>
      <c r="AY105" s="9">
        <v>0</v>
      </c>
      <c r="AZ105" s="9">
        <v>0</v>
      </c>
      <c r="BA105" s="9">
        <v>0</v>
      </c>
      <c r="BB105" s="9">
        <v>0</v>
      </c>
      <c r="BC105" s="9">
        <v>0</v>
      </c>
      <c r="BD105" s="9">
        <v>0</v>
      </c>
      <c r="BE105" s="9">
        <v>0</v>
      </c>
      <c r="BF105" s="9">
        <v>0</v>
      </c>
      <c r="BG105" s="9">
        <v>0</v>
      </c>
      <c r="BH105" s="9">
        <v>0</v>
      </c>
      <c r="BI105" s="9">
        <v>0</v>
      </c>
      <c r="BJ105" s="9">
        <v>0</v>
      </c>
      <c r="BK105" s="9">
        <v>0</v>
      </c>
      <c r="BL105" s="9">
        <v>0</v>
      </c>
      <c r="BM105" s="9">
        <v>0</v>
      </c>
      <c r="BN105" s="9">
        <v>0</v>
      </c>
      <c r="BO105" s="9">
        <v>0</v>
      </c>
      <c r="BP105" s="9">
        <v>0</v>
      </c>
      <c r="BQ105" s="9">
        <v>0</v>
      </c>
      <c r="BR105" s="9">
        <v>0</v>
      </c>
      <c r="BS105" s="9">
        <v>0</v>
      </c>
      <c r="BT105" s="9">
        <v>0</v>
      </c>
      <c r="BU105" s="9">
        <v>0</v>
      </c>
      <c r="BV105" s="9">
        <v>0</v>
      </c>
      <c r="BW105" s="9">
        <v>0</v>
      </c>
      <c r="BX105" s="9">
        <v>0</v>
      </c>
    </row>
    <row r="106" spans="1:76">
      <c r="A106" s="3" t="s">
        <v>66</v>
      </c>
      <c r="B106" t="s">
        <v>11</v>
      </c>
      <c r="C106" t="str">
        <f>+_xlfn.XLOOKUP(B106,'L4'!B:B,'L4'!C:C)</f>
        <v>KORUGE DRENAJ BORUSU - Ø 400 MM</v>
      </c>
      <c r="D106" t="s">
        <v>4967</v>
      </c>
      <c r="E106" t="str">
        <f>+_xlfn.XLOOKUP(D106,'M2'!H:H,'M2'!I:I)</f>
        <v>PROJE GENELİ</v>
      </c>
      <c r="F106" s="91" t="s">
        <v>4973</v>
      </c>
      <c r="G106" t="s">
        <v>4983</v>
      </c>
      <c r="H106" s="3" t="s">
        <v>4984</v>
      </c>
      <c r="I106" s="3" t="s">
        <v>188</v>
      </c>
      <c r="J106" s="124">
        <v>85215.54</v>
      </c>
      <c r="K106" s="124">
        <f t="shared" si="97"/>
        <v>85215.54</v>
      </c>
      <c r="L106" s="6">
        <f t="shared" si="96"/>
        <v>0</v>
      </c>
      <c r="M106" s="124">
        <f t="shared" si="112"/>
        <v>85215.54</v>
      </c>
      <c r="N106" s="9">
        <v>0</v>
      </c>
      <c r="O106" s="9">
        <v>0</v>
      </c>
      <c r="P106" s="9">
        <v>0</v>
      </c>
      <c r="Q106" s="9">
        <v>0</v>
      </c>
      <c r="R106" s="9">
        <v>0</v>
      </c>
      <c r="S106" s="9">
        <v>0</v>
      </c>
      <c r="T106" s="9">
        <v>0</v>
      </c>
      <c r="U106" s="9">
        <v>0</v>
      </c>
      <c r="V106" s="9">
        <v>0</v>
      </c>
      <c r="W106" s="9">
        <v>0</v>
      </c>
      <c r="X106" s="10">
        <v>0</v>
      </c>
      <c r="Y106" s="9">
        <v>0</v>
      </c>
      <c r="Z106" s="9">
        <v>0</v>
      </c>
      <c r="AA106" s="9">
        <v>0</v>
      </c>
      <c r="AB106" s="9">
        <v>0</v>
      </c>
      <c r="AC106" s="9">
        <v>0</v>
      </c>
      <c r="AD106" s="9">
        <v>0</v>
      </c>
      <c r="AE106" s="9">
        <v>5323.0518289442107</v>
      </c>
      <c r="AF106" s="9">
        <v>5329.8770568417285</v>
      </c>
      <c r="AG106" s="9">
        <v>5325.2454527999325</v>
      </c>
      <c r="AH106" s="9">
        <v>5325.2454527999325</v>
      </c>
      <c r="AI106" s="9">
        <v>5331.4003570886134</v>
      </c>
      <c r="AJ106" s="9">
        <v>5331.4003570886134</v>
      </c>
      <c r="AK106" s="9">
        <v>5333.4159935189482</v>
      </c>
      <c r="AL106" s="9">
        <v>5333.4159935189482</v>
      </c>
      <c r="AM106" s="9">
        <v>0</v>
      </c>
      <c r="AN106" s="9">
        <v>0</v>
      </c>
      <c r="AO106" s="9">
        <v>0</v>
      </c>
      <c r="AP106" s="9">
        <v>0</v>
      </c>
      <c r="AQ106" s="9">
        <v>5313.8655565724193</v>
      </c>
      <c r="AR106" s="9">
        <v>5314.3836035336226</v>
      </c>
      <c r="AS106" s="9">
        <v>5314.3836035336226</v>
      </c>
      <c r="AT106" s="9">
        <v>5320.5385078223035</v>
      </c>
      <c r="AU106" s="9">
        <v>5326.6934121109844</v>
      </c>
      <c r="AV106" s="9">
        <v>5326.6934121109844</v>
      </c>
      <c r="AW106" s="9">
        <v>5336.7954221011232</v>
      </c>
      <c r="AX106" s="9">
        <v>5329.1339896140225</v>
      </c>
      <c r="AY106" s="9">
        <v>0</v>
      </c>
      <c r="AZ106" s="9">
        <v>0</v>
      </c>
      <c r="BA106" s="9">
        <v>0</v>
      </c>
      <c r="BB106" s="9">
        <v>0</v>
      </c>
      <c r="BC106" s="9">
        <v>0</v>
      </c>
      <c r="BD106" s="9">
        <v>0</v>
      </c>
      <c r="BE106" s="9">
        <v>0</v>
      </c>
      <c r="BF106" s="9">
        <v>0</v>
      </c>
      <c r="BG106" s="9">
        <v>0</v>
      </c>
      <c r="BH106" s="9">
        <v>0</v>
      </c>
      <c r="BI106" s="9">
        <v>0</v>
      </c>
      <c r="BJ106" s="9">
        <v>0</v>
      </c>
      <c r="BK106" s="9">
        <v>0</v>
      </c>
      <c r="BL106" s="9">
        <v>0</v>
      </c>
      <c r="BM106" s="9">
        <v>0</v>
      </c>
      <c r="BN106" s="9">
        <v>0</v>
      </c>
      <c r="BO106" s="9">
        <v>0</v>
      </c>
      <c r="BP106" s="9">
        <v>0</v>
      </c>
      <c r="BQ106" s="9">
        <v>0</v>
      </c>
      <c r="BR106" s="9">
        <v>0</v>
      </c>
      <c r="BS106" s="9">
        <v>0</v>
      </c>
      <c r="BT106" s="9">
        <v>0</v>
      </c>
      <c r="BU106" s="9">
        <v>0</v>
      </c>
      <c r="BV106" s="9">
        <v>0</v>
      </c>
      <c r="BW106" s="9">
        <v>0</v>
      </c>
      <c r="BX106" s="9">
        <v>0</v>
      </c>
    </row>
    <row r="107" spans="1:76">
      <c r="A107" s="3" t="s">
        <v>66</v>
      </c>
      <c r="B107" t="s">
        <v>2625</v>
      </c>
      <c r="C107" t="str">
        <f>+_xlfn.XLOOKUP(B107,'L4'!B:B,'L4'!C:C)</f>
        <v>FONTTAN IZGARA. KAPAK. GARGUY</v>
      </c>
      <c r="D107" t="s">
        <v>4967</v>
      </c>
      <c r="E107" t="str">
        <f>+_xlfn.XLOOKUP(D107,'M2'!H:H,'M2'!I:I)</f>
        <v>PROJE GENELİ</v>
      </c>
      <c r="F107" s="91" t="s">
        <v>4973</v>
      </c>
      <c r="G107" t="s">
        <v>4983</v>
      </c>
      <c r="H107" s="3" t="s">
        <v>4984</v>
      </c>
      <c r="I107" s="3" t="s">
        <v>193</v>
      </c>
      <c r="J107" s="124">
        <v>2625</v>
      </c>
      <c r="K107" s="124">
        <f t="shared" si="97"/>
        <v>2625</v>
      </c>
      <c r="L107" s="6">
        <f t="shared" si="96"/>
        <v>0</v>
      </c>
      <c r="M107" s="124">
        <f t="shared" si="112"/>
        <v>2625</v>
      </c>
      <c r="N107" s="9">
        <v>0</v>
      </c>
      <c r="O107" s="9">
        <v>0</v>
      </c>
      <c r="P107" s="9">
        <v>0</v>
      </c>
      <c r="Q107" s="9">
        <v>0</v>
      </c>
      <c r="R107" s="9">
        <v>0</v>
      </c>
      <c r="S107" s="9">
        <v>0</v>
      </c>
      <c r="T107" s="9">
        <v>0</v>
      </c>
      <c r="U107" s="9">
        <v>0</v>
      </c>
      <c r="V107" s="9">
        <v>0</v>
      </c>
      <c r="W107" s="9">
        <v>0</v>
      </c>
      <c r="X107" s="10">
        <v>0</v>
      </c>
      <c r="Y107" s="9">
        <v>0</v>
      </c>
      <c r="Z107" s="9">
        <v>0</v>
      </c>
      <c r="AA107" s="9">
        <v>0</v>
      </c>
      <c r="AB107" s="9">
        <v>0</v>
      </c>
      <c r="AC107" s="9">
        <v>0</v>
      </c>
      <c r="AD107" s="9">
        <v>0</v>
      </c>
      <c r="AE107" s="9">
        <v>164.0625</v>
      </c>
      <c r="AF107" s="9">
        <v>164.0625</v>
      </c>
      <c r="AG107" s="9">
        <v>164.0625</v>
      </c>
      <c r="AH107" s="9">
        <v>164.0625</v>
      </c>
      <c r="AI107" s="9">
        <v>164.0625</v>
      </c>
      <c r="AJ107" s="9">
        <v>164.0625</v>
      </c>
      <c r="AK107" s="9">
        <v>164.0625</v>
      </c>
      <c r="AL107" s="9">
        <v>164.0625</v>
      </c>
      <c r="AM107" s="9">
        <v>0</v>
      </c>
      <c r="AN107" s="9">
        <v>0</v>
      </c>
      <c r="AO107" s="9">
        <v>0</v>
      </c>
      <c r="AP107" s="9">
        <v>0</v>
      </c>
      <c r="AQ107" s="9">
        <v>164.0625</v>
      </c>
      <c r="AR107" s="9">
        <v>164.0625</v>
      </c>
      <c r="AS107" s="9">
        <v>164.0625</v>
      </c>
      <c r="AT107" s="9">
        <v>164.0625</v>
      </c>
      <c r="AU107" s="9">
        <v>164.0625</v>
      </c>
      <c r="AV107" s="9">
        <v>164.0625</v>
      </c>
      <c r="AW107" s="9">
        <v>164.0625</v>
      </c>
      <c r="AX107" s="9">
        <v>164.0625</v>
      </c>
      <c r="AY107" s="9">
        <v>0</v>
      </c>
      <c r="AZ107" s="9">
        <v>0</v>
      </c>
      <c r="BA107" s="9">
        <v>0</v>
      </c>
      <c r="BB107" s="9">
        <v>0</v>
      </c>
      <c r="BC107" s="9">
        <v>0</v>
      </c>
      <c r="BD107" s="9">
        <v>0</v>
      </c>
      <c r="BE107" s="9">
        <v>0</v>
      </c>
      <c r="BF107" s="9">
        <v>0</v>
      </c>
      <c r="BG107" s="9">
        <v>0</v>
      </c>
      <c r="BH107" s="9">
        <v>0</v>
      </c>
      <c r="BI107" s="9">
        <v>0</v>
      </c>
      <c r="BJ107" s="9">
        <v>0</v>
      </c>
      <c r="BK107" s="9">
        <v>0</v>
      </c>
      <c r="BL107" s="9">
        <v>0</v>
      </c>
      <c r="BM107" s="9">
        <v>0</v>
      </c>
      <c r="BN107" s="9">
        <v>0</v>
      </c>
      <c r="BO107" s="9">
        <v>0</v>
      </c>
      <c r="BP107" s="9">
        <v>0</v>
      </c>
      <c r="BQ107" s="9">
        <v>0</v>
      </c>
      <c r="BR107" s="9">
        <v>0</v>
      </c>
      <c r="BS107" s="9">
        <v>0</v>
      </c>
      <c r="BT107" s="9">
        <v>0</v>
      </c>
      <c r="BU107" s="9">
        <v>0</v>
      </c>
      <c r="BV107" s="9">
        <v>0</v>
      </c>
      <c r="BW107" s="9">
        <v>0</v>
      </c>
      <c r="BX107" s="9">
        <v>0</v>
      </c>
    </row>
    <row r="108" spans="1:76">
      <c r="A108" s="3" t="s">
        <v>66</v>
      </c>
      <c r="B108" t="s">
        <v>12</v>
      </c>
      <c r="C108" t="str">
        <f>+_xlfn.XLOOKUP(B108,'L4'!B:B,'L4'!C:C)</f>
        <v>PÜSKÜRTME BETONU YAPILMASI</v>
      </c>
      <c r="D108" t="s">
        <v>4967</v>
      </c>
      <c r="E108" t="str">
        <f>+_xlfn.XLOOKUP(D108,'M2'!H:H,'M2'!I:I)</f>
        <v>PROJE GENELİ</v>
      </c>
      <c r="F108" s="91" t="s">
        <v>4973</v>
      </c>
      <c r="G108" t="s">
        <v>4983</v>
      </c>
      <c r="H108" s="3" t="s">
        <v>4984</v>
      </c>
      <c r="I108" s="3" t="s">
        <v>199</v>
      </c>
      <c r="J108" s="124">
        <v>101625.56926146134</v>
      </c>
      <c r="K108" s="124">
        <f t="shared" si="97"/>
        <v>94428.309561461341</v>
      </c>
      <c r="L108" s="6">
        <f t="shared" si="96"/>
        <v>0</v>
      </c>
      <c r="M108" s="124">
        <f t="shared" si="112"/>
        <v>101625.56926146134</v>
      </c>
      <c r="N108" s="9">
        <v>0</v>
      </c>
      <c r="O108" s="9">
        <v>0</v>
      </c>
      <c r="P108" s="9">
        <v>1194.615999691267</v>
      </c>
      <c r="Q108" s="9">
        <v>4977.2960003087319</v>
      </c>
      <c r="R108" s="9">
        <v>0</v>
      </c>
      <c r="S108" s="9">
        <v>0</v>
      </c>
      <c r="T108" s="9">
        <v>0</v>
      </c>
      <c r="U108" s="9">
        <v>0</v>
      </c>
      <c r="V108" s="9">
        <v>0</v>
      </c>
      <c r="W108" s="9">
        <v>1025.3477000000012</v>
      </c>
      <c r="X108" s="10">
        <v>4237.6053014440276</v>
      </c>
      <c r="Y108" s="9">
        <v>4115.2703408729767</v>
      </c>
      <c r="Z108" s="9">
        <v>7119.2731399013774</v>
      </c>
      <c r="AA108" s="9">
        <v>5158.9114193318983</v>
      </c>
      <c r="AB108" s="9">
        <v>5100.9635291113045</v>
      </c>
      <c r="AC108" s="9">
        <v>3155.0725349803006</v>
      </c>
      <c r="AD108" s="9">
        <v>5058.7784301340489</v>
      </c>
      <c r="AE108" s="9">
        <v>9770.4362246848923</v>
      </c>
      <c r="AF108" s="9">
        <v>7770.5761249337584</v>
      </c>
      <c r="AG108" s="9">
        <v>6618.3796604988102</v>
      </c>
      <c r="AH108" s="9">
        <v>6618.3796604988102</v>
      </c>
      <c r="AI108" s="9">
        <v>2012.5684698948517</v>
      </c>
      <c r="AJ108" s="9">
        <v>2012.5684698948517</v>
      </c>
      <c r="AK108" s="9">
        <v>2030.5000015815453</v>
      </c>
      <c r="AL108" s="9">
        <v>2030.5000015815453</v>
      </c>
      <c r="AM108" s="9">
        <v>2047.0964279588648</v>
      </c>
      <c r="AN108" s="9">
        <v>2114.6760469315664</v>
      </c>
      <c r="AO108" s="9">
        <v>2105.853721171</v>
      </c>
      <c r="AP108" s="9">
        <v>1915.939141627247</v>
      </c>
      <c r="AQ108" s="9">
        <v>1861.1838000288965</v>
      </c>
      <c r="AR108" s="9">
        <v>1861.1838000288965</v>
      </c>
      <c r="AS108" s="9">
        <v>1861.1838000288965</v>
      </c>
      <c r="AT108" s="9">
        <v>1915.939141627247</v>
      </c>
      <c r="AU108" s="9">
        <v>1970.6944832255977</v>
      </c>
      <c r="AV108" s="9">
        <v>1970.6944832255977</v>
      </c>
      <c r="AW108" s="9">
        <v>1994.0814062625316</v>
      </c>
      <c r="AX108" s="9">
        <v>0</v>
      </c>
      <c r="AY108" s="9">
        <v>0</v>
      </c>
      <c r="AZ108" s="9">
        <v>0</v>
      </c>
      <c r="BA108" s="9">
        <v>0</v>
      </c>
      <c r="BB108" s="9">
        <v>0</v>
      </c>
      <c r="BC108" s="9">
        <v>0</v>
      </c>
      <c r="BD108" s="9">
        <v>0</v>
      </c>
      <c r="BE108" s="9">
        <v>0</v>
      </c>
      <c r="BF108" s="9">
        <v>0</v>
      </c>
      <c r="BG108" s="9">
        <v>0</v>
      </c>
      <c r="BH108" s="9">
        <v>0</v>
      </c>
      <c r="BI108" s="9">
        <v>0</v>
      </c>
      <c r="BJ108" s="9">
        <v>0</v>
      </c>
      <c r="BK108" s="9">
        <v>0</v>
      </c>
      <c r="BL108" s="9">
        <v>0</v>
      </c>
      <c r="BM108" s="9">
        <v>0</v>
      </c>
      <c r="BN108" s="9">
        <v>0</v>
      </c>
      <c r="BO108" s="9">
        <v>0</v>
      </c>
      <c r="BP108" s="9">
        <v>0</v>
      </c>
      <c r="BQ108" s="9">
        <v>0</v>
      </c>
      <c r="BR108" s="9">
        <v>0</v>
      </c>
      <c r="BS108" s="9">
        <v>0</v>
      </c>
      <c r="BT108" s="9">
        <v>0</v>
      </c>
      <c r="BU108" s="9">
        <v>0</v>
      </c>
      <c r="BV108" s="9">
        <v>0</v>
      </c>
      <c r="BW108" s="9">
        <v>0</v>
      </c>
      <c r="BX108" s="9">
        <v>0</v>
      </c>
    </row>
    <row r="109" spans="1:76">
      <c r="A109" s="3" t="s">
        <v>66</v>
      </c>
      <c r="B109" t="s">
        <v>2626</v>
      </c>
      <c r="C109" t="str">
        <f>+_xlfn.XLOOKUP(B109,'L4'!B:B,'L4'!C:C)</f>
        <v>DÖKME KAZIK - Ø 120 CM. - KÖPRÜ HARIÇ</v>
      </c>
      <c r="D109" t="s">
        <v>4967</v>
      </c>
      <c r="E109" t="str">
        <f>+_xlfn.XLOOKUP(D109,'M2'!H:H,'M2'!I:I)</f>
        <v>PROJE GENELİ</v>
      </c>
      <c r="F109" s="91" t="s">
        <v>4973</v>
      </c>
      <c r="G109" t="s">
        <v>4983</v>
      </c>
      <c r="H109" s="3" t="s">
        <v>4984</v>
      </c>
      <c r="I109" s="3" t="s">
        <v>204</v>
      </c>
      <c r="J109" s="124">
        <v>30000</v>
      </c>
      <c r="K109" s="124">
        <f t="shared" si="97"/>
        <v>30000</v>
      </c>
      <c r="L109" s="6">
        <f t="shared" si="96"/>
        <v>0</v>
      </c>
      <c r="M109" s="124">
        <f t="shared" si="112"/>
        <v>30000</v>
      </c>
      <c r="N109" s="9">
        <v>0</v>
      </c>
      <c r="O109" s="9">
        <v>0</v>
      </c>
      <c r="P109" s="9">
        <v>0</v>
      </c>
      <c r="Q109" s="9">
        <v>0</v>
      </c>
      <c r="R109" s="9">
        <v>0</v>
      </c>
      <c r="S109" s="9">
        <v>0</v>
      </c>
      <c r="T109" s="9">
        <v>0</v>
      </c>
      <c r="U109" s="9">
        <v>0</v>
      </c>
      <c r="V109" s="9">
        <v>0</v>
      </c>
      <c r="W109" s="9">
        <v>0</v>
      </c>
      <c r="X109" s="10">
        <v>0</v>
      </c>
      <c r="Y109" s="9">
        <v>0</v>
      </c>
      <c r="Z109" s="9">
        <v>0</v>
      </c>
      <c r="AA109" s="9">
        <v>0</v>
      </c>
      <c r="AB109" s="9">
        <v>0</v>
      </c>
      <c r="AC109" s="9">
        <v>0</v>
      </c>
      <c r="AD109" s="9">
        <v>0</v>
      </c>
      <c r="AE109" s="9">
        <v>1875</v>
      </c>
      <c r="AF109" s="9">
        <v>1875</v>
      </c>
      <c r="AG109" s="9">
        <v>1875</v>
      </c>
      <c r="AH109" s="9">
        <v>1875</v>
      </c>
      <c r="AI109" s="9">
        <v>1875</v>
      </c>
      <c r="AJ109" s="9">
        <v>1875</v>
      </c>
      <c r="AK109" s="9">
        <v>1875</v>
      </c>
      <c r="AL109" s="9">
        <v>1875</v>
      </c>
      <c r="AM109" s="9">
        <v>0</v>
      </c>
      <c r="AN109" s="9">
        <v>0</v>
      </c>
      <c r="AO109" s="9">
        <v>0</v>
      </c>
      <c r="AP109" s="9">
        <v>0</v>
      </c>
      <c r="AQ109" s="9">
        <v>1875</v>
      </c>
      <c r="AR109" s="9">
        <v>1875</v>
      </c>
      <c r="AS109" s="9">
        <v>1875</v>
      </c>
      <c r="AT109" s="9">
        <v>1875</v>
      </c>
      <c r="AU109" s="9">
        <v>1875</v>
      </c>
      <c r="AV109" s="9">
        <v>1875</v>
      </c>
      <c r="AW109" s="9">
        <v>1875</v>
      </c>
      <c r="AX109" s="9">
        <v>1875</v>
      </c>
      <c r="AY109" s="9">
        <v>0</v>
      </c>
      <c r="AZ109" s="9">
        <v>0</v>
      </c>
      <c r="BA109" s="9">
        <v>0</v>
      </c>
      <c r="BB109" s="9">
        <v>0</v>
      </c>
      <c r="BC109" s="9">
        <v>0</v>
      </c>
      <c r="BD109" s="9">
        <v>0</v>
      </c>
      <c r="BE109" s="9">
        <v>0</v>
      </c>
      <c r="BF109" s="9">
        <v>0</v>
      </c>
      <c r="BG109" s="9">
        <v>0</v>
      </c>
      <c r="BH109" s="9">
        <v>0</v>
      </c>
      <c r="BI109" s="9">
        <v>0</v>
      </c>
      <c r="BJ109" s="9">
        <v>0</v>
      </c>
      <c r="BK109" s="9">
        <v>0</v>
      </c>
      <c r="BL109" s="9">
        <v>0</v>
      </c>
      <c r="BM109" s="9">
        <v>0</v>
      </c>
      <c r="BN109" s="9">
        <v>0</v>
      </c>
      <c r="BO109" s="9">
        <v>0</v>
      </c>
      <c r="BP109" s="9">
        <v>0</v>
      </c>
      <c r="BQ109" s="9">
        <v>0</v>
      </c>
      <c r="BR109" s="9">
        <v>0</v>
      </c>
      <c r="BS109" s="9">
        <v>0</v>
      </c>
      <c r="BT109" s="9">
        <v>0</v>
      </c>
      <c r="BU109" s="9">
        <v>0</v>
      </c>
      <c r="BV109" s="9">
        <v>0</v>
      </c>
      <c r="BW109" s="9">
        <v>0</v>
      </c>
      <c r="BX109" s="9">
        <v>0</v>
      </c>
    </row>
    <row r="110" spans="1:76">
      <c r="A110" s="3" t="s">
        <v>66</v>
      </c>
      <c r="B110" t="s">
        <v>2627</v>
      </c>
      <c r="C110" t="str">
        <f>+_xlfn.XLOOKUP(B110,'L4'!B:B,'L4'!C:C)</f>
        <v>KIRMATAŞ KOLON - Ø 70 CM.</v>
      </c>
      <c r="D110" t="s">
        <v>4967</v>
      </c>
      <c r="E110" t="str">
        <f>+_xlfn.XLOOKUP(D110,'M2'!H:H,'M2'!I:I)</f>
        <v>PROJE GENELİ</v>
      </c>
      <c r="F110" s="91" t="s">
        <v>4973</v>
      </c>
      <c r="G110" t="s">
        <v>4983</v>
      </c>
      <c r="H110" s="3" t="s">
        <v>4984</v>
      </c>
      <c r="I110" s="3" t="s">
        <v>209</v>
      </c>
      <c r="J110" s="124">
        <v>1134160</v>
      </c>
      <c r="K110" s="124">
        <f t="shared" si="97"/>
        <v>1134160</v>
      </c>
      <c r="L110" s="6">
        <f t="shared" si="96"/>
        <v>0</v>
      </c>
      <c r="M110" s="124">
        <f t="shared" si="112"/>
        <v>1134160</v>
      </c>
      <c r="N110" s="9">
        <v>0</v>
      </c>
      <c r="O110" s="9">
        <v>0</v>
      </c>
      <c r="P110" s="9">
        <v>0</v>
      </c>
      <c r="Q110" s="9">
        <v>0</v>
      </c>
      <c r="R110" s="9">
        <v>0</v>
      </c>
      <c r="S110" s="9">
        <v>0</v>
      </c>
      <c r="T110" s="9">
        <v>0</v>
      </c>
      <c r="U110" s="9">
        <v>0</v>
      </c>
      <c r="V110" s="9">
        <v>0</v>
      </c>
      <c r="W110" s="9">
        <v>0</v>
      </c>
      <c r="X110" s="10">
        <v>0</v>
      </c>
      <c r="Y110" s="9">
        <v>0</v>
      </c>
      <c r="Z110" s="9">
        <v>0</v>
      </c>
      <c r="AA110" s="9">
        <v>0</v>
      </c>
      <c r="AB110" s="9">
        <v>0</v>
      </c>
      <c r="AC110" s="9">
        <v>0</v>
      </c>
      <c r="AD110" s="9">
        <v>0</v>
      </c>
      <c r="AE110" s="9">
        <v>70885</v>
      </c>
      <c r="AF110" s="9">
        <v>70885</v>
      </c>
      <c r="AG110" s="9">
        <v>70885</v>
      </c>
      <c r="AH110" s="9">
        <v>70885</v>
      </c>
      <c r="AI110" s="9">
        <v>70885</v>
      </c>
      <c r="AJ110" s="9">
        <v>70885</v>
      </c>
      <c r="AK110" s="9">
        <v>70885</v>
      </c>
      <c r="AL110" s="9">
        <v>70885</v>
      </c>
      <c r="AM110" s="9">
        <v>0</v>
      </c>
      <c r="AN110" s="9">
        <v>0</v>
      </c>
      <c r="AO110" s="9">
        <v>0</v>
      </c>
      <c r="AP110" s="9">
        <v>0</v>
      </c>
      <c r="AQ110" s="9">
        <v>70885</v>
      </c>
      <c r="AR110" s="9">
        <v>70885</v>
      </c>
      <c r="AS110" s="9">
        <v>70885</v>
      </c>
      <c r="AT110" s="9">
        <v>70885</v>
      </c>
      <c r="AU110" s="9">
        <v>70885</v>
      </c>
      <c r="AV110" s="9">
        <v>70885</v>
      </c>
      <c r="AW110" s="9">
        <v>70885</v>
      </c>
      <c r="AX110" s="9">
        <v>70885</v>
      </c>
      <c r="AY110" s="9">
        <v>0</v>
      </c>
      <c r="AZ110" s="9">
        <v>0</v>
      </c>
      <c r="BA110" s="9">
        <v>0</v>
      </c>
      <c r="BB110" s="9">
        <v>0</v>
      </c>
      <c r="BC110" s="9">
        <v>0</v>
      </c>
      <c r="BD110" s="9">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row>
    <row r="111" spans="1:76">
      <c r="A111" s="3" t="s">
        <v>66</v>
      </c>
      <c r="B111" t="s">
        <v>13</v>
      </c>
      <c r="C111" t="str">
        <f>+_xlfn.XLOOKUP(B111,'L4'!B:B,'L4'!C:C)</f>
        <v>HASIR ÇELIK TEMINI VE İŞÇILIĞI</v>
      </c>
      <c r="D111" t="s">
        <v>4967</v>
      </c>
      <c r="E111" t="str">
        <f>+_xlfn.XLOOKUP(D111,'M2'!H:H,'M2'!I:I)</f>
        <v>PROJE GENELİ</v>
      </c>
      <c r="F111" s="91" t="s">
        <v>4973</v>
      </c>
      <c r="G111" t="s">
        <v>4983</v>
      </c>
      <c r="H111" s="3" t="s">
        <v>4984</v>
      </c>
      <c r="I111" s="3" t="s">
        <v>214</v>
      </c>
      <c r="J111" s="124">
        <v>1546.8728132011991</v>
      </c>
      <c r="K111" s="124">
        <f t="shared" si="97"/>
        <v>1203.7689445951189</v>
      </c>
      <c r="L111" s="6">
        <f t="shared" si="96"/>
        <v>0</v>
      </c>
      <c r="M111" s="124">
        <f t="shared" si="112"/>
        <v>1546.8728132011991</v>
      </c>
      <c r="N111" s="9">
        <v>0</v>
      </c>
      <c r="O111" s="9">
        <v>0</v>
      </c>
      <c r="P111" s="9">
        <v>47.700122891409578</v>
      </c>
      <c r="Q111" s="9">
        <v>213.31787710859044</v>
      </c>
      <c r="U111" s="9">
        <v>37.243868606079843</v>
      </c>
      <c r="W111" s="9">
        <v>44.84200000000024</v>
      </c>
      <c r="X111" s="10">
        <v>113.95223513925482</v>
      </c>
      <c r="Y111" s="9">
        <v>80.12102021190455</v>
      </c>
      <c r="Z111" s="9">
        <v>214.2672350123315</v>
      </c>
      <c r="AA111" s="9">
        <v>117.94118908042131</v>
      </c>
      <c r="AB111" s="9">
        <v>131.69442444003016</v>
      </c>
      <c r="AC111" s="9">
        <v>44.692851519787851</v>
      </c>
      <c r="AD111" s="9">
        <v>63.892655480701123</v>
      </c>
      <c r="AE111" s="9">
        <v>39.88015851542292</v>
      </c>
      <c r="AF111" s="9">
        <v>195.62759559512833</v>
      </c>
      <c r="AG111" s="9">
        <v>140.54970263431267</v>
      </c>
      <c r="AH111" s="9">
        <v>60.469427934725275</v>
      </c>
      <c r="AI111" s="9">
        <v>0</v>
      </c>
      <c r="AJ111" s="9">
        <v>0</v>
      </c>
      <c r="AK111" s="9">
        <v>0</v>
      </c>
      <c r="AL111" s="9">
        <v>0</v>
      </c>
      <c r="AM111" s="9">
        <v>0</v>
      </c>
      <c r="AN111" s="9">
        <v>0.6804490310988367</v>
      </c>
      <c r="AO111" s="9">
        <v>0</v>
      </c>
      <c r="AP111" s="9">
        <v>0</v>
      </c>
      <c r="AQ111" s="9">
        <v>0</v>
      </c>
      <c r="AR111" s="9">
        <v>0</v>
      </c>
      <c r="AS111" s="9">
        <v>0</v>
      </c>
      <c r="AT111" s="9">
        <v>0</v>
      </c>
      <c r="AU111" s="9">
        <v>0</v>
      </c>
      <c r="AV111" s="9">
        <v>0</v>
      </c>
      <c r="AW111" s="9">
        <v>0</v>
      </c>
      <c r="AX111" s="9">
        <v>0</v>
      </c>
      <c r="AY111" s="9">
        <v>0</v>
      </c>
      <c r="AZ111" s="9">
        <v>0</v>
      </c>
      <c r="BA111" s="9">
        <v>0</v>
      </c>
      <c r="BB111" s="9">
        <v>0</v>
      </c>
      <c r="BC111" s="9">
        <v>0</v>
      </c>
      <c r="BD111" s="9">
        <v>0</v>
      </c>
      <c r="BE111" s="9">
        <v>0</v>
      </c>
      <c r="BF111" s="9">
        <v>0</v>
      </c>
      <c r="BG111" s="9">
        <v>0</v>
      </c>
      <c r="BH111" s="9">
        <v>0</v>
      </c>
      <c r="BI111" s="9">
        <v>0</v>
      </c>
      <c r="BJ111" s="9">
        <v>0</v>
      </c>
      <c r="BK111" s="9">
        <v>0</v>
      </c>
      <c r="BL111" s="9">
        <v>0</v>
      </c>
      <c r="BM111" s="9">
        <v>0</v>
      </c>
      <c r="BN111" s="9">
        <v>0</v>
      </c>
      <c r="BO111" s="9">
        <v>0</v>
      </c>
      <c r="BP111" s="9">
        <v>0</v>
      </c>
      <c r="BQ111" s="9">
        <v>0</v>
      </c>
      <c r="BR111" s="9">
        <v>0</v>
      </c>
      <c r="BS111" s="9">
        <v>0</v>
      </c>
      <c r="BT111" s="9">
        <v>0</v>
      </c>
      <c r="BU111" s="9">
        <v>0</v>
      </c>
      <c r="BV111" s="9">
        <v>0</v>
      </c>
      <c r="BW111" s="9">
        <v>0</v>
      </c>
      <c r="BX111" s="9">
        <v>0</v>
      </c>
    </row>
    <row r="112" spans="1:76">
      <c r="A112" s="3" t="s">
        <v>66</v>
      </c>
      <c r="B112" t="s">
        <v>2628</v>
      </c>
      <c r="C112" t="str">
        <f>+_xlfn.XLOOKUP(B112,'L4'!B:B,'L4'!C:C)</f>
        <v>SOILMIXING KOLON - Ø 80 CM.</v>
      </c>
      <c r="D112" t="s">
        <v>4967</v>
      </c>
      <c r="E112" t="str">
        <f>+_xlfn.XLOOKUP(D112,'M2'!H:H,'M2'!I:I)</f>
        <v>PROJE GENELİ</v>
      </c>
      <c r="F112" s="91" t="s">
        <v>4973</v>
      </c>
      <c r="G112" t="s">
        <v>4983</v>
      </c>
      <c r="H112" s="3" t="s">
        <v>4984</v>
      </c>
      <c r="I112" s="3" t="s">
        <v>219</v>
      </c>
      <c r="J112" s="124">
        <v>2782602.9999999991</v>
      </c>
      <c r="K112" s="124">
        <f t="shared" si="97"/>
        <v>2772224.9999999991</v>
      </c>
      <c r="L112" s="6">
        <f t="shared" si="96"/>
        <v>0</v>
      </c>
      <c r="M112" s="124">
        <f t="shared" si="112"/>
        <v>2782602.9999999991</v>
      </c>
      <c r="N112" s="9">
        <v>0</v>
      </c>
      <c r="O112" s="9">
        <v>0</v>
      </c>
      <c r="P112" s="9">
        <v>3004.1999715532347</v>
      </c>
      <c r="Q112" s="9">
        <v>7373.8000284467644</v>
      </c>
      <c r="R112" s="9">
        <v>0</v>
      </c>
      <c r="S112" s="9">
        <v>0</v>
      </c>
      <c r="T112" s="9">
        <v>0</v>
      </c>
      <c r="U112" s="9">
        <v>0</v>
      </c>
      <c r="V112" s="9">
        <v>0</v>
      </c>
      <c r="W112" s="9">
        <v>0</v>
      </c>
      <c r="X112" s="10">
        <v>0</v>
      </c>
      <c r="Y112" s="9">
        <v>60705.656934306571</v>
      </c>
      <c r="Z112" s="9">
        <v>60705.656934306571</v>
      </c>
      <c r="AA112" s="9">
        <v>60705.656934306571</v>
      </c>
      <c r="AB112" s="9">
        <v>80940.875912408752</v>
      </c>
      <c r="AC112" s="9">
        <v>121411.31386861314</v>
      </c>
      <c r="AD112" s="9">
        <v>161881.7518248175</v>
      </c>
      <c r="AE112" s="9">
        <v>202352.18978102188</v>
      </c>
      <c r="AF112" s="9">
        <v>202352.18978102188</v>
      </c>
      <c r="AG112" s="9">
        <v>202352.18978102188</v>
      </c>
      <c r="AH112" s="9">
        <v>202352.18978102188</v>
      </c>
      <c r="AI112" s="9">
        <v>202352.18978102188</v>
      </c>
      <c r="AJ112" s="9">
        <v>202352.18978102188</v>
      </c>
      <c r="AK112" s="9">
        <v>202352.18978102188</v>
      </c>
      <c r="AL112" s="9">
        <v>202352.18978102188</v>
      </c>
      <c r="AM112" s="9">
        <v>202352.18978102188</v>
      </c>
      <c r="AN112" s="9">
        <v>202352.18978102188</v>
      </c>
      <c r="AO112" s="9">
        <v>202352.18978102188</v>
      </c>
      <c r="AP112" s="9">
        <v>0</v>
      </c>
      <c r="AQ112" s="9">
        <v>0</v>
      </c>
      <c r="AR112" s="9">
        <v>0</v>
      </c>
      <c r="AS112" s="9">
        <v>0</v>
      </c>
      <c r="AT112" s="9">
        <v>0</v>
      </c>
      <c r="AU112" s="9">
        <v>0</v>
      </c>
      <c r="AV112" s="9">
        <v>0</v>
      </c>
      <c r="AW112" s="9">
        <v>0</v>
      </c>
      <c r="AX112" s="9">
        <v>0</v>
      </c>
      <c r="AY112" s="9">
        <v>0</v>
      </c>
      <c r="AZ112" s="9">
        <v>0</v>
      </c>
      <c r="BA112" s="9">
        <v>0</v>
      </c>
      <c r="BB112" s="9">
        <v>0</v>
      </c>
      <c r="BC112" s="9">
        <v>0</v>
      </c>
      <c r="BD112" s="9">
        <v>0</v>
      </c>
      <c r="BE112" s="9">
        <v>0</v>
      </c>
      <c r="BF112" s="9">
        <v>0</v>
      </c>
      <c r="BG112" s="9">
        <v>0</v>
      </c>
      <c r="BH112" s="9">
        <v>0</v>
      </c>
      <c r="BI112" s="9">
        <v>0</v>
      </c>
      <c r="BJ112" s="9">
        <v>0</v>
      </c>
      <c r="BK112" s="9">
        <v>0</v>
      </c>
      <c r="BL112" s="9">
        <v>0</v>
      </c>
      <c r="BM112" s="9">
        <v>0</v>
      </c>
      <c r="BN112" s="9">
        <v>0</v>
      </c>
      <c r="BO112" s="9">
        <v>0</v>
      </c>
      <c r="BP112" s="9">
        <v>0</v>
      </c>
      <c r="BQ112" s="9">
        <v>0</v>
      </c>
      <c r="BR112" s="9">
        <v>0</v>
      </c>
      <c r="BS112" s="9">
        <v>0</v>
      </c>
      <c r="BT112" s="9">
        <v>0</v>
      </c>
      <c r="BU112" s="9">
        <v>0</v>
      </c>
      <c r="BV112" s="9">
        <v>0</v>
      </c>
      <c r="BW112" s="9">
        <v>0</v>
      </c>
      <c r="BX112" s="9">
        <v>0</v>
      </c>
    </row>
    <row r="113" spans="1:76">
      <c r="A113" s="3" t="s">
        <v>66</v>
      </c>
      <c r="B113" t="s">
        <v>2629</v>
      </c>
      <c r="C113" t="str">
        <f>+_xlfn.XLOOKUP(B113,'L4'!B:B,'L4'!C:C)</f>
        <v>DOLGU - İSTIFSIZ TAŞ</v>
      </c>
      <c r="D113" t="s">
        <v>4967</v>
      </c>
      <c r="E113" t="str">
        <f>+_xlfn.XLOOKUP(D113,'M2'!H:H,'M2'!I:I)</f>
        <v>PROJE GENELİ</v>
      </c>
      <c r="F113" s="91" t="s">
        <v>4973</v>
      </c>
      <c r="G113" t="s">
        <v>4983</v>
      </c>
      <c r="H113" s="3" t="s">
        <v>4984</v>
      </c>
      <c r="I113" s="3" t="s">
        <v>224</v>
      </c>
      <c r="J113" s="124">
        <v>47278.753000000012</v>
      </c>
      <c r="K113" s="124">
        <f t="shared" si="97"/>
        <v>44549.659000000014</v>
      </c>
      <c r="L113" s="6">
        <f t="shared" si="96"/>
        <v>0</v>
      </c>
      <c r="M113" s="124">
        <f t="shared" si="112"/>
        <v>47278.753000000012</v>
      </c>
      <c r="N113" s="9">
        <v>0</v>
      </c>
      <c r="O113" s="9">
        <v>0</v>
      </c>
      <c r="P113" s="9">
        <v>0</v>
      </c>
      <c r="Q113" s="9">
        <v>0</v>
      </c>
      <c r="R113" s="9">
        <v>363.64538438135639</v>
      </c>
      <c r="S113" s="9">
        <v>428.08254728707783</v>
      </c>
      <c r="T113" s="9">
        <v>487.02506833156565</v>
      </c>
      <c r="U113" s="9">
        <v>0</v>
      </c>
      <c r="V113" s="9">
        <v>1450.3410000000001</v>
      </c>
      <c r="W113" s="9">
        <v>0</v>
      </c>
      <c r="X113" s="10">
        <v>1936.9416956521741</v>
      </c>
      <c r="Y113" s="9">
        <v>1936.9416956521741</v>
      </c>
      <c r="Z113" s="9">
        <v>1936.9416956521741</v>
      </c>
      <c r="AA113" s="9">
        <v>1936.9416956521741</v>
      </c>
      <c r="AB113" s="9">
        <v>1936.9416956521741</v>
      </c>
      <c r="AC113" s="9">
        <v>1936.9416956521741</v>
      </c>
      <c r="AD113" s="9">
        <v>1936.9416956521741</v>
      </c>
      <c r="AE113" s="9">
        <v>1936.9416956521741</v>
      </c>
      <c r="AF113" s="9">
        <v>1936.9416956521741</v>
      </c>
      <c r="AG113" s="9">
        <v>1936.9416956521741</v>
      </c>
      <c r="AH113" s="9">
        <v>1936.9416956521741</v>
      </c>
      <c r="AI113" s="9">
        <v>1936.9416956521741</v>
      </c>
      <c r="AJ113" s="9">
        <v>1936.9416956521741</v>
      </c>
      <c r="AK113" s="9">
        <v>1936.9416956521741</v>
      </c>
      <c r="AL113" s="9">
        <v>1936.9416956521741</v>
      </c>
      <c r="AM113" s="9">
        <v>0</v>
      </c>
      <c r="AN113" s="9">
        <v>0</v>
      </c>
      <c r="AO113" s="9">
        <v>0</v>
      </c>
      <c r="AP113" s="9">
        <v>0</v>
      </c>
      <c r="AQ113" s="9">
        <v>1936.9416956521741</v>
      </c>
      <c r="AR113" s="9">
        <v>1936.9416956521741</v>
      </c>
      <c r="AS113" s="9">
        <v>1936.9416956521741</v>
      </c>
      <c r="AT113" s="9">
        <v>1936.9416956521741</v>
      </c>
      <c r="AU113" s="9">
        <v>1936.9416956521741</v>
      </c>
      <c r="AV113" s="9">
        <v>1936.9416956521741</v>
      </c>
      <c r="AW113" s="9">
        <v>1936.9416956521741</v>
      </c>
      <c r="AX113" s="9">
        <v>1936.9416956521741</v>
      </c>
      <c r="AY113" s="9">
        <v>0</v>
      </c>
      <c r="AZ113" s="9">
        <v>0</v>
      </c>
      <c r="BA113" s="9">
        <v>0</v>
      </c>
      <c r="BB113" s="9">
        <v>0</v>
      </c>
      <c r="BC113" s="9">
        <v>0</v>
      </c>
      <c r="BD113" s="9">
        <v>0</v>
      </c>
      <c r="BE113" s="9">
        <v>0</v>
      </c>
      <c r="BF113" s="9">
        <v>0</v>
      </c>
      <c r="BG113" s="9">
        <v>0</v>
      </c>
      <c r="BH113" s="9">
        <v>0</v>
      </c>
      <c r="BI113" s="9">
        <v>0</v>
      </c>
      <c r="BJ113" s="9">
        <v>0</v>
      </c>
      <c r="BK113" s="9">
        <v>0</v>
      </c>
      <c r="BL113" s="9">
        <v>0</v>
      </c>
      <c r="BM113" s="9">
        <v>0</v>
      </c>
      <c r="BN113" s="9">
        <v>0</v>
      </c>
      <c r="BO113" s="9">
        <v>0</v>
      </c>
      <c r="BP113" s="9">
        <v>0</v>
      </c>
      <c r="BQ113" s="9">
        <v>0</v>
      </c>
      <c r="BR113" s="9">
        <v>0</v>
      </c>
      <c r="BS113" s="9">
        <v>0</v>
      </c>
      <c r="BT113" s="9">
        <v>0</v>
      </c>
      <c r="BU113" s="9">
        <v>0</v>
      </c>
      <c r="BV113" s="9">
        <v>0</v>
      </c>
      <c r="BW113" s="9">
        <v>0</v>
      </c>
      <c r="BX113" s="9">
        <v>0</v>
      </c>
    </row>
    <row r="114" spans="1:76">
      <c r="A114" s="3" t="s">
        <v>66</v>
      </c>
      <c r="B114" t="s">
        <v>2630</v>
      </c>
      <c r="C114" t="str">
        <f>+_xlfn.XLOOKUP(B114,'L4'!B:B,'L4'!C:C)</f>
        <v>SU TUTUCU TEMINI VE YERINE KONULMASI</v>
      </c>
      <c r="D114" t="s">
        <v>4967</v>
      </c>
      <c r="E114" t="str">
        <f>+_xlfn.XLOOKUP(D114,'M2'!H:H,'M2'!I:I)</f>
        <v>PROJE GENELİ</v>
      </c>
      <c r="F114" s="91" t="s">
        <v>4973</v>
      </c>
      <c r="G114" t="s">
        <v>4983</v>
      </c>
      <c r="H114" s="3" t="s">
        <v>4984</v>
      </c>
      <c r="I114" s="3" t="s">
        <v>229</v>
      </c>
      <c r="J114" s="124">
        <v>27968.994399644635</v>
      </c>
      <c r="K114" s="124">
        <f t="shared" si="97"/>
        <v>27922.714399644636</v>
      </c>
      <c r="L114" s="6">
        <f t="shared" si="96"/>
        <v>0</v>
      </c>
      <c r="M114" s="124">
        <f t="shared" si="112"/>
        <v>27968.994399644635</v>
      </c>
      <c r="N114" s="9">
        <v>0</v>
      </c>
      <c r="O114" s="9">
        <v>0</v>
      </c>
      <c r="P114" s="9">
        <v>0</v>
      </c>
      <c r="Q114" s="9">
        <v>0</v>
      </c>
      <c r="R114" s="9">
        <v>0</v>
      </c>
      <c r="S114" s="9">
        <v>0</v>
      </c>
      <c r="T114" s="9">
        <v>0</v>
      </c>
      <c r="U114" s="9">
        <v>0</v>
      </c>
      <c r="V114" s="9">
        <v>0</v>
      </c>
      <c r="W114" s="9">
        <v>46.28</v>
      </c>
      <c r="X114" s="10">
        <v>171.21174767291706</v>
      </c>
      <c r="Y114" s="9">
        <v>379.1811021992595</v>
      </c>
      <c r="Z114" s="9">
        <v>587.96398439188363</v>
      </c>
      <c r="AA114" s="9">
        <v>723.73894662649002</v>
      </c>
      <c r="AB114" s="9">
        <v>587.96398439188363</v>
      </c>
      <c r="AC114" s="9">
        <v>703.11832431871073</v>
      </c>
      <c r="AD114" s="9">
        <v>1490.7990148370636</v>
      </c>
      <c r="AE114" s="9">
        <v>998.24027183318628</v>
      </c>
      <c r="AF114" s="9">
        <v>926.0458795414504</v>
      </c>
      <c r="AG114" s="9">
        <v>1327.4467006835025</v>
      </c>
      <c r="AH114" s="9">
        <v>1668.2042323004962</v>
      </c>
      <c r="AI114" s="9">
        <v>1596.0098400087602</v>
      </c>
      <c r="AJ114" s="9">
        <v>1596.0098400087602</v>
      </c>
      <c r="AK114" s="9">
        <v>1443.60198973196</v>
      </c>
      <c r="AL114" s="9">
        <v>1112.2297291128921</v>
      </c>
      <c r="AM114" s="9">
        <v>912.97320638770077</v>
      </c>
      <c r="AN114" s="9">
        <v>748.32048723640003</v>
      </c>
      <c r="AO114" s="9">
        <v>766.83255474357463</v>
      </c>
      <c r="AP114" s="9">
        <v>1110.5768715045235</v>
      </c>
      <c r="AQ114" s="9">
        <v>1182.7712637962595</v>
      </c>
      <c r="AR114" s="9">
        <v>1182.7712637962595</v>
      </c>
      <c r="AS114" s="9">
        <v>1182.7712637962595</v>
      </c>
      <c r="AT114" s="9">
        <v>1110.5768715045235</v>
      </c>
      <c r="AU114" s="9">
        <v>1038.3824792127878</v>
      </c>
      <c r="AV114" s="9">
        <v>1038.3824792127878</v>
      </c>
      <c r="AW114" s="9">
        <v>543.09984893842602</v>
      </c>
      <c r="AX114" s="9">
        <v>625.1951864587428</v>
      </c>
      <c r="AY114" s="9">
        <v>625.1951864587428</v>
      </c>
      <c r="AZ114" s="9">
        <v>543.09984893842602</v>
      </c>
      <c r="BA114" s="9">
        <v>0</v>
      </c>
      <c r="BB114" s="9">
        <v>0</v>
      </c>
      <c r="BC114" s="9">
        <v>0</v>
      </c>
      <c r="BD114" s="9">
        <v>0</v>
      </c>
      <c r="BE114" s="9">
        <v>0</v>
      </c>
      <c r="BF114" s="9">
        <v>0</v>
      </c>
      <c r="BG114" s="9">
        <v>0</v>
      </c>
      <c r="BH114" s="9">
        <v>0</v>
      </c>
      <c r="BI114" s="9">
        <v>0</v>
      </c>
      <c r="BJ114" s="9">
        <v>0</v>
      </c>
      <c r="BK114" s="9">
        <v>0</v>
      </c>
      <c r="BL114" s="9">
        <v>0</v>
      </c>
      <c r="BM114" s="9">
        <v>0</v>
      </c>
      <c r="BN114" s="9">
        <v>0</v>
      </c>
      <c r="BO114" s="9">
        <v>0</v>
      </c>
      <c r="BP114" s="9">
        <v>0</v>
      </c>
      <c r="BQ114" s="9">
        <v>0</v>
      </c>
      <c r="BR114" s="9">
        <v>0</v>
      </c>
      <c r="BS114" s="9">
        <v>0</v>
      </c>
      <c r="BT114" s="9">
        <v>0</v>
      </c>
      <c r="BU114" s="9">
        <v>0</v>
      </c>
      <c r="BV114" s="9">
        <v>0</v>
      </c>
      <c r="BW114" s="9">
        <v>0</v>
      </c>
      <c r="BX114" s="9">
        <v>0</v>
      </c>
    </row>
    <row r="115" spans="1:76">
      <c r="A115" s="3" t="s">
        <v>66</v>
      </c>
      <c r="B115" t="s">
        <v>14</v>
      </c>
      <c r="C115" t="str">
        <f>+_xlfn.XLOOKUP(B115,'L4'!B:B,'L4'!C:C)</f>
        <v>ZEMIN ÇIVISI VE YERINE YERLEŞTIRILMESI</v>
      </c>
      <c r="D115" t="s">
        <v>4967</v>
      </c>
      <c r="E115" t="str">
        <f>+_xlfn.XLOOKUP(D115,'M2'!H:H,'M2'!I:I)</f>
        <v>PROJE GENELİ</v>
      </c>
      <c r="F115" s="91" t="s">
        <v>4973</v>
      </c>
      <c r="G115" t="s">
        <v>4983</v>
      </c>
      <c r="H115" s="3" t="s">
        <v>4984</v>
      </c>
      <c r="I115" s="3" t="s">
        <v>234</v>
      </c>
      <c r="J115" s="124">
        <v>234208.84130219783</v>
      </c>
      <c r="K115" s="124">
        <f t="shared" si="97"/>
        <v>228582.84130219783</v>
      </c>
      <c r="L115" s="6">
        <f t="shared" si="96"/>
        <v>0</v>
      </c>
      <c r="M115" s="124">
        <f t="shared" si="112"/>
        <v>234208.84130219783</v>
      </c>
      <c r="N115" s="9">
        <v>0</v>
      </c>
      <c r="O115" s="9">
        <v>0</v>
      </c>
      <c r="P115" s="9">
        <v>0</v>
      </c>
      <c r="Q115" s="9">
        <v>0</v>
      </c>
      <c r="R115" s="9">
        <v>0</v>
      </c>
      <c r="S115" s="9">
        <v>0</v>
      </c>
      <c r="T115" s="9">
        <v>0</v>
      </c>
      <c r="U115" s="9">
        <v>1179</v>
      </c>
      <c r="V115" s="9">
        <v>2327</v>
      </c>
      <c r="W115" s="9">
        <v>2120</v>
      </c>
      <c r="X115" s="10">
        <v>10841.693271551791</v>
      </c>
      <c r="Y115" s="9">
        <v>10181.722749963636</v>
      </c>
      <c r="Z115" s="9">
        <v>23904.628823050847</v>
      </c>
      <c r="AA115" s="9">
        <v>14917.978601082443</v>
      </c>
      <c r="AB115" s="9">
        <v>14711.508246907901</v>
      </c>
      <c r="AC115" s="9">
        <v>6944.0280466078175</v>
      </c>
      <c r="AD115" s="9">
        <v>15405.963152229666</v>
      </c>
      <c r="AE115" s="9">
        <v>36883.363106544726</v>
      </c>
      <c r="AF115" s="9">
        <v>27831.93302181859</v>
      </c>
      <c r="AG115" s="9">
        <v>22555.53771484505</v>
      </c>
      <c r="AH115" s="9">
        <v>22555.53771484505</v>
      </c>
      <c r="AI115" s="9">
        <v>1649.1571820353406</v>
      </c>
      <c r="AJ115" s="9">
        <v>1649.1571820353406</v>
      </c>
      <c r="AK115" s="9">
        <v>1745.8938978923629</v>
      </c>
      <c r="AL115" s="9">
        <v>1745.8938978923629</v>
      </c>
      <c r="AM115" s="9">
        <v>1835.4280108034259</v>
      </c>
      <c r="AN115" s="9">
        <v>2200.0053660741523</v>
      </c>
      <c r="AO115" s="9">
        <v>2152.4108362141455</v>
      </c>
      <c r="AP115" s="9">
        <v>1127.862959355265</v>
      </c>
      <c r="AQ115" s="9">
        <v>832.46979303783394</v>
      </c>
      <c r="AR115" s="9">
        <v>832.46979303783394</v>
      </c>
      <c r="AS115" s="9">
        <v>832.46979303783394</v>
      </c>
      <c r="AT115" s="9">
        <v>1127.862959355265</v>
      </c>
      <c r="AU115" s="9">
        <v>1423.2561256726963</v>
      </c>
      <c r="AV115" s="9">
        <v>1423.2561256726963</v>
      </c>
      <c r="AW115" s="9">
        <v>1271.3529306338323</v>
      </c>
      <c r="AX115" s="9">
        <v>0</v>
      </c>
      <c r="AY115" s="9">
        <v>0</v>
      </c>
      <c r="AZ115" s="9">
        <v>0</v>
      </c>
      <c r="BA115" s="9">
        <v>0</v>
      </c>
      <c r="BB115" s="9">
        <v>0</v>
      </c>
      <c r="BC115" s="9">
        <v>0</v>
      </c>
      <c r="BD115" s="9">
        <v>0</v>
      </c>
      <c r="BE115" s="9">
        <v>0</v>
      </c>
      <c r="BF115" s="9">
        <v>0</v>
      </c>
      <c r="BG115" s="9">
        <v>0</v>
      </c>
      <c r="BH115" s="9">
        <v>0</v>
      </c>
      <c r="BI115" s="9">
        <v>0</v>
      </c>
      <c r="BJ115" s="9">
        <v>0</v>
      </c>
      <c r="BK115" s="9">
        <v>0</v>
      </c>
      <c r="BL115" s="9">
        <v>0</v>
      </c>
      <c r="BM115" s="9">
        <v>0</v>
      </c>
      <c r="BN115" s="9">
        <v>0</v>
      </c>
      <c r="BO115" s="9">
        <v>0</v>
      </c>
      <c r="BP115" s="9">
        <v>0</v>
      </c>
      <c r="BQ115" s="9">
        <v>0</v>
      </c>
      <c r="BR115" s="9">
        <v>0</v>
      </c>
      <c r="BS115" s="9">
        <v>0</v>
      </c>
      <c r="BT115" s="9">
        <v>0</v>
      </c>
      <c r="BU115" s="9">
        <v>0</v>
      </c>
      <c r="BV115" s="9">
        <v>0</v>
      </c>
      <c r="BW115" s="9">
        <v>0</v>
      </c>
      <c r="BX115" s="9">
        <v>0</v>
      </c>
    </row>
    <row r="116" spans="1:76">
      <c r="A116" s="3" t="s">
        <v>66</v>
      </c>
      <c r="B116" t="s">
        <v>15</v>
      </c>
      <c r="C116" t="str">
        <f>+_xlfn.XLOOKUP(B116,'L4'!B:B,'L4'!C:C)</f>
        <v>BARBAKAN DELIĞI - GEOTEKSTIL SARIMLI</v>
      </c>
      <c r="D116" t="s">
        <v>4967</v>
      </c>
      <c r="E116" t="str">
        <f>+_xlfn.XLOOKUP(D116,'M2'!H:H,'M2'!I:I)</f>
        <v>PROJE GENELİ</v>
      </c>
      <c r="F116" s="91" t="s">
        <v>4973</v>
      </c>
      <c r="G116" t="s">
        <v>4983</v>
      </c>
      <c r="H116" s="3" t="s">
        <v>4984</v>
      </c>
      <c r="I116" s="3" t="s">
        <v>239</v>
      </c>
      <c r="J116" s="124">
        <v>139810.76978177991</v>
      </c>
      <c r="K116" s="124">
        <f t="shared" si="97"/>
        <v>133476.62678177989</v>
      </c>
      <c r="L116" s="6">
        <f t="shared" si="96"/>
        <v>0</v>
      </c>
      <c r="M116" s="124">
        <f t="shared" si="112"/>
        <v>139810.76978177991</v>
      </c>
      <c r="N116" s="9">
        <v>0</v>
      </c>
      <c r="O116" s="9">
        <v>0</v>
      </c>
      <c r="P116" s="9">
        <v>691.14076630002137</v>
      </c>
      <c r="Q116" s="9">
        <v>5641.0022336999782</v>
      </c>
      <c r="R116" s="9">
        <v>0</v>
      </c>
      <c r="S116" s="9">
        <v>0</v>
      </c>
      <c r="T116" s="9">
        <v>0</v>
      </c>
      <c r="U116" s="9">
        <v>2</v>
      </c>
      <c r="V116" s="9">
        <v>0</v>
      </c>
      <c r="W116" s="9">
        <v>0</v>
      </c>
      <c r="X116" s="10">
        <v>4970.0184703015339</v>
      </c>
      <c r="Y116" s="9">
        <v>4767.0916570123609</v>
      </c>
      <c r="Z116" s="9">
        <v>8670.5344171278484</v>
      </c>
      <c r="AA116" s="9">
        <v>6109.5997405730941</v>
      </c>
      <c r="AB116" s="9">
        <v>6059.6254774632862</v>
      </c>
      <c r="AC116" s="9">
        <v>4801.6779914984936</v>
      </c>
      <c r="AD116" s="9">
        <v>7173.3894178774372</v>
      </c>
      <c r="AE116" s="9">
        <v>13275.597702460731</v>
      </c>
      <c r="AF116" s="9">
        <v>10713.621882245014</v>
      </c>
      <c r="AG116" s="9">
        <v>9210.8231557029649</v>
      </c>
      <c r="AH116" s="9">
        <v>9210.8231557029649</v>
      </c>
      <c r="AI116" s="9">
        <v>3284.1911245157553</v>
      </c>
      <c r="AJ116" s="9">
        <v>3284.1911245157553</v>
      </c>
      <c r="AK116" s="9">
        <v>3313.93559466222</v>
      </c>
      <c r="AL116" s="9">
        <v>3313.93559466222</v>
      </c>
      <c r="AM116" s="9">
        <v>3341.4654185246454</v>
      </c>
      <c r="AN116" s="9">
        <v>3453.5651540165454</v>
      </c>
      <c r="AO116" s="9">
        <v>3438.9308545159465</v>
      </c>
      <c r="AP116" s="9">
        <v>3123.9043057348736</v>
      </c>
      <c r="AQ116" s="9">
        <v>3033.0772279375988</v>
      </c>
      <c r="AR116" s="9">
        <v>3033.0772279375988</v>
      </c>
      <c r="AS116" s="9">
        <v>3033.0772279375988</v>
      </c>
      <c r="AT116" s="9">
        <v>3123.9043057348736</v>
      </c>
      <c r="AU116" s="9">
        <v>3214.7313835321479</v>
      </c>
      <c r="AV116" s="9">
        <v>3214.7313835321479</v>
      </c>
      <c r="AW116" s="9">
        <v>3307.1057860542496</v>
      </c>
      <c r="AX116" s="9">
        <v>0</v>
      </c>
      <c r="AY116" s="9">
        <v>0</v>
      </c>
      <c r="AZ116" s="9">
        <v>0</v>
      </c>
      <c r="BA116" s="9">
        <v>0</v>
      </c>
      <c r="BB116" s="9">
        <v>0</v>
      </c>
      <c r="BC116" s="9">
        <v>0</v>
      </c>
      <c r="BD116" s="9">
        <v>0</v>
      </c>
      <c r="BE116" s="9">
        <v>0</v>
      </c>
      <c r="BF116" s="9">
        <v>0</v>
      </c>
      <c r="BG116" s="9">
        <v>0</v>
      </c>
      <c r="BH116" s="9">
        <v>0</v>
      </c>
      <c r="BI116" s="9">
        <v>0</v>
      </c>
      <c r="BJ116" s="9">
        <v>0</v>
      </c>
      <c r="BK116" s="9">
        <v>0</v>
      </c>
      <c r="BL116" s="9">
        <v>0</v>
      </c>
      <c r="BM116" s="9">
        <v>0</v>
      </c>
      <c r="BN116" s="9">
        <v>0</v>
      </c>
      <c r="BO116" s="9">
        <v>0</v>
      </c>
      <c r="BP116" s="9">
        <v>0</v>
      </c>
      <c r="BQ116" s="9">
        <v>0</v>
      </c>
      <c r="BR116" s="9">
        <v>0</v>
      </c>
      <c r="BS116" s="9">
        <v>0</v>
      </c>
      <c r="BT116" s="9">
        <v>0</v>
      </c>
      <c r="BU116" s="9">
        <v>0</v>
      </c>
      <c r="BV116" s="9">
        <v>0</v>
      </c>
      <c r="BW116" s="9">
        <v>0</v>
      </c>
      <c r="BX116" s="9">
        <v>0</v>
      </c>
    </row>
    <row r="117" spans="1:76">
      <c r="A117" s="3" t="s">
        <v>66</v>
      </c>
      <c r="B117" t="s">
        <v>2639</v>
      </c>
      <c r="C117" t="str">
        <f>+_xlfn.XLOOKUP(B117,'L4'!B:B,'L4'!C:C)</f>
        <v>KÖPRÜ TEMELI KAZILMASI</v>
      </c>
      <c r="D117" t="s">
        <v>4967</v>
      </c>
      <c r="E117" t="str">
        <f>+_xlfn.XLOOKUP(D117,'M2'!H:H,'M2'!I:I)</f>
        <v>PROJE GENELİ</v>
      </c>
      <c r="F117" s="91" t="s">
        <v>4973</v>
      </c>
      <c r="G117" t="s">
        <v>4983</v>
      </c>
      <c r="H117" s="3" t="s">
        <v>4984</v>
      </c>
      <c r="I117" s="3" t="s">
        <v>247</v>
      </c>
      <c r="J117" s="124">
        <v>186091.64492763163</v>
      </c>
      <c r="K117" s="124">
        <f t="shared" si="97"/>
        <v>186091.64492763163</v>
      </c>
      <c r="L117" s="6">
        <f t="shared" si="96"/>
        <v>0</v>
      </c>
      <c r="M117" s="124">
        <f t="shared" si="112"/>
        <v>186091.64492763163</v>
      </c>
      <c r="N117" s="9">
        <v>0</v>
      </c>
      <c r="O117" s="9">
        <v>0</v>
      </c>
      <c r="P117" s="9">
        <v>0</v>
      </c>
      <c r="Q117" s="9">
        <v>0</v>
      </c>
      <c r="R117" s="9">
        <v>0</v>
      </c>
      <c r="S117" s="9">
        <v>0</v>
      </c>
      <c r="T117" s="9">
        <v>0</v>
      </c>
      <c r="U117" s="9">
        <v>0</v>
      </c>
      <c r="V117" s="9">
        <v>0</v>
      </c>
      <c r="W117" s="9">
        <v>0</v>
      </c>
      <c r="X117" s="10">
        <v>1287.3420000000001</v>
      </c>
      <c r="Y117" s="9">
        <v>3557.1292105263155</v>
      </c>
      <c r="Z117" s="9">
        <v>10015.790796052632</v>
      </c>
      <c r="AA117" s="9">
        <v>9592.3230328947375</v>
      </c>
      <c r="AB117" s="9">
        <v>9592.3230328947375</v>
      </c>
      <c r="AC117" s="9">
        <v>8304.9810328947369</v>
      </c>
      <c r="AD117" s="9">
        <v>6458.6615855263153</v>
      </c>
      <c r="AE117" s="9">
        <v>6106.0665427631584</v>
      </c>
      <c r="AF117" s="9">
        <v>9711.367736184211</v>
      </c>
      <c r="AG117" s="9">
        <v>8938.5390684210524</v>
      </c>
      <c r="AH117" s="9">
        <v>9362.0068315789485</v>
      </c>
      <c r="AI117" s="9">
        <v>9898.3993315789467</v>
      </c>
      <c r="AJ117" s="9">
        <v>7750.057884210526</v>
      </c>
      <c r="AK117" s="9">
        <v>4456.6596052631585</v>
      </c>
      <c r="AL117" s="9">
        <v>3296.4096052631585</v>
      </c>
      <c r="AM117" s="9">
        <v>2136.159605263158</v>
      </c>
      <c r="AN117" s="9">
        <v>2136.159605263158</v>
      </c>
      <c r="AO117" s="9">
        <v>3674.7591447368418</v>
      </c>
      <c r="AP117" s="9">
        <v>3674.7591447368418</v>
      </c>
      <c r="AQ117" s="9">
        <v>6444.7879078947371</v>
      </c>
      <c r="AR117" s="9">
        <v>9638.2844342105273</v>
      </c>
      <c r="AS117" s="9">
        <v>9638.2844342105273</v>
      </c>
      <c r="AT117" s="9">
        <v>9638.2844342105273</v>
      </c>
      <c r="AU117" s="9">
        <v>9638.2844342105273</v>
      </c>
      <c r="AV117" s="9">
        <v>6444.7879078947371</v>
      </c>
      <c r="AW117" s="9">
        <v>3674.7591447368418</v>
      </c>
      <c r="AX117" s="9">
        <v>3674.7591447368418</v>
      </c>
      <c r="AY117" s="9">
        <v>3674.7591447368418</v>
      </c>
      <c r="AZ117" s="9">
        <v>3674.7591447368418</v>
      </c>
      <c r="BA117" s="9">
        <v>0</v>
      </c>
      <c r="BB117" s="9">
        <v>0</v>
      </c>
      <c r="BC117" s="9">
        <v>0</v>
      </c>
      <c r="BD117" s="9">
        <v>0</v>
      </c>
      <c r="BE117" s="9">
        <v>0</v>
      </c>
      <c r="BF117" s="9">
        <v>0</v>
      </c>
      <c r="BG117" s="9">
        <v>0</v>
      </c>
      <c r="BH117" s="9">
        <v>0</v>
      </c>
      <c r="BI117" s="9">
        <v>0</v>
      </c>
      <c r="BJ117" s="9">
        <v>0</v>
      </c>
      <c r="BK117" s="9">
        <v>0</v>
      </c>
      <c r="BL117" s="9">
        <v>0</v>
      </c>
      <c r="BM117" s="9">
        <v>0</v>
      </c>
      <c r="BN117" s="9">
        <v>0</v>
      </c>
      <c r="BO117" s="9">
        <v>0</v>
      </c>
      <c r="BP117" s="9">
        <v>0</v>
      </c>
      <c r="BQ117" s="9">
        <v>0</v>
      </c>
      <c r="BR117" s="9">
        <v>0</v>
      </c>
      <c r="BS117" s="9">
        <v>0</v>
      </c>
      <c r="BT117" s="9">
        <v>0</v>
      </c>
      <c r="BU117" s="9">
        <v>0</v>
      </c>
      <c r="BV117" s="9">
        <v>0</v>
      </c>
      <c r="BW117" s="9">
        <v>0</v>
      </c>
      <c r="BX117" s="9">
        <v>0</v>
      </c>
    </row>
    <row r="118" spans="1:76">
      <c r="A118" s="3" t="s">
        <v>66</v>
      </c>
      <c r="B118" t="s">
        <v>2640</v>
      </c>
      <c r="C118" t="str">
        <f>+_xlfn.XLOOKUP(B118,'L4'!B:B,'L4'!C:C)</f>
        <v>DÖKME KAZIK - Ø 120 CM. - KÖPRÜ</v>
      </c>
      <c r="D118" t="s">
        <v>4967</v>
      </c>
      <c r="E118" t="str">
        <f>+_xlfn.XLOOKUP(D118,'M2'!H:H,'M2'!I:I)</f>
        <v>PROJE GENELİ</v>
      </c>
      <c r="F118" s="91" t="s">
        <v>4973</v>
      </c>
      <c r="G118" t="s">
        <v>4983</v>
      </c>
      <c r="H118" s="3" t="s">
        <v>4984</v>
      </c>
      <c r="I118" s="3" t="s">
        <v>251</v>
      </c>
      <c r="J118" s="124">
        <v>11312.522807017551</v>
      </c>
      <c r="K118" s="124">
        <f t="shared" si="97"/>
        <v>11312.522807017551</v>
      </c>
      <c r="L118" s="6">
        <f t="shared" si="96"/>
        <v>0</v>
      </c>
      <c r="M118" s="124">
        <f t="shared" si="112"/>
        <v>11312.522807017551</v>
      </c>
      <c r="N118" s="9">
        <v>0</v>
      </c>
      <c r="O118" s="9">
        <v>0</v>
      </c>
      <c r="P118" s="9">
        <v>0</v>
      </c>
      <c r="Q118" s="9">
        <v>0</v>
      </c>
      <c r="R118" s="9">
        <v>0</v>
      </c>
      <c r="S118" s="9">
        <v>0</v>
      </c>
      <c r="T118" s="9">
        <v>0</v>
      </c>
      <c r="U118" s="9">
        <v>0</v>
      </c>
      <c r="V118" s="9">
        <v>0</v>
      </c>
      <c r="W118" s="9">
        <v>0</v>
      </c>
      <c r="X118" s="10">
        <v>118.4</v>
      </c>
      <c r="Y118" s="9">
        <v>327.15789473684208</v>
      </c>
      <c r="Z118" s="9">
        <v>704.47134502923973</v>
      </c>
      <c r="AA118" s="9">
        <v>665.52397660818713</v>
      </c>
      <c r="AB118" s="9">
        <v>665.52397660818713</v>
      </c>
      <c r="AC118" s="9">
        <v>547.12397660818715</v>
      </c>
      <c r="AD118" s="9">
        <v>377.31345029239765</v>
      </c>
      <c r="AE118" s="9">
        <v>348.16783625730994</v>
      </c>
      <c r="AF118" s="9">
        <v>466.33415204678363</v>
      </c>
      <c r="AG118" s="9">
        <v>395.25520467836259</v>
      </c>
      <c r="AH118" s="9">
        <v>434.20257309941519</v>
      </c>
      <c r="AI118" s="9">
        <v>483.53590643274856</v>
      </c>
      <c r="AJ118" s="9">
        <v>392.65871345029245</v>
      </c>
      <c r="AK118" s="9">
        <v>196.46783625730995</v>
      </c>
      <c r="AL118" s="9">
        <v>196.46783625730995</v>
      </c>
      <c r="AM118" s="9">
        <v>196.46783625730995</v>
      </c>
      <c r="AN118" s="9">
        <v>196.46783625730995</v>
      </c>
      <c r="AO118" s="9">
        <v>337.9766081871345</v>
      </c>
      <c r="AP118" s="9">
        <v>337.9766081871345</v>
      </c>
      <c r="AQ118" s="9">
        <v>376.9239766081871</v>
      </c>
      <c r="AR118" s="9">
        <v>454.81871345029236</v>
      </c>
      <c r="AS118" s="9">
        <v>454.81871345029242</v>
      </c>
      <c r="AT118" s="9">
        <v>454.81871345029236</v>
      </c>
      <c r="AU118" s="9">
        <v>454.81871345029242</v>
      </c>
      <c r="AV118" s="9">
        <v>376.9239766081871</v>
      </c>
      <c r="AW118" s="9">
        <v>337.9766081871345</v>
      </c>
      <c r="AX118" s="9">
        <v>337.9766081871345</v>
      </c>
      <c r="AY118" s="9">
        <v>337.9766081871345</v>
      </c>
      <c r="AZ118" s="9">
        <v>337.9766081871345</v>
      </c>
      <c r="BA118" s="9">
        <v>0</v>
      </c>
      <c r="BB118" s="9">
        <v>0</v>
      </c>
      <c r="BC118" s="9">
        <v>0</v>
      </c>
      <c r="BD118" s="9">
        <v>0</v>
      </c>
      <c r="BE118" s="9">
        <v>0</v>
      </c>
      <c r="BF118" s="9">
        <v>0</v>
      </c>
      <c r="BG118" s="9">
        <v>0</v>
      </c>
      <c r="BH118" s="9">
        <v>0</v>
      </c>
      <c r="BI118" s="9">
        <v>0</v>
      </c>
      <c r="BJ118" s="9">
        <v>0</v>
      </c>
      <c r="BK118" s="9">
        <v>0</v>
      </c>
      <c r="BL118" s="9">
        <v>0</v>
      </c>
      <c r="BM118" s="9">
        <v>0</v>
      </c>
      <c r="BN118" s="9">
        <v>0</v>
      </c>
      <c r="BO118" s="9">
        <v>0</v>
      </c>
      <c r="BP118" s="9">
        <v>0</v>
      </c>
      <c r="BQ118" s="9">
        <v>0</v>
      </c>
      <c r="BR118" s="9">
        <v>0</v>
      </c>
      <c r="BS118" s="9">
        <v>0</v>
      </c>
      <c r="BT118" s="9">
        <v>0</v>
      </c>
      <c r="BU118" s="9">
        <v>0</v>
      </c>
      <c r="BV118" s="9">
        <v>0</v>
      </c>
      <c r="BW118" s="9">
        <v>0</v>
      </c>
      <c r="BX118" s="9">
        <v>0</v>
      </c>
    </row>
    <row r="119" spans="1:76">
      <c r="A119" s="3" t="s">
        <v>66</v>
      </c>
      <c r="B119" t="s">
        <v>2641</v>
      </c>
      <c r="C119" t="str">
        <f>+_xlfn.XLOOKUP(B119,'L4'!B:B,'L4'!C:C)</f>
        <v>BETON - DEMIRSIZ - TEMEL - KÖPRÜ</v>
      </c>
      <c r="D119" t="s">
        <v>4967</v>
      </c>
      <c r="E119" t="str">
        <f>+_xlfn.XLOOKUP(D119,'M2'!H:H,'M2'!I:I)</f>
        <v>PROJE GENELİ</v>
      </c>
      <c r="F119" s="91" t="s">
        <v>4973</v>
      </c>
      <c r="G119" t="s">
        <v>4983</v>
      </c>
      <c r="H119" s="3" t="s">
        <v>4984</v>
      </c>
      <c r="I119" s="3" t="s">
        <v>255</v>
      </c>
      <c r="J119" s="124">
        <v>9944.156353600687</v>
      </c>
      <c r="K119" s="124">
        <f t="shared" si="97"/>
        <v>9944.156353600687</v>
      </c>
      <c r="L119" s="6">
        <f t="shared" si="96"/>
        <v>0</v>
      </c>
      <c r="M119" s="124">
        <f t="shared" si="112"/>
        <v>9944.156353600687</v>
      </c>
      <c r="N119" s="9">
        <v>0</v>
      </c>
      <c r="O119" s="9">
        <v>0</v>
      </c>
      <c r="P119" s="9">
        <v>0</v>
      </c>
      <c r="Q119" s="9">
        <v>0</v>
      </c>
      <c r="R119" s="9">
        <v>0</v>
      </c>
      <c r="S119" s="9">
        <v>0</v>
      </c>
      <c r="T119" s="9">
        <v>0</v>
      </c>
      <c r="U119" s="9">
        <v>0</v>
      </c>
      <c r="V119" s="9">
        <v>0</v>
      </c>
      <c r="W119" s="9">
        <v>0</v>
      </c>
      <c r="X119" s="10">
        <v>58.399442631532267</v>
      </c>
      <c r="Y119" s="9">
        <v>161.3668809555497</v>
      </c>
      <c r="Z119" s="9">
        <v>510.46078969251244</v>
      </c>
      <c r="AA119" s="9">
        <v>491.25044672161363</v>
      </c>
      <c r="AB119" s="9">
        <v>491.25044672161363</v>
      </c>
      <c r="AC119" s="9">
        <v>432.85100409008135</v>
      </c>
      <c r="AD119" s="9">
        <v>349.0939087369627</v>
      </c>
      <c r="AE119" s="9">
        <v>332.24864791374017</v>
      </c>
      <c r="AF119" s="9">
        <v>551.05168265411362</v>
      </c>
      <c r="AG119" s="9">
        <v>515.99280673222336</v>
      </c>
      <c r="AH119" s="9">
        <v>535.20314970312211</v>
      </c>
      <c r="AI119" s="9">
        <v>559.53625079959386</v>
      </c>
      <c r="AJ119" s="9">
        <v>434.45269011749679</v>
      </c>
      <c r="AK119" s="9">
        <v>257.42436204208934</v>
      </c>
      <c r="AL119" s="9">
        <v>177.16493495875602</v>
      </c>
      <c r="AM119" s="9">
        <v>96.905507875422714</v>
      </c>
      <c r="AN119" s="9">
        <v>96.905507875422714</v>
      </c>
      <c r="AO119" s="9">
        <v>166.70308733635491</v>
      </c>
      <c r="AP119" s="9">
        <v>166.70308733635491</v>
      </c>
      <c r="AQ119" s="9">
        <v>348.23503468225368</v>
      </c>
      <c r="AR119" s="9">
        <v>548.97732499905123</v>
      </c>
      <c r="AS119" s="9">
        <v>548.97732499905123</v>
      </c>
      <c r="AT119" s="9">
        <v>548.97732499905123</v>
      </c>
      <c r="AU119" s="9">
        <v>548.97732499905123</v>
      </c>
      <c r="AV119" s="9">
        <v>348.23503468225368</v>
      </c>
      <c r="AW119" s="9">
        <v>166.70308733635491</v>
      </c>
      <c r="AX119" s="9">
        <v>166.70308733635491</v>
      </c>
      <c r="AY119" s="9">
        <v>166.70308733635491</v>
      </c>
      <c r="AZ119" s="9">
        <v>166.70308733635491</v>
      </c>
      <c r="BA119" s="9">
        <v>0</v>
      </c>
      <c r="BB119" s="9">
        <v>0</v>
      </c>
      <c r="BC119" s="9">
        <v>0</v>
      </c>
      <c r="BD119" s="9">
        <v>0</v>
      </c>
      <c r="BE119" s="9">
        <v>0</v>
      </c>
      <c r="BF119" s="9">
        <v>0</v>
      </c>
      <c r="BG119" s="9">
        <v>0</v>
      </c>
      <c r="BH119" s="9">
        <v>0</v>
      </c>
      <c r="BI119" s="9">
        <v>0</v>
      </c>
      <c r="BJ119" s="9">
        <v>0</v>
      </c>
      <c r="BK119" s="9">
        <v>0</v>
      </c>
      <c r="BL119" s="9">
        <v>0</v>
      </c>
      <c r="BM119" s="9">
        <v>0</v>
      </c>
      <c r="BN119" s="9">
        <v>0</v>
      </c>
      <c r="BO119" s="9">
        <v>0</v>
      </c>
      <c r="BP119" s="9">
        <v>0</v>
      </c>
      <c r="BQ119" s="9">
        <v>0</v>
      </c>
      <c r="BR119" s="9">
        <v>0</v>
      </c>
      <c r="BS119" s="9">
        <v>0</v>
      </c>
      <c r="BT119" s="9">
        <v>0</v>
      </c>
      <c r="BU119" s="9">
        <v>0</v>
      </c>
      <c r="BV119" s="9">
        <v>0</v>
      </c>
      <c r="BW119" s="9">
        <v>0</v>
      </c>
      <c r="BX119" s="9">
        <v>0</v>
      </c>
    </row>
    <row r="120" spans="1:76">
      <c r="A120" s="3" t="s">
        <v>66</v>
      </c>
      <c r="B120" t="s">
        <v>2642</v>
      </c>
      <c r="C120" t="str">
        <f>+_xlfn.XLOOKUP(B120,'L4'!B:B,'L4'!C:C)</f>
        <v>BETON - DEMIRLI - KÖPRÜ - C 30/37</v>
      </c>
      <c r="D120" t="s">
        <v>4967</v>
      </c>
      <c r="E120" t="str">
        <f>+_xlfn.XLOOKUP(D120,'M2'!H:H,'M2'!I:I)</f>
        <v>PROJE GENELİ</v>
      </c>
      <c r="F120" s="91" t="s">
        <v>4973</v>
      </c>
      <c r="G120" t="s">
        <v>4983</v>
      </c>
      <c r="H120" s="3" t="s">
        <v>4984</v>
      </c>
      <c r="I120" s="3" t="s">
        <v>260</v>
      </c>
      <c r="J120" s="124">
        <v>180285.98995270996</v>
      </c>
      <c r="K120" s="124">
        <f t="shared" si="97"/>
        <v>180285.98995270996</v>
      </c>
      <c r="L120" s="6">
        <f t="shared" si="96"/>
        <v>0</v>
      </c>
      <c r="M120" s="124">
        <f t="shared" si="112"/>
        <v>180285.98995270996</v>
      </c>
      <c r="N120" s="9">
        <v>0</v>
      </c>
      <c r="O120" s="9">
        <v>0</v>
      </c>
      <c r="P120" s="9">
        <v>0</v>
      </c>
      <c r="Q120" s="9">
        <v>0</v>
      </c>
      <c r="R120" s="9">
        <v>0</v>
      </c>
      <c r="S120" s="9">
        <v>0</v>
      </c>
      <c r="T120" s="9">
        <v>0</v>
      </c>
      <c r="U120" s="9">
        <v>0</v>
      </c>
      <c r="V120" s="9">
        <v>0</v>
      </c>
      <c r="W120" s="9">
        <v>0</v>
      </c>
      <c r="X120" s="10">
        <v>1243.6286795000001</v>
      </c>
      <c r="Y120" s="9">
        <v>3436.3424038815788</v>
      </c>
      <c r="Z120" s="9">
        <v>9694.8620344957981</v>
      </c>
      <c r="AA120" s="9">
        <v>9285.7736530813236</v>
      </c>
      <c r="AB120" s="9">
        <v>9285.7736530813236</v>
      </c>
      <c r="AC120" s="9">
        <v>8042.1449735813239</v>
      </c>
      <c r="AD120" s="9">
        <v>6258.5196306142188</v>
      </c>
      <c r="AE120" s="9">
        <v>5917.6069418557199</v>
      </c>
      <c r="AF120" s="9">
        <v>9419.3651744005674</v>
      </c>
      <c r="AG120" s="9">
        <v>8672.7788783191518</v>
      </c>
      <c r="AH120" s="9">
        <v>9081.8672597336263</v>
      </c>
      <c r="AI120" s="9">
        <v>9600.0458761919599</v>
      </c>
      <c r="AJ120" s="9">
        <v>7515.2142778915186</v>
      </c>
      <c r="AK120" s="9">
        <v>4324.2076962463452</v>
      </c>
      <c r="AL120" s="9">
        <v>3193.9156545796786</v>
      </c>
      <c r="AM120" s="9">
        <v>2063.6236129130116</v>
      </c>
      <c r="AN120" s="9">
        <v>2063.6236129130116</v>
      </c>
      <c r="AO120" s="9">
        <v>3549.9780653855996</v>
      </c>
      <c r="AP120" s="9">
        <v>3549.9780653855996</v>
      </c>
      <c r="AQ120" s="9">
        <v>6245.0386283000735</v>
      </c>
      <c r="AR120" s="9">
        <v>9349.18757262902</v>
      </c>
      <c r="AS120" s="9">
        <v>9349.18757262902</v>
      </c>
      <c r="AT120" s="9">
        <v>9349.18757262902</v>
      </c>
      <c r="AU120" s="9">
        <v>9349.18757262902</v>
      </c>
      <c r="AV120" s="9">
        <v>6245.0386283000735</v>
      </c>
      <c r="AW120" s="9">
        <v>3549.9780653855996</v>
      </c>
      <c r="AX120" s="9">
        <v>3549.9780653855996</v>
      </c>
      <c r="AY120" s="9">
        <v>3549.9780653855996</v>
      </c>
      <c r="AZ120" s="9">
        <v>3549.9780653855996</v>
      </c>
      <c r="BA120" s="9">
        <v>0</v>
      </c>
      <c r="BB120" s="9">
        <v>0</v>
      </c>
      <c r="BC120" s="9">
        <v>0</v>
      </c>
      <c r="BD120" s="9">
        <v>0</v>
      </c>
      <c r="BE120" s="9">
        <v>0</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row>
    <row r="121" spans="1:76">
      <c r="A121" s="3" t="s">
        <v>66</v>
      </c>
      <c r="B121" t="s">
        <v>2643</v>
      </c>
      <c r="C121" t="str">
        <f>+_xlfn.XLOOKUP(B121,'L4'!B:B,'L4'!C:C)</f>
        <v>BETON - ÖNGERMELI KÖPRÜ KIRIŞLERINDE</v>
      </c>
      <c r="D121" t="s">
        <v>4967</v>
      </c>
      <c r="E121" t="str">
        <f>+_xlfn.XLOOKUP(D121,'M2'!H:H,'M2'!I:I)</f>
        <v>PROJE GENELİ</v>
      </c>
      <c r="F121" s="91" t="s">
        <v>4973</v>
      </c>
      <c r="G121" t="s">
        <v>4983</v>
      </c>
      <c r="H121" s="3" t="s">
        <v>4984</v>
      </c>
      <c r="I121" s="3" t="s">
        <v>264</v>
      </c>
      <c r="J121" s="124">
        <v>36251.841165707228</v>
      </c>
      <c r="K121" s="124">
        <f t="shared" si="97"/>
        <v>36251.841165707228</v>
      </c>
      <c r="L121" s="6">
        <f t="shared" si="96"/>
        <v>0</v>
      </c>
      <c r="M121" s="124">
        <f t="shared" si="112"/>
        <v>36251.841165707228</v>
      </c>
      <c r="N121" s="9">
        <v>0</v>
      </c>
      <c r="O121" s="9">
        <v>0</v>
      </c>
      <c r="P121" s="9">
        <v>0</v>
      </c>
      <c r="Q121" s="9">
        <v>0</v>
      </c>
      <c r="R121" s="9">
        <v>0</v>
      </c>
      <c r="S121" s="9">
        <v>0</v>
      </c>
      <c r="T121" s="9">
        <v>0</v>
      </c>
      <c r="U121" s="9">
        <v>0</v>
      </c>
      <c r="V121" s="9">
        <v>0</v>
      </c>
      <c r="W121" s="9">
        <v>0</v>
      </c>
      <c r="X121" s="10">
        <v>0</v>
      </c>
      <c r="Y121" s="9">
        <v>0</v>
      </c>
      <c r="Z121" s="9">
        <v>0</v>
      </c>
      <c r="AA121" s="9">
        <v>0</v>
      </c>
      <c r="AB121" s="9">
        <v>0</v>
      </c>
      <c r="AC121" s="9">
        <v>2365.9870730537277</v>
      </c>
      <c r="AD121" s="9">
        <v>2365.9870730537277</v>
      </c>
      <c r="AE121" s="9">
        <v>2768.278710594846</v>
      </c>
      <c r="AF121" s="9">
        <v>3344.2393153097587</v>
      </c>
      <c r="AG121" s="9">
        <v>2999.2920445449558</v>
      </c>
      <c r="AH121" s="9">
        <v>2036.5152764528509</v>
      </c>
      <c r="AI121" s="9">
        <v>1689.0802593201752</v>
      </c>
      <c r="AJ121" s="9">
        <v>1496.5808760964908</v>
      </c>
      <c r="AK121" s="9">
        <v>863.13148300438593</v>
      </c>
      <c r="AL121" s="9">
        <v>634.22605537280697</v>
      </c>
      <c r="AM121" s="9">
        <v>550.94480537280697</v>
      </c>
      <c r="AN121" s="9">
        <v>550.94480537280697</v>
      </c>
      <c r="AO121" s="9">
        <v>947.77068941885955</v>
      </c>
      <c r="AP121" s="9">
        <v>947.77068941885955</v>
      </c>
      <c r="AQ121" s="9">
        <v>1225.4219476425437</v>
      </c>
      <c r="AR121" s="9">
        <v>1612.2913390899121</v>
      </c>
      <c r="AS121" s="9">
        <v>1612.2913390899121</v>
      </c>
      <c r="AT121" s="9">
        <v>1612.2913390899121</v>
      </c>
      <c r="AU121" s="9">
        <v>1612.2913390899121</v>
      </c>
      <c r="AV121" s="9">
        <v>1225.4219476425437</v>
      </c>
      <c r="AW121" s="9">
        <v>947.77068941885955</v>
      </c>
      <c r="AX121" s="9">
        <v>947.77068941885955</v>
      </c>
      <c r="AY121" s="9">
        <v>947.77068941885955</v>
      </c>
      <c r="AZ121" s="9">
        <v>947.77068941885955</v>
      </c>
      <c r="BA121" s="9">
        <v>0</v>
      </c>
      <c r="BB121" s="9">
        <v>0</v>
      </c>
      <c r="BC121" s="9">
        <v>0</v>
      </c>
      <c r="BD121" s="9">
        <v>0</v>
      </c>
      <c r="BE121" s="9">
        <v>0</v>
      </c>
      <c r="BF121" s="9">
        <v>0</v>
      </c>
      <c r="BG121" s="9">
        <v>0</v>
      </c>
      <c r="BH121" s="9">
        <v>0</v>
      </c>
      <c r="BI121" s="9">
        <v>0</v>
      </c>
      <c r="BJ121" s="9">
        <v>0</v>
      </c>
      <c r="BK121" s="9">
        <v>0</v>
      </c>
      <c r="BL121" s="9">
        <v>0</v>
      </c>
      <c r="BM121" s="9">
        <v>0</v>
      </c>
      <c r="BN121" s="9">
        <v>0</v>
      </c>
      <c r="BO121" s="9">
        <v>0</v>
      </c>
      <c r="BP121" s="9">
        <v>0</v>
      </c>
      <c r="BQ121" s="9">
        <v>0</v>
      </c>
      <c r="BR121" s="9">
        <v>0</v>
      </c>
      <c r="BS121" s="9">
        <v>0</v>
      </c>
      <c r="BT121" s="9">
        <v>0</v>
      </c>
      <c r="BU121" s="9">
        <v>0</v>
      </c>
      <c r="BV121" s="9">
        <v>0</v>
      </c>
      <c r="BW121" s="9">
        <v>0</v>
      </c>
      <c r="BX121" s="9">
        <v>0</v>
      </c>
    </row>
    <row r="122" spans="1:76">
      <c r="A122" s="3" t="s">
        <v>66</v>
      </c>
      <c r="B122" t="s">
        <v>2644</v>
      </c>
      <c r="C122" t="str">
        <f>+_xlfn.XLOOKUP(B122,'L4'!B:B,'L4'!C:C)</f>
        <v>ÖNGERME ÇELIĞI TEMIN VE YERINE KOYMA</v>
      </c>
      <c r="D122" t="s">
        <v>4967</v>
      </c>
      <c r="E122" t="str">
        <f>+_xlfn.XLOOKUP(D122,'M2'!H:H,'M2'!I:I)</f>
        <v>PROJE GENELİ</v>
      </c>
      <c r="F122" s="91" t="s">
        <v>4973</v>
      </c>
      <c r="G122" t="s">
        <v>4983</v>
      </c>
      <c r="H122" s="3" t="s">
        <v>4984</v>
      </c>
      <c r="I122" s="3" t="s">
        <v>269</v>
      </c>
      <c r="J122" s="124">
        <v>1907.7750648759741</v>
      </c>
      <c r="K122" s="124">
        <f t="shared" si="97"/>
        <v>1907.7750648759741</v>
      </c>
      <c r="L122" s="6">
        <f t="shared" si="96"/>
        <v>0</v>
      </c>
      <c r="M122" s="124">
        <f t="shared" si="112"/>
        <v>1907.7750648759741</v>
      </c>
      <c r="N122" s="9">
        <v>0</v>
      </c>
      <c r="O122" s="9">
        <v>0</v>
      </c>
      <c r="P122" s="9">
        <v>0</v>
      </c>
      <c r="Q122" s="9">
        <v>0</v>
      </c>
      <c r="R122" s="9">
        <v>0</v>
      </c>
      <c r="S122" s="9">
        <v>0</v>
      </c>
      <c r="T122" s="9">
        <v>0</v>
      </c>
      <c r="U122" s="9">
        <v>0</v>
      </c>
      <c r="V122" s="9">
        <v>0</v>
      </c>
      <c r="W122" s="9">
        <v>0</v>
      </c>
      <c r="X122" s="10">
        <v>0</v>
      </c>
      <c r="Y122" s="9">
        <v>0</v>
      </c>
      <c r="Z122" s="9">
        <v>0</v>
      </c>
      <c r="AA122" s="9">
        <v>0</v>
      </c>
      <c r="AB122" s="9">
        <v>0</v>
      </c>
      <c r="AC122" s="9">
        <v>124.50934303096631</v>
      </c>
      <c r="AD122" s="9">
        <v>124.50934303096631</v>
      </c>
      <c r="AE122" s="9">
        <v>145.68216833292803</v>
      </c>
      <c r="AF122" s="9">
        <v>175.99405786405646</v>
      </c>
      <c r="AG122" s="9">
        <v>157.84173442655646</v>
      </c>
      <c r="AH122" s="9">
        <v>107.17419118725682</v>
      </c>
      <c r="AI122" s="9">
        <v>88.890953895590158</v>
      </c>
      <c r="AJ122" s="9">
        <v>78.759546713359285</v>
      </c>
      <c r="AK122" s="9">
        <v>45.423818531128418</v>
      </c>
      <c r="AL122" s="9">
        <v>33.376598848897544</v>
      </c>
      <c r="AM122" s="9">
        <v>28.992629166666674</v>
      </c>
      <c r="AN122" s="9">
        <v>28.992629166666674</v>
      </c>
      <c r="AO122" s="9">
        <v>49.874985416666675</v>
      </c>
      <c r="AP122" s="9">
        <v>49.874985416666675</v>
      </c>
      <c r="AQ122" s="9">
        <v>64.488832984760066</v>
      </c>
      <c r="AR122" s="9">
        <v>84.85011805285346</v>
      </c>
      <c r="AS122" s="9">
        <v>84.850118052853446</v>
      </c>
      <c r="AT122" s="9">
        <v>84.85011805285346</v>
      </c>
      <c r="AU122" s="9">
        <v>84.850118052853446</v>
      </c>
      <c r="AV122" s="9">
        <v>64.488832984760066</v>
      </c>
      <c r="AW122" s="9">
        <v>49.874985416666675</v>
      </c>
      <c r="AX122" s="9">
        <v>49.874985416666675</v>
      </c>
      <c r="AY122" s="9">
        <v>49.874985416666675</v>
      </c>
      <c r="AZ122" s="9">
        <v>49.874985416666675</v>
      </c>
      <c r="BA122" s="9">
        <v>0</v>
      </c>
      <c r="BB122" s="9">
        <v>0</v>
      </c>
      <c r="BC122" s="9">
        <v>0</v>
      </c>
      <c r="BD122" s="9">
        <v>0</v>
      </c>
      <c r="BE122" s="9">
        <v>0</v>
      </c>
      <c r="BF122" s="9">
        <v>0</v>
      </c>
      <c r="BG122" s="9">
        <v>0</v>
      </c>
      <c r="BH122" s="9">
        <v>0</v>
      </c>
      <c r="BI122" s="9">
        <v>0</v>
      </c>
      <c r="BJ122" s="9">
        <v>0</v>
      </c>
      <c r="BK122" s="9">
        <v>0</v>
      </c>
      <c r="BL122" s="9">
        <v>0</v>
      </c>
      <c r="BM122" s="9">
        <v>0</v>
      </c>
      <c r="BN122" s="9">
        <v>0</v>
      </c>
      <c r="BO122" s="9">
        <v>0</v>
      </c>
      <c r="BP122" s="9">
        <v>0</v>
      </c>
      <c r="BQ122" s="9">
        <v>0</v>
      </c>
      <c r="BR122" s="9">
        <v>0</v>
      </c>
      <c r="BS122" s="9">
        <v>0</v>
      </c>
      <c r="BT122" s="9">
        <v>0</v>
      </c>
      <c r="BU122" s="9">
        <v>0</v>
      </c>
      <c r="BV122" s="9">
        <v>0</v>
      </c>
      <c r="BW122" s="9">
        <v>0</v>
      </c>
      <c r="BX122" s="9">
        <v>0</v>
      </c>
    </row>
    <row r="123" spans="1:76">
      <c r="A123" s="3" t="s">
        <v>66</v>
      </c>
      <c r="B123" t="s">
        <v>2645</v>
      </c>
      <c r="C123" t="str">
        <f>+_xlfn.XLOOKUP(B123,'L4'!B:B,'L4'!C:C)</f>
        <v>KÖPRÜLERDE MEMBRAN ILE SU YALITIMI</v>
      </c>
      <c r="D123" t="s">
        <v>4967</v>
      </c>
      <c r="E123" t="str">
        <f>+_xlfn.XLOOKUP(D123,'M2'!H:H,'M2'!I:I)</f>
        <v>PROJE GENELİ</v>
      </c>
      <c r="F123" s="91" t="s">
        <v>4973</v>
      </c>
      <c r="G123" t="s">
        <v>4983</v>
      </c>
      <c r="H123" s="3" t="s">
        <v>4984</v>
      </c>
      <c r="I123" s="3" t="s">
        <v>274</v>
      </c>
      <c r="J123" s="124">
        <v>106653.35499999997</v>
      </c>
      <c r="K123" s="124">
        <f t="shared" si="97"/>
        <v>106653.35499999997</v>
      </c>
      <c r="L123" s="6">
        <f t="shared" si="96"/>
        <v>0</v>
      </c>
      <c r="M123" s="124">
        <f t="shared" si="112"/>
        <v>106653.35499999997</v>
      </c>
      <c r="N123" s="9">
        <v>0</v>
      </c>
      <c r="O123" s="9">
        <v>0</v>
      </c>
      <c r="P123" s="9">
        <v>0</v>
      </c>
      <c r="Q123" s="9">
        <v>0</v>
      </c>
      <c r="R123" s="9">
        <v>0</v>
      </c>
      <c r="S123" s="9">
        <v>0</v>
      </c>
      <c r="T123" s="9">
        <v>0</v>
      </c>
      <c r="U123" s="9">
        <v>0</v>
      </c>
      <c r="V123" s="9">
        <v>0</v>
      </c>
      <c r="W123" s="9">
        <v>0</v>
      </c>
      <c r="X123" s="10">
        <v>0</v>
      </c>
      <c r="Y123" s="9">
        <v>0</v>
      </c>
      <c r="Z123" s="9">
        <v>1993.7809999999995</v>
      </c>
      <c r="AA123" s="9">
        <v>1993.7809999999995</v>
      </c>
      <c r="AB123" s="9">
        <v>1993.7809999999995</v>
      </c>
      <c r="AC123" s="9">
        <v>5041.1193333333331</v>
      </c>
      <c r="AD123" s="9">
        <v>6638.0568333333331</v>
      </c>
      <c r="AE123" s="9">
        <v>5632.8133333333335</v>
      </c>
      <c r="AF123" s="9">
        <v>6528.952666666667</v>
      </c>
      <c r="AG123" s="9">
        <v>7636.9651666666668</v>
      </c>
      <c r="AH123" s="9">
        <v>7844.931833333334</v>
      </c>
      <c r="AI123" s="9">
        <v>7362.9935000000005</v>
      </c>
      <c r="AJ123" s="9">
        <v>7047.3685000000014</v>
      </c>
      <c r="AK123" s="9">
        <v>5493.8374999999996</v>
      </c>
      <c r="AL123" s="9">
        <v>3530.7750000000001</v>
      </c>
      <c r="AM123" s="9">
        <v>2406.4</v>
      </c>
      <c r="AN123" s="9">
        <v>2267.2333333333331</v>
      </c>
      <c r="AO123" s="9">
        <v>2817.6833333333334</v>
      </c>
      <c r="AP123" s="9">
        <v>2817.6833333333334</v>
      </c>
      <c r="AQ123" s="9">
        <v>3301.1198333333332</v>
      </c>
      <c r="AR123" s="9">
        <v>3936.056333333333</v>
      </c>
      <c r="AS123" s="9">
        <v>3936.056333333333</v>
      </c>
      <c r="AT123" s="9">
        <v>3936.056333333333</v>
      </c>
      <c r="AU123" s="9">
        <v>3936.056333333333</v>
      </c>
      <c r="AV123" s="9">
        <v>3301.1198333333332</v>
      </c>
      <c r="AW123" s="9">
        <v>1314.6833333333332</v>
      </c>
      <c r="AX123" s="9">
        <v>1314.6833333333332</v>
      </c>
      <c r="AY123" s="9">
        <v>1314.6833333333332</v>
      </c>
      <c r="AZ123" s="9">
        <v>1314.6833333333332</v>
      </c>
      <c r="BA123" s="9">
        <v>0</v>
      </c>
      <c r="BB123" s="9">
        <v>0</v>
      </c>
      <c r="BC123" s="9">
        <v>0</v>
      </c>
      <c r="BD123" s="9">
        <v>0</v>
      </c>
      <c r="BE123" s="9">
        <v>0</v>
      </c>
      <c r="BF123" s="9">
        <v>0</v>
      </c>
      <c r="BG123" s="9">
        <v>0</v>
      </c>
      <c r="BH123" s="9">
        <v>0</v>
      </c>
      <c r="BI123" s="9">
        <v>0</v>
      </c>
      <c r="BJ123" s="9">
        <v>0</v>
      </c>
      <c r="BK123" s="9">
        <v>0</v>
      </c>
      <c r="BL123" s="9">
        <v>0</v>
      </c>
      <c r="BM123" s="9">
        <v>0</v>
      </c>
      <c r="BN123" s="9">
        <v>0</v>
      </c>
      <c r="BO123" s="9">
        <v>0</v>
      </c>
      <c r="BP123" s="9">
        <v>0</v>
      </c>
      <c r="BQ123" s="9">
        <v>0</v>
      </c>
      <c r="BR123" s="9">
        <v>0</v>
      </c>
      <c r="BS123" s="9">
        <v>0</v>
      </c>
      <c r="BT123" s="9">
        <v>0</v>
      </c>
      <c r="BU123" s="9">
        <v>0</v>
      </c>
      <c r="BV123" s="9">
        <v>0</v>
      </c>
      <c r="BW123" s="9">
        <v>0</v>
      </c>
      <c r="BX123" s="9">
        <v>0</v>
      </c>
    </row>
    <row r="124" spans="1:76">
      <c r="A124" s="3" t="s">
        <v>66</v>
      </c>
      <c r="B124" t="s">
        <v>2646</v>
      </c>
      <c r="C124" t="str">
        <f>+_xlfn.XLOOKUP(B124,'L4'!B:B,'L4'!C:C)</f>
        <v>KATRAN BADANA YAPILMASI</v>
      </c>
      <c r="D124" t="s">
        <v>4967</v>
      </c>
      <c r="E124" t="str">
        <f>+_xlfn.XLOOKUP(D124,'M2'!H:H,'M2'!I:I)</f>
        <v>PROJE GENELİ</v>
      </c>
      <c r="F124" s="91" t="s">
        <v>4973</v>
      </c>
      <c r="G124" t="s">
        <v>4983</v>
      </c>
      <c r="H124" s="3" t="s">
        <v>4984</v>
      </c>
      <c r="I124" s="3" t="s">
        <v>279</v>
      </c>
      <c r="J124" s="124">
        <v>279219.50206744956</v>
      </c>
      <c r="K124" s="124">
        <f t="shared" si="97"/>
        <v>278242.49206744955</v>
      </c>
      <c r="L124" s="6">
        <f t="shared" si="96"/>
        <v>0</v>
      </c>
      <c r="M124" s="124">
        <f t="shared" si="112"/>
        <v>279219.50206744956</v>
      </c>
      <c r="N124" s="9">
        <v>0</v>
      </c>
      <c r="O124" s="9">
        <v>0</v>
      </c>
      <c r="P124" s="9">
        <v>0</v>
      </c>
      <c r="Q124" s="9">
        <v>0</v>
      </c>
      <c r="R124" s="9">
        <v>0</v>
      </c>
      <c r="S124" s="9">
        <v>0</v>
      </c>
      <c r="T124" s="9">
        <v>0</v>
      </c>
      <c r="U124" s="9">
        <v>560.86</v>
      </c>
      <c r="V124" s="9">
        <v>0</v>
      </c>
      <c r="W124" s="9">
        <v>416.15</v>
      </c>
      <c r="X124" s="10">
        <v>5348.1606518847457</v>
      </c>
      <c r="Y124" s="9">
        <v>6893.8451153431424</v>
      </c>
      <c r="Z124" s="9">
        <v>9837.1159853391837</v>
      </c>
      <c r="AA124" s="9">
        <v>10148.516614485174</v>
      </c>
      <c r="AB124" s="9">
        <v>9689.2035804395746</v>
      </c>
      <c r="AC124" s="9">
        <v>14512.96649808584</v>
      </c>
      <c r="AD124" s="9">
        <v>13174.202850980639</v>
      </c>
      <c r="AE124" s="9">
        <v>10500.530678585088</v>
      </c>
      <c r="AF124" s="9">
        <v>12595.534319260818</v>
      </c>
      <c r="AG124" s="9">
        <v>12619.15511946991</v>
      </c>
      <c r="AH124" s="9">
        <v>12767.06752436952</v>
      </c>
      <c r="AI124" s="9">
        <v>12660.862298091479</v>
      </c>
      <c r="AJ124" s="9">
        <v>11345.834181645123</v>
      </c>
      <c r="AK124" s="9">
        <v>9284.2927478699403</v>
      </c>
      <c r="AL124" s="9">
        <v>8314.3935761893445</v>
      </c>
      <c r="AM124" s="9">
        <v>7344.4944045087468</v>
      </c>
      <c r="AN124" s="9">
        <v>6885.1813704631486</v>
      </c>
      <c r="AO124" s="9">
        <v>7593.1723218571924</v>
      </c>
      <c r="AP124" s="9">
        <v>8805.359329099274</v>
      </c>
      <c r="AQ124" s="9">
        <v>11208.416444059478</v>
      </c>
      <c r="AR124" s="9">
        <v>13465.825024768414</v>
      </c>
      <c r="AS124" s="9">
        <v>13465.825024768414</v>
      </c>
      <c r="AT124" s="9">
        <v>13172.264085617529</v>
      </c>
      <c r="AU124" s="9">
        <v>12878.703146466649</v>
      </c>
      <c r="AV124" s="9">
        <v>10621.294565757713</v>
      </c>
      <c r="AW124" s="9">
        <v>3120.8031164779095</v>
      </c>
      <c r="AX124" s="9">
        <v>3434.3341875438182</v>
      </c>
      <c r="AY124" s="9">
        <v>3434.3341875438182</v>
      </c>
      <c r="AZ124" s="9">
        <v>3120.8031164779095</v>
      </c>
      <c r="BA124" s="9">
        <v>0</v>
      </c>
      <c r="BB124" s="9">
        <v>0</v>
      </c>
      <c r="BC124" s="9">
        <v>0</v>
      </c>
      <c r="BD124" s="9">
        <v>0</v>
      </c>
      <c r="BE124" s="9">
        <v>0</v>
      </c>
      <c r="BF124" s="9">
        <v>0</v>
      </c>
      <c r="BG124" s="9">
        <v>0</v>
      </c>
      <c r="BH124" s="9">
        <v>0</v>
      </c>
      <c r="BI124" s="9">
        <v>0</v>
      </c>
      <c r="BJ124" s="9">
        <v>0</v>
      </c>
      <c r="BK124" s="9">
        <v>0</v>
      </c>
      <c r="BL124" s="9">
        <v>0</v>
      </c>
      <c r="BM124" s="9">
        <v>0</v>
      </c>
      <c r="BN124" s="9">
        <v>0</v>
      </c>
      <c r="BO124" s="9">
        <v>0</v>
      </c>
      <c r="BP124" s="9">
        <v>0</v>
      </c>
      <c r="BQ124" s="9">
        <v>0</v>
      </c>
      <c r="BR124" s="9">
        <v>0</v>
      </c>
      <c r="BS124" s="9">
        <v>0</v>
      </c>
      <c r="BT124" s="9">
        <v>0</v>
      </c>
      <c r="BU124" s="9">
        <v>0</v>
      </c>
      <c r="BV124" s="9">
        <v>0</v>
      </c>
      <c r="BW124" s="9">
        <v>0</v>
      </c>
      <c r="BX124" s="9">
        <v>0</v>
      </c>
    </row>
    <row r="125" spans="1:76">
      <c r="A125" s="3" t="s">
        <v>66</v>
      </c>
      <c r="B125" t="s">
        <v>2647</v>
      </c>
      <c r="C125" t="str">
        <f>+_xlfn.XLOOKUP(B125,'L4'!B:B,'L4'!C:C)</f>
        <v>KÖPRÜLERDE GENLEŞME DERZI ( MLZ. + İŞÇ. )</v>
      </c>
      <c r="D125" t="s">
        <v>4967</v>
      </c>
      <c r="E125" t="str">
        <f>+_xlfn.XLOOKUP(D125,'M2'!H:H,'M2'!I:I)</f>
        <v>PROJE GENELİ</v>
      </c>
      <c r="F125" s="91" t="s">
        <v>4973</v>
      </c>
      <c r="G125" t="s">
        <v>4983</v>
      </c>
      <c r="H125" s="3" t="s">
        <v>4984</v>
      </c>
      <c r="I125" s="3" t="s">
        <v>284</v>
      </c>
      <c r="J125" s="124">
        <v>2541.383157894737</v>
      </c>
      <c r="K125" s="124">
        <f t="shared" si="97"/>
        <v>2541.383157894737</v>
      </c>
      <c r="L125" s="6">
        <f t="shared" si="96"/>
        <v>0</v>
      </c>
      <c r="M125" s="124">
        <f t="shared" si="112"/>
        <v>2541.383157894737</v>
      </c>
      <c r="N125" s="9">
        <v>0</v>
      </c>
      <c r="O125" s="9">
        <v>0</v>
      </c>
      <c r="P125" s="9">
        <v>0</v>
      </c>
      <c r="Q125" s="9">
        <v>0</v>
      </c>
      <c r="R125" s="9">
        <v>0</v>
      </c>
      <c r="S125" s="9">
        <v>0</v>
      </c>
      <c r="T125" s="9">
        <v>0</v>
      </c>
      <c r="U125" s="9">
        <v>0</v>
      </c>
      <c r="V125" s="9">
        <v>0</v>
      </c>
      <c r="W125" s="9">
        <v>0</v>
      </c>
      <c r="X125" s="10">
        <v>0</v>
      </c>
      <c r="Y125" s="9">
        <v>0</v>
      </c>
      <c r="Z125" s="9">
        <v>0</v>
      </c>
      <c r="AA125" s="9">
        <v>0</v>
      </c>
      <c r="AB125" s="9">
        <v>0</v>
      </c>
      <c r="AC125" s="9">
        <v>153.43859649122805</v>
      </c>
      <c r="AD125" s="9">
        <v>153.43859649122805</v>
      </c>
      <c r="AE125" s="9">
        <v>193.07017543859649</v>
      </c>
      <c r="AF125" s="9">
        <v>242.74456140350878</v>
      </c>
      <c r="AG125" s="9">
        <v>222.79719298245615</v>
      </c>
      <c r="AH125" s="9">
        <v>150.50245614035089</v>
      </c>
      <c r="AI125" s="9">
        <v>130.41122807017541</v>
      </c>
      <c r="AJ125" s="9">
        <v>111.09543859649122</v>
      </c>
      <c r="AK125" s="9">
        <v>66.280701754385959</v>
      </c>
      <c r="AL125" s="9">
        <v>44.859649122807014</v>
      </c>
      <c r="AM125" s="9">
        <v>31.859649122807014</v>
      </c>
      <c r="AN125" s="9">
        <v>31.859649122807014</v>
      </c>
      <c r="AO125" s="9">
        <v>54.807017543859644</v>
      </c>
      <c r="AP125" s="9">
        <v>54.807017543859644</v>
      </c>
      <c r="AQ125" s="9">
        <v>87.414807017543865</v>
      </c>
      <c r="AR125" s="9">
        <v>126.33838596491228</v>
      </c>
      <c r="AS125" s="9">
        <v>126.33838596491228</v>
      </c>
      <c r="AT125" s="9">
        <v>126.33838596491228</v>
      </c>
      <c r="AU125" s="9">
        <v>126.33838596491228</v>
      </c>
      <c r="AV125" s="9">
        <v>87.414807017543865</v>
      </c>
      <c r="AW125" s="9">
        <v>54.807017543859644</v>
      </c>
      <c r="AX125" s="9">
        <v>54.807017543859644</v>
      </c>
      <c r="AY125" s="9">
        <v>54.807017543859644</v>
      </c>
      <c r="AZ125" s="9">
        <v>54.807017543859644</v>
      </c>
      <c r="BA125" s="9">
        <v>0</v>
      </c>
      <c r="BB125" s="9">
        <v>0</v>
      </c>
      <c r="BC125" s="9">
        <v>0</v>
      </c>
      <c r="BD125" s="9">
        <v>0</v>
      </c>
      <c r="BE125" s="9">
        <v>0</v>
      </c>
      <c r="BF125" s="9">
        <v>0</v>
      </c>
      <c r="BG125" s="9">
        <v>0</v>
      </c>
      <c r="BH125" s="9">
        <v>0</v>
      </c>
      <c r="BI125" s="9">
        <v>0</v>
      </c>
      <c r="BJ125" s="9">
        <v>0</v>
      </c>
      <c r="BK125" s="9">
        <v>0</v>
      </c>
      <c r="BL125" s="9">
        <v>0</v>
      </c>
      <c r="BM125" s="9">
        <v>0</v>
      </c>
      <c r="BN125" s="9">
        <v>0</v>
      </c>
      <c r="BO125" s="9">
        <v>0</v>
      </c>
      <c r="BP125" s="9">
        <v>0</v>
      </c>
      <c r="BQ125" s="9">
        <v>0</v>
      </c>
      <c r="BR125" s="9">
        <v>0</v>
      </c>
      <c r="BS125" s="9">
        <v>0</v>
      </c>
      <c r="BT125" s="9">
        <v>0</v>
      </c>
      <c r="BU125" s="9">
        <v>0</v>
      </c>
      <c r="BV125" s="9">
        <v>0</v>
      </c>
      <c r="BW125" s="9">
        <v>0</v>
      </c>
      <c r="BX125" s="9">
        <v>0</v>
      </c>
    </row>
    <row r="126" spans="1:76">
      <c r="A126" s="3" t="s">
        <v>66</v>
      </c>
      <c r="B126" t="s">
        <v>2648</v>
      </c>
      <c r="C126" t="str">
        <f>+_xlfn.XLOOKUP(B126,'L4'!B:B,'L4'!C:C)</f>
        <v>NEOPREN MESNET TEMINI VE MONTAJI</v>
      </c>
      <c r="D126" t="s">
        <v>4967</v>
      </c>
      <c r="E126" t="str">
        <f>+_xlfn.XLOOKUP(D126,'M2'!H:H,'M2'!I:I)</f>
        <v>PROJE GENELİ</v>
      </c>
      <c r="F126" s="91" t="s">
        <v>4973</v>
      </c>
      <c r="G126" t="s">
        <v>4983</v>
      </c>
      <c r="H126" s="3" t="s">
        <v>4984</v>
      </c>
      <c r="I126" s="3" t="s">
        <v>289</v>
      </c>
      <c r="J126" s="124">
        <v>32427.394736842107</v>
      </c>
      <c r="K126" s="124">
        <f t="shared" si="97"/>
        <v>32427.394736842107</v>
      </c>
      <c r="L126" s="6">
        <f t="shared" si="96"/>
        <v>0</v>
      </c>
      <c r="M126" s="124">
        <f t="shared" si="112"/>
        <v>32427.394736842107</v>
      </c>
      <c r="N126" s="9">
        <v>0</v>
      </c>
      <c r="O126" s="9">
        <v>0</v>
      </c>
      <c r="P126" s="9">
        <v>0</v>
      </c>
      <c r="Q126" s="9">
        <v>0</v>
      </c>
      <c r="R126" s="9">
        <v>0</v>
      </c>
      <c r="S126" s="9">
        <v>0</v>
      </c>
      <c r="T126" s="9">
        <v>0</v>
      </c>
      <c r="U126" s="9">
        <v>0</v>
      </c>
      <c r="V126" s="9">
        <v>0</v>
      </c>
      <c r="W126" s="9">
        <v>0</v>
      </c>
      <c r="X126" s="10">
        <v>0</v>
      </c>
      <c r="Y126" s="9">
        <v>0</v>
      </c>
      <c r="Z126" s="9">
        <v>0</v>
      </c>
      <c r="AA126" s="9">
        <v>0</v>
      </c>
      <c r="AB126" s="9">
        <v>0</v>
      </c>
      <c r="AC126" s="9">
        <v>2132.8578947368424</v>
      </c>
      <c r="AD126" s="9">
        <v>2132.8578947368424</v>
      </c>
      <c r="AE126" s="9">
        <v>2477.5552631578948</v>
      </c>
      <c r="AF126" s="9">
        <v>2980.4268421052634</v>
      </c>
      <c r="AG126" s="9">
        <v>2666.2557894736842</v>
      </c>
      <c r="AH126" s="9">
        <v>1811.4136842105263</v>
      </c>
      <c r="AI126" s="9">
        <v>1494.9768421052631</v>
      </c>
      <c r="AJ126" s="9">
        <v>1330.5031578947369</v>
      </c>
      <c r="AK126" s="9">
        <v>764.42105263157896</v>
      </c>
      <c r="AL126" s="9">
        <v>566.78947368421063</v>
      </c>
      <c r="AM126" s="9">
        <v>501.78947368421058</v>
      </c>
      <c r="AN126" s="9">
        <v>501.78947368421058</v>
      </c>
      <c r="AO126" s="9">
        <v>863.21052631578948</v>
      </c>
      <c r="AP126" s="9">
        <v>863.21052631578948</v>
      </c>
      <c r="AQ126" s="9">
        <v>1094.1442105263159</v>
      </c>
      <c r="AR126" s="9">
        <v>1424.5515789473686</v>
      </c>
      <c r="AS126" s="9">
        <v>1424.5515789473684</v>
      </c>
      <c r="AT126" s="9">
        <v>1424.5515789473686</v>
      </c>
      <c r="AU126" s="9">
        <v>1424.5515789473684</v>
      </c>
      <c r="AV126" s="9">
        <v>1094.1442105263159</v>
      </c>
      <c r="AW126" s="9">
        <v>863.21052631578948</v>
      </c>
      <c r="AX126" s="9">
        <v>863.21052631578948</v>
      </c>
      <c r="AY126" s="9">
        <v>863.21052631578948</v>
      </c>
      <c r="AZ126" s="9">
        <v>863.21052631578948</v>
      </c>
      <c r="BA126" s="9">
        <v>0</v>
      </c>
      <c r="BB126" s="9">
        <v>0</v>
      </c>
      <c r="BC126" s="9">
        <v>0</v>
      </c>
      <c r="BD126" s="9">
        <v>0</v>
      </c>
      <c r="BE126" s="9">
        <v>0</v>
      </c>
      <c r="BF126" s="9">
        <v>0</v>
      </c>
      <c r="BG126" s="9">
        <v>0</v>
      </c>
      <c r="BH126" s="9">
        <v>0</v>
      </c>
      <c r="BI126" s="9">
        <v>0</v>
      </c>
      <c r="BJ126" s="9">
        <v>0</v>
      </c>
      <c r="BK126" s="9">
        <v>0</v>
      </c>
      <c r="BL126" s="9">
        <v>0</v>
      </c>
      <c r="BM126" s="9">
        <v>0</v>
      </c>
      <c r="BN126" s="9">
        <v>0</v>
      </c>
      <c r="BO126" s="9">
        <v>0</v>
      </c>
      <c r="BP126" s="9">
        <v>0</v>
      </c>
      <c r="BQ126" s="9">
        <v>0</v>
      </c>
      <c r="BR126" s="9">
        <v>0</v>
      </c>
      <c r="BS126" s="9">
        <v>0</v>
      </c>
      <c r="BT126" s="9">
        <v>0</v>
      </c>
      <c r="BU126" s="9">
        <v>0</v>
      </c>
      <c r="BV126" s="9">
        <v>0</v>
      </c>
      <c r="BW126" s="9">
        <v>0</v>
      </c>
      <c r="BX126" s="9">
        <v>0</v>
      </c>
    </row>
    <row r="127" spans="1:76">
      <c r="A127" s="3" t="s">
        <v>66</v>
      </c>
      <c r="B127" t="s">
        <v>2649</v>
      </c>
      <c r="C127" t="str">
        <f>+_xlfn.XLOOKUP(B127,'L4'!B:B,'L4'!C:C)</f>
        <v>KÖPRÜ KORKULUK - PROFILDEN ( MLZ. + İŞÇ. )</v>
      </c>
      <c r="D127" t="s">
        <v>4967</v>
      </c>
      <c r="E127" t="str">
        <f>+_xlfn.XLOOKUP(D127,'M2'!H:H,'M2'!I:I)</f>
        <v>PROJE GENELİ</v>
      </c>
      <c r="F127" s="91" t="s">
        <v>4973</v>
      </c>
      <c r="G127" t="s">
        <v>4983</v>
      </c>
      <c r="H127" s="3" t="s">
        <v>4984</v>
      </c>
      <c r="I127" s="3" t="s">
        <v>294</v>
      </c>
      <c r="J127" s="124">
        <v>471.64499999999981</v>
      </c>
      <c r="K127" s="124">
        <f t="shared" si="97"/>
        <v>471.64499999999981</v>
      </c>
      <c r="L127" s="6">
        <f t="shared" si="96"/>
        <v>0</v>
      </c>
      <c r="M127" s="124">
        <f t="shared" si="112"/>
        <v>471.64499999999981</v>
      </c>
      <c r="N127" s="9">
        <v>0</v>
      </c>
      <c r="O127" s="9">
        <v>0</v>
      </c>
      <c r="P127" s="9">
        <v>0</v>
      </c>
      <c r="Q127" s="9">
        <v>0</v>
      </c>
      <c r="R127" s="9">
        <v>0</v>
      </c>
      <c r="S127" s="9">
        <v>0</v>
      </c>
      <c r="T127" s="9">
        <v>0</v>
      </c>
      <c r="U127" s="9">
        <v>0</v>
      </c>
      <c r="V127" s="9">
        <v>0</v>
      </c>
      <c r="W127" s="9">
        <v>0</v>
      </c>
      <c r="X127" s="10">
        <v>0</v>
      </c>
      <c r="Y127" s="9">
        <v>0</v>
      </c>
      <c r="Z127" s="9">
        <v>0</v>
      </c>
      <c r="AA127" s="9">
        <v>0</v>
      </c>
      <c r="AB127" s="9">
        <v>0</v>
      </c>
      <c r="AC127" s="9">
        <v>30.124499999999991</v>
      </c>
      <c r="AD127" s="9">
        <v>30.124499999999991</v>
      </c>
      <c r="AE127" s="9">
        <v>35.963249999999995</v>
      </c>
      <c r="AF127" s="9">
        <v>43.948649999999986</v>
      </c>
      <c r="AG127" s="9">
        <v>39.684899999999992</v>
      </c>
      <c r="AH127" s="9">
        <v>26.904899999999998</v>
      </c>
      <c r="AI127" s="9">
        <v>22.610400000000002</v>
      </c>
      <c r="AJ127" s="9">
        <v>19.797899999999998</v>
      </c>
      <c r="AK127" s="9">
        <v>11.535</v>
      </c>
      <c r="AL127" s="9">
        <v>8.2724999999999991</v>
      </c>
      <c r="AM127" s="9">
        <v>6.81</v>
      </c>
      <c r="AN127" s="9">
        <v>6.81</v>
      </c>
      <c r="AO127" s="9">
        <v>11.714999999999998</v>
      </c>
      <c r="AP127" s="9">
        <v>11.714999999999998</v>
      </c>
      <c r="AQ127" s="9">
        <v>16.022849999999998</v>
      </c>
      <c r="AR127" s="9">
        <v>21.680699999999998</v>
      </c>
      <c r="AS127" s="9">
        <v>21.680699999999998</v>
      </c>
      <c r="AT127" s="9">
        <v>21.680699999999998</v>
      </c>
      <c r="AU127" s="9">
        <v>21.680699999999998</v>
      </c>
      <c r="AV127" s="9">
        <v>16.022849999999998</v>
      </c>
      <c r="AW127" s="9">
        <v>11.714999999999998</v>
      </c>
      <c r="AX127" s="9">
        <v>11.714999999999998</v>
      </c>
      <c r="AY127" s="9">
        <v>11.714999999999998</v>
      </c>
      <c r="AZ127" s="9">
        <v>11.714999999999998</v>
      </c>
      <c r="BA127" s="9">
        <v>0</v>
      </c>
      <c r="BB127" s="9">
        <v>0</v>
      </c>
      <c r="BC127" s="9">
        <v>0</v>
      </c>
      <c r="BD127" s="9">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row>
    <row r="128" spans="1:76">
      <c r="A128" s="3" t="s">
        <v>66</v>
      </c>
      <c r="B128" t="s">
        <v>2650</v>
      </c>
      <c r="C128" t="str">
        <f>+_xlfn.XLOOKUP(B128,'L4'!B:B,'L4'!C:C)</f>
        <v>KÖPRÜLERDE PREKAST CEPHE PANELI (MLZ.+İŞÇ.)</v>
      </c>
      <c r="D128" t="s">
        <v>4967</v>
      </c>
      <c r="E128" t="str">
        <f>+_xlfn.XLOOKUP(D128,'M2'!H:H,'M2'!I:I)</f>
        <v>PROJE GENELİ</v>
      </c>
      <c r="F128" s="91" t="s">
        <v>4973</v>
      </c>
      <c r="G128" t="s">
        <v>4983</v>
      </c>
      <c r="H128" s="3" t="s">
        <v>4984</v>
      </c>
      <c r="I128" s="3" t="s">
        <v>299</v>
      </c>
      <c r="J128" s="124">
        <v>825.37875000000008</v>
      </c>
      <c r="K128" s="124">
        <f t="shared" si="97"/>
        <v>825.37875000000008</v>
      </c>
      <c r="L128" s="6">
        <f t="shared" si="96"/>
        <v>0</v>
      </c>
      <c r="M128" s="124">
        <f t="shared" si="112"/>
        <v>825.37875000000008</v>
      </c>
      <c r="N128" s="9">
        <v>0</v>
      </c>
      <c r="O128" s="9">
        <v>0</v>
      </c>
      <c r="P128" s="9">
        <v>0</v>
      </c>
      <c r="Q128" s="9">
        <v>0</v>
      </c>
      <c r="R128" s="9">
        <v>0</v>
      </c>
      <c r="S128" s="9">
        <v>0</v>
      </c>
      <c r="T128" s="9">
        <v>0</v>
      </c>
      <c r="U128" s="9">
        <v>0</v>
      </c>
      <c r="V128" s="9">
        <v>0</v>
      </c>
      <c r="W128" s="9">
        <v>0</v>
      </c>
      <c r="X128" s="10">
        <v>0</v>
      </c>
      <c r="Y128" s="9">
        <v>0</v>
      </c>
      <c r="Z128" s="9">
        <v>0</v>
      </c>
      <c r="AA128" s="9">
        <v>0</v>
      </c>
      <c r="AB128" s="9">
        <v>0</v>
      </c>
      <c r="AC128" s="9">
        <v>52.717874999999992</v>
      </c>
      <c r="AD128" s="9">
        <v>52.717874999999992</v>
      </c>
      <c r="AE128" s="9">
        <v>62.935687499999993</v>
      </c>
      <c r="AF128" s="9">
        <v>76.910137500000005</v>
      </c>
      <c r="AG128" s="9">
        <v>69.448574999999991</v>
      </c>
      <c r="AH128" s="9">
        <v>47.083574999999989</v>
      </c>
      <c r="AI128" s="9">
        <v>39.568199999999997</v>
      </c>
      <c r="AJ128" s="9">
        <v>34.646324999999997</v>
      </c>
      <c r="AK128" s="9">
        <v>20.186249999999998</v>
      </c>
      <c r="AL128" s="9">
        <v>14.476874999999994</v>
      </c>
      <c r="AM128" s="9">
        <v>11.917499999999997</v>
      </c>
      <c r="AN128" s="9">
        <v>11.917499999999997</v>
      </c>
      <c r="AO128" s="9">
        <v>20.501249999999995</v>
      </c>
      <c r="AP128" s="9">
        <v>20.501249999999995</v>
      </c>
      <c r="AQ128" s="9">
        <v>28.039987499999992</v>
      </c>
      <c r="AR128" s="9">
        <v>37.941224999999996</v>
      </c>
      <c r="AS128" s="9">
        <v>37.941224999999996</v>
      </c>
      <c r="AT128" s="9">
        <v>37.941224999999996</v>
      </c>
      <c r="AU128" s="9">
        <v>37.941224999999996</v>
      </c>
      <c r="AV128" s="9">
        <v>28.039987499999992</v>
      </c>
      <c r="AW128" s="9">
        <v>20.501249999999995</v>
      </c>
      <c r="AX128" s="9">
        <v>20.501249999999995</v>
      </c>
      <c r="AY128" s="9">
        <v>20.501249999999995</v>
      </c>
      <c r="AZ128" s="9">
        <v>20.501249999999995</v>
      </c>
      <c r="BA128" s="9">
        <v>0</v>
      </c>
      <c r="BB128" s="9">
        <v>0</v>
      </c>
      <c r="BC128" s="9">
        <v>0</v>
      </c>
      <c r="BD128" s="9">
        <v>0</v>
      </c>
      <c r="BE128" s="9">
        <v>0</v>
      </c>
      <c r="BF128" s="9">
        <v>0</v>
      </c>
      <c r="BG128" s="9">
        <v>0</v>
      </c>
      <c r="BH128" s="9">
        <v>0</v>
      </c>
      <c r="BI128" s="9">
        <v>0</v>
      </c>
      <c r="BJ128" s="9">
        <v>0</v>
      </c>
      <c r="BK128" s="9">
        <v>0</v>
      </c>
      <c r="BL128" s="9">
        <v>0</v>
      </c>
      <c r="BM128" s="9">
        <v>0</v>
      </c>
      <c r="BN128" s="9">
        <v>0</v>
      </c>
      <c r="BO128" s="9">
        <v>0</v>
      </c>
      <c r="BP128" s="9">
        <v>0</v>
      </c>
      <c r="BQ128" s="9">
        <v>0</v>
      </c>
      <c r="BR128" s="9">
        <v>0</v>
      </c>
      <c r="BS128" s="9">
        <v>0</v>
      </c>
      <c r="BT128" s="9">
        <v>0</v>
      </c>
      <c r="BU128" s="9">
        <v>0</v>
      </c>
      <c r="BV128" s="9">
        <v>0</v>
      </c>
      <c r="BW128" s="9">
        <v>0</v>
      </c>
      <c r="BX128" s="9">
        <v>0</v>
      </c>
    </row>
    <row r="129" spans="1:76">
      <c r="A129" s="3" t="s">
        <v>66</v>
      </c>
      <c r="B129" t="s">
        <v>16</v>
      </c>
      <c r="C129" t="str">
        <f>+_xlfn.XLOOKUP(B129,'L4'!B:B,'L4'!C:C)</f>
        <v>TÜNEL KAZISI YAPILMASI</v>
      </c>
      <c r="D129" t="s">
        <v>4967</v>
      </c>
      <c r="E129" t="str">
        <f>+_xlfn.XLOOKUP(D129,'M2'!H:H,'M2'!I:I)</f>
        <v>PROJE GENELİ</v>
      </c>
      <c r="F129" s="91" t="s">
        <v>4973</v>
      </c>
      <c r="G129" t="s">
        <v>4983</v>
      </c>
      <c r="H129" s="3" t="s">
        <v>4984</v>
      </c>
      <c r="I129" s="3" t="s">
        <v>307</v>
      </c>
      <c r="J129" s="124">
        <v>1500264.0682000006</v>
      </c>
      <c r="K129" s="124">
        <f>+M129-SUM(N129:W129)</f>
        <v>1478508.7272000005</v>
      </c>
      <c r="L129" s="6">
        <f t="shared" si="96"/>
        <v>0</v>
      </c>
      <c r="M129" s="124">
        <f t="shared" si="112"/>
        <v>1500264.0682000006</v>
      </c>
      <c r="N129" s="9">
        <v>0</v>
      </c>
      <c r="O129" s="9">
        <v>0</v>
      </c>
      <c r="P129" s="9">
        <v>4394.0691485833531</v>
      </c>
      <c r="Q129" s="9">
        <v>10785.229851416645</v>
      </c>
      <c r="R129" s="9">
        <v>0</v>
      </c>
      <c r="S129" s="9">
        <v>0</v>
      </c>
      <c r="T129" s="9">
        <v>0</v>
      </c>
      <c r="U129" s="9">
        <v>70.829698333334818</v>
      </c>
      <c r="V129" s="9">
        <v>6505.2123016666774</v>
      </c>
      <c r="W129" s="9">
        <v>0</v>
      </c>
      <c r="X129" s="10">
        <v>5271.0041972245572</v>
      </c>
      <c r="Y129" s="9">
        <v>14037.826435284876</v>
      </c>
      <c r="Z129" s="9">
        <v>16699.769351023137</v>
      </c>
      <c r="AA129" s="9">
        <v>20766.658863095105</v>
      </c>
      <c r="AB129" s="9">
        <v>39513.910964072384</v>
      </c>
      <c r="AC129" s="9">
        <v>27454.305680934969</v>
      </c>
      <c r="AD129" s="9">
        <v>27930.28185532623</v>
      </c>
      <c r="AE129" s="9">
        <v>27609.900907283409</v>
      </c>
      <c r="AF129" s="9">
        <v>28146.537838548331</v>
      </c>
      <c r="AG129" s="9">
        <v>36099.782855504607</v>
      </c>
      <c r="AH129" s="9">
        <v>43663.494778862972</v>
      </c>
      <c r="AI129" s="9">
        <v>49882.895147575749</v>
      </c>
      <c r="AJ129" s="9">
        <v>55680.161053757161</v>
      </c>
      <c r="AK129" s="9">
        <v>55680.161053757161</v>
      </c>
      <c r="AL129" s="9">
        <v>53362.712527631258</v>
      </c>
      <c r="AM129" s="9">
        <v>59136.414246570872</v>
      </c>
      <c r="AN129" s="9">
        <v>59136.414246570872</v>
      </c>
      <c r="AO129" s="9">
        <v>57621.473578825673</v>
      </c>
      <c r="AP129" s="9">
        <v>57783.250545958392</v>
      </c>
      <c r="AQ129" s="9">
        <v>56454.229621901002</v>
      </c>
      <c r="AR129" s="9">
        <v>55305.881896995968</v>
      </c>
      <c r="AS129" s="9">
        <v>70931.09792850136</v>
      </c>
      <c r="AT129" s="9">
        <v>73897.646399172983</v>
      </c>
      <c r="AU129" s="9">
        <v>70098.493935997962</v>
      </c>
      <c r="AV129" s="9">
        <v>70098.493935997962</v>
      </c>
      <c r="AW129" s="9">
        <v>69902.683917995702</v>
      </c>
      <c r="AX129" s="9">
        <v>67197.41630037599</v>
      </c>
      <c r="AY129" s="9">
        <v>66482.752180801966</v>
      </c>
      <c r="AZ129" s="9">
        <v>48666.68786080322</v>
      </c>
      <c r="BA129" s="9">
        <v>34577.739650772972</v>
      </c>
      <c r="BB129" s="9">
        <v>24120.529884412772</v>
      </c>
      <c r="BC129" s="9">
        <v>12725.501609059571</v>
      </c>
      <c r="BD129" s="9">
        <v>12725.501609059571</v>
      </c>
      <c r="BE129" s="9">
        <v>9847.1143403437145</v>
      </c>
      <c r="BF129" s="9">
        <v>0</v>
      </c>
      <c r="BG129" s="9">
        <v>0</v>
      </c>
      <c r="BH129" s="9">
        <v>0</v>
      </c>
      <c r="BI129" s="9">
        <v>0</v>
      </c>
      <c r="BJ129" s="9">
        <v>0</v>
      </c>
      <c r="BK129" s="9">
        <v>0</v>
      </c>
      <c r="BL129" s="9">
        <v>0</v>
      </c>
      <c r="BM129" s="9">
        <v>0</v>
      </c>
      <c r="BN129" s="9">
        <v>0</v>
      </c>
      <c r="BO129" s="9">
        <v>0</v>
      </c>
      <c r="BP129" s="9">
        <v>0</v>
      </c>
      <c r="BQ129" s="9">
        <v>0</v>
      </c>
      <c r="BR129" s="9">
        <v>0</v>
      </c>
      <c r="BS129" s="9">
        <v>0</v>
      </c>
      <c r="BT129" s="9">
        <v>0</v>
      </c>
      <c r="BU129" s="9">
        <v>0</v>
      </c>
      <c r="BV129" s="9">
        <v>0</v>
      </c>
      <c r="BW129" s="9">
        <v>0</v>
      </c>
      <c r="BX129" s="9">
        <v>0</v>
      </c>
    </row>
    <row r="130" spans="1:76">
      <c r="A130" s="3" t="s">
        <v>66</v>
      </c>
      <c r="B130" t="s">
        <v>17</v>
      </c>
      <c r="C130" t="str">
        <f>+_xlfn.XLOOKUP(B130,'L4'!B:B,'L4'!C:C)</f>
        <v>TÜNELLERDE ÇELIK İKSA YAPILMASI (MLZ.+İŞÇ.)</v>
      </c>
      <c r="D130" t="s">
        <v>4967</v>
      </c>
      <c r="E130" t="str">
        <f>+_xlfn.XLOOKUP(D130,'M2'!H:H,'M2'!I:I)</f>
        <v>PROJE GENELİ</v>
      </c>
      <c r="F130" s="91" t="s">
        <v>4973</v>
      </c>
      <c r="G130" t="s">
        <v>4983</v>
      </c>
      <c r="H130" s="3" t="s">
        <v>4984</v>
      </c>
      <c r="I130" s="3" t="s">
        <v>311</v>
      </c>
      <c r="J130" s="124">
        <v>27310.492999999991</v>
      </c>
      <c r="K130" s="124">
        <f t="shared" si="97"/>
        <v>27111.436967499991</v>
      </c>
      <c r="L130" s="6">
        <f t="shared" ref="L130:L149" si="113">+SUM(X130:BT130)-K130</f>
        <v>0</v>
      </c>
      <c r="M130" s="124">
        <f t="shared" si="112"/>
        <v>27310.492999999991</v>
      </c>
      <c r="N130" s="9">
        <v>0</v>
      </c>
      <c r="O130" s="9">
        <v>0</v>
      </c>
      <c r="P130" s="9">
        <v>35.462369054262766</v>
      </c>
      <c r="Q130" s="9">
        <v>87.042280945737232</v>
      </c>
      <c r="R130" s="9">
        <v>0</v>
      </c>
      <c r="S130" s="9">
        <v>0</v>
      </c>
      <c r="T130" s="9">
        <v>0</v>
      </c>
      <c r="U130" s="9">
        <v>8.5160705000000974</v>
      </c>
      <c r="V130" s="9">
        <v>68.035311999999976</v>
      </c>
      <c r="W130" s="9">
        <v>0</v>
      </c>
      <c r="X130" s="10">
        <v>160.11287022520145</v>
      </c>
      <c r="Y130" s="9">
        <v>99.682085243337013</v>
      </c>
      <c r="Z130" s="9">
        <v>150.13708832075969</v>
      </c>
      <c r="AA130" s="9">
        <v>276.91588095279485</v>
      </c>
      <c r="AB130" s="9">
        <v>694.31335892990387</v>
      </c>
      <c r="AC130" s="9">
        <v>604.81752410166916</v>
      </c>
      <c r="AD130" s="9">
        <v>623.84736273150645</v>
      </c>
      <c r="AE130" s="9">
        <v>611.4024162160265</v>
      </c>
      <c r="AF130" s="9">
        <v>625.51580027110583</v>
      </c>
      <c r="AG130" s="9">
        <v>790.68371581853523</v>
      </c>
      <c r="AH130" s="9">
        <v>922.51391548994854</v>
      </c>
      <c r="AI130" s="9">
        <v>1063.5186936693844</v>
      </c>
      <c r="AJ130" s="9">
        <v>1202.464863932787</v>
      </c>
      <c r="AK130" s="9">
        <v>1202.464863932787</v>
      </c>
      <c r="AL130" s="9">
        <v>927.68285387104902</v>
      </c>
      <c r="AM130" s="9">
        <v>940.96864374363918</v>
      </c>
      <c r="AN130" s="9">
        <v>940.96864374363918</v>
      </c>
      <c r="AO130" s="9">
        <v>907.85943665881928</v>
      </c>
      <c r="AP130" s="9">
        <v>984.61076768086821</v>
      </c>
      <c r="AQ130" s="9">
        <v>1040.6601480911038</v>
      </c>
      <c r="AR130" s="9">
        <v>1031.9271293090155</v>
      </c>
      <c r="AS130" s="9">
        <v>1194.5070364183284</v>
      </c>
      <c r="AT130" s="9">
        <v>1279.8302708595231</v>
      </c>
      <c r="AU130" s="9">
        <v>1186.6607182429962</v>
      </c>
      <c r="AV130" s="9">
        <v>1186.6607182429962</v>
      </c>
      <c r="AW130" s="9">
        <v>1157.7807894354346</v>
      </c>
      <c r="AX130" s="9">
        <v>1287.4947681409747</v>
      </c>
      <c r="AY130" s="9">
        <v>1283.743763944912</v>
      </c>
      <c r="AZ130" s="9">
        <v>916.01334024520247</v>
      </c>
      <c r="BA130" s="9">
        <v>608.09771435637765</v>
      </c>
      <c r="BB130" s="9">
        <v>436.13525960306686</v>
      </c>
      <c r="BC130" s="9">
        <v>278.11733951248681</v>
      </c>
      <c r="BD130" s="9">
        <v>278.11733951248681</v>
      </c>
      <c r="BE130" s="9">
        <v>215.20984605132909</v>
      </c>
      <c r="BF130" s="9">
        <v>0</v>
      </c>
      <c r="BG130" s="9">
        <v>0</v>
      </c>
      <c r="BH130" s="9">
        <v>0</v>
      </c>
      <c r="BI130" s="9">
        <v>0</v>
      </c>
      <c r="BJ130" s="9">
        <v>0</v>
      </c>
      <c r="BK130" s="9">
        <v>0</v>
      </c>
      <c r="BL130" s="9">
        <v>0</v>
      </c>
      <c r="BM130" s="9">
        <v>0</v>
      </c>
      <c r="BN130" s="9">
        <v>0</v>
      </c>
      <c r="BO130" s="9">
        <v>0</v>
      </c>
      <c r="BP130" s="9">
        <v>0</v>
      </c>
      <c r="BQ130" s="9">
        <v>0</v>
      </c>
      <c r="BR130" s="9">
        <v>0</v>
      </c>
      <c r="BS130" s="9">
        <v>0</v>
      </c>
      <c r="BT130" s="9">
        <v>0</v>
      </c>
      <c r="BU130" s="9">
        <v>0</v>
      </c>
      <c r="BV130" s="9">
        <v>0</v>
      </c>
      <c r="BW130" s="9">
        <v>0</v>
      </c>
      <c r="BX130" s="9">
        <v>0</v>
      </c>
    </row>
    <row r="131" spans="1:76">
      <c r="A131" s="3" t="s">
        <v>66</v>
      </c>
      <c r="B131" t="s">
        <v>18</v>
      </c>
      <c r="C131" t="str">
        <f>+_xlfn.XLOOKUP(B131,'L4'!B:B,'L4'!C:C)</f>
        <v>SÜREN - TÜNEL - Ø 3.5" - K. DELGILI + ENJEKS.</v>
      </c>
      <c r="D131" t="s">
        <v>4967</v>
      </c>
      <c r="E131" t="str">
        <f>+_xlfn.XLOOKUP(D131,'M2'!H:H,'M2'!I:I)</f>
        <v>PROJE GENELİ</v>
      </c>
      <c r="F131" s="91" t="s">
        <v>4973</v>
      </c>
      <c r="G131" t="s">
        <v>4983</v>
      </c>
      <c r="H131" s="3" t="s">
        <v>4984</v>
      </c>
      <c r="I131" s="3" t="s">
        <v>315</v>
      </c>
      <c r="J131" s="124">
        <v>2472982</v>
      </c>
      <c r="K131" s="124">
        <f t="shared" ref="K131:K149" si="114">+M131-SUM(N131:W131)</f>
        <v>2459019.8593748333</v>
      </c>
      <c r="L131" s="6">
        <f t="shared" si="113"/>
        <v>0</v>
      </c>
      <c r="M131" s="124">
        <f t="shared" si="112"/>
        <v>2472982</v>
      </c>
      <c r="N131" s="9">
        <v>0</v>
      </c>
      <c r="O131" s="9">
        <v>0</v>
      </c>
      <c r="P131" s="9">
        <v>0</v>
      </c>
      <c r="Q131" s="9">
        <v>0</v>
      </c>
      <c r="R131" s="9">
        <v>2177.1750000380562</v>
      </c>
      <c r="S131" s="9">
        <v>684.96562512844002</v>
      </c>
      <c r="T131" s="9">
        <v>0</v>
      </c>
      <c r="U131" s="9">
        <v>0</v>
      </c>
      <c r="V131" s="9">
        <v>11100</v>
      </c>
      <c r="W131" s="9">
        <v>0</v>
      </c>
      <c r="X131" s="10">
        <v>18048.05768346721</v>
      </c>
      <c r="Y131" s="9">
        <v>9922.0086108969699</v>
      </c>
      <c r="Z131" s="9">
        <v>10316.589007626137</v>
      </c>
      <c r="AA131" s="9">
        <v>24180.89680577569</v>
      </c>
      <c r="AB131" s="9">
        <v>64514.890408227322</v>
      </c>
      <c r="AC131" s="9">
        <v>56076.813299490619</v>
      </c>
      <c r="AD131" s="9">
        <v>56157.623158645554</v>
      </c>
      <c r="AE131" s="9">
        <v>55211.529740386526</v>
      </c>
      <c r="AF131" s="9">
        <v>55587.796923174203</v>
      </c>
      <c r="AG131" s="9">
        <v>71329.28326709113</v>
      </c>
      <c r="AH131" s="9">
        <v>83964.861002390026</v>
      </c>
      <c r="AI131" s="9">
        <v>97307.378072062769</v>
      </c>
      <c r="AJ131" s="9">
        <v>110223.02942495092</v>
      </c>
      <c r="AK131" s="9">
        <v>110223.02942495092</v>
      </c>
      <c r="AL131" s="9">
        <v>80961.399981159455</v>
      </c>
      <c r="AM131" s="9">
        <v>80294.256501921598</v>
      </c>
      <c r="AN131" s="9">
        <v>80294.256501921598</v>
      </c>
      <c r="AO131" s="9">
        <v>77088.995999156046</v>
      </c>
      <c r="AP131" s="9">
        <v>86704.777507452716</v>
      </c>
      <c r="AQ131" s="9">
        <v>93875.927655479551</v>
      </c>
      <c r="AR131" s="9">
        <v>93810.703814419961</v>
      </c>
      <c r="AS131" s="9">
        <v>107435.85752868427</v>
      </c>
      <c r="AT131" s="9">
        <v>116475.81077748742</v>
      </c>
      <c r="AU131" s="9">
        <v>107435.85752868427</v>
      </c>
      <c r="AV131" s="9">
        <v>107435.85752868427</v>
      </c>
      <c r="AW131" s="9">
        <v>104230.59702591873</v>
      </c>
      <c r="AX131" s="9">
        <v>120897.95164029961</v>
      </c>
      <c r="AY131" s="9">
        <v>120990.35208180072</v>
      </c>
      <c r="AZ131" s="9">
        <v>86221.507524393455</v>
      </c>
      <c r="BA131" s="9">
        <v>56412.584848673789</v>
      </c>
      <c r="BB131" s="9">
        <v>40706.80838512256</v>
      </c>
      <c r="BC131" s="9">
        <v>26924.188223230671</v>
      </c>
      <c r="BD131" s="9">
        <v>26924.188223230671</v>
      </c>
      <c r="BE131" s="9">
        <v>20834.193267976119</v>
      </c>
      <c r="BF131" s="9">
        <v>0</v>
      </c>
      <c r="BG131" s="9">
        <v>0</v>
      </c>
      <c r="BH131" s="9">
        <v>0</v>
      </c>
      <c r="BI131" s="9">
        <v>0</v>
      </c>
      <c r="BJ131" s="9">
        <v>0</v>
      </c>
      <c r="BK131" s="9">
        <v>0</v>
      </c>
      <c r="BL131" s="9">
        <v>0</v>
      </c>
      <c r="BM131" s="9">
        <v>0</v>
      </c>
      <c r="BN131" s="9">
        <v>0</v>
      </c>
      <c r="BO131" s="9">
        <v>0</v>
      </c>
      <c r="BP131" s="9">
        <v>0</v>
      </c>
      <c r="BQ131" s="9">
        <v>0</v>
      </c>
      <c r="BR131" s="9">
        <v>0</v>
      </c>
      <c r="BS131" s="9">
        <v>0</v>
      </c>
      <c r="BT131" s="9">
        <v>0</v>
      </c>
      <c r="BU131" s="9">
        <v>0</v>
      </c>
      <c r="BV131" s="9">
        <v>0</v>
      </c>
      <c r="BW131" s="9">
        <v>0</v>
      </c>
      <c r="BX131" s="9">
        <v>0</v>
      </c>
    </row>
    <row r="132" spans="1:76">
      <c r="A132" s="3" t="s">
        <v>66</v>
      </c>
      <c r="B132" t="s">
        <v>19</v>
      </c>
      <c r="C132" t="str">
        <f>+_xlfn.XLOOKUP(B132,'L4'!B:B,'L4'!C:C)</f>
        <v>SÜREN - TÜNEL - ÇELIK BORU + ENJEKS.</v>
      </c>
      <c r="D132" t="s">
        <v>4967</v>
      </c>
      <c r="E132" t="str">
        <f>+_xlfn.XLOOKUP(D132,'M2'!H:H,'M2'!I:I)</f>
        <v>PROJE GENELİ</v>
      </c>
      <c r="F132" s="91" t="s">
        <v>4973</v>
      </c>
      <c r="G132" t="s">
        <v>4983</v>
      </c>
      <c r="H132" s="3" t="s">
        <v>4984</v>
      </c>
      <c r="I132" s="3" t="s">
        <v>319</v>
      </c>
      <c r="J132" s="124">
        <v>75617.935000000143</v>
      </c>
      <c r="K132" s="124">
        <f t="shared" si="114"/>
        <v>64377.935000000143</v>
      </c>
      <c r="L132" s="6">
        <f t="shared" si="113"/>
        <v>0</v>
      </c>
      <c r="M132" s="124">
        <f t="shared" si="112"/>
        <v>75617.935000000143</v>
      </c>
      <c r="N132" s="9">
        <v>0</v>
      </c>
      <c r="O132" s="9">
        <v>0</v>
      </c>
      <c r="P132" s="9">
        <v>2754.6701608499307</v>
      </c>
      <c r="Q132" s="9">
        <v>6761.3298391500684</v>
      </c>
      <c r="R132" s="9">
        <v>0</v>
      </c>
      <c r="S132" s="9">
        <v>0</v>
      </c>
      <c r="T132" s="9">
        <v>0</v>
      </c>
      <c r="U132" s="9">
        <v>0</v>
      </c>
      <c r="V132" s="9">
        <v>1724</v>
      </c>
      <c r="W132" s="9">
        <v>0</v>
      </c>
      <c r="X132" s="10">
        <v>0</v>
      </c>
      <c r="Y132" s="9">
        <v>0</v>
      </c>
      <c r="Z132" s="9">
        <v>0</v>
      </c>
      <c r="AA132" s="9">
        <v>0</v>
      </c>
      <c r="AB132" s="9">
        <v>0</v>
      </c>
      <c r="AC132" s="9">
        <v>0</v>
      </c>
      <c r="AD132" s="9">
        <v>0</v>
      </c>
      <c r="AE132" s="9">
        <v>0</v>
      </c>
      <c r="AF132" s="9">
        <v>0</v>
      </c>
      <c r="AG132" s="9">
        <v>490.38579021129283</v>
      </c>
      <c r="AH132" s="9">
        <v>1483.8942628944455</v>
      </c>
      <c r="AI132" s="9">
        <v>1135.76766213273</v>
      </c>
      <c r="AJ132" s="9">
        <v>1219.0356026847467</v>
      </c>
      <c r="AK132" s="9">
        <v>1219.0356026847467</v>
      </c>
      <c r="AL132" s="9">
        <v>1225.7154989677101</v>
      </c>
      <c r="AM132" s="9">
        <v>372.97342391313123</v>
      </c>
      <c r="AN132" s="9">
        <v>5214.6801975615899</v>
      </c>
      <c r="AO132" s="9">
        <v>6581.568327802258</v>
      </c>
      <c r="AP132" s="9">
        <v>4887.3871895806624</v>
      </c>
      <c r="AQ132" s="9">
        <v>3948.7371136650063</v>
      </c>
      <c r="AR132" s="9">
        <v>2989.8917590101837</v>
      </c>
      <c r="AS132" s="9">
        <v>5554.6571240806506</v>
      </c>
      <c r="AT132" s="9">
        <v>4762.178816709451</v>
      </c>
      <c r="AU132" s="9">
        <v>4660.3641902801237</v>
      </c>
      <c r="AV132" s="9">
        <v>4660.3641902801237</v>
      </c>
      <c r="AW132" s="9">
        <v>5008.1416704631984</v>
      </c>
      <c r="AX132" s="9">
        <v>1679.4063753811593</v>
      </c>
      <c r="AY132" s="9">
        <v>1823.6437628227031</v>
      </c>
      <c r="AZ132" s="9">
        <v>2086.6648810984393</v>
      </c>
      <c r="BA132" s="9">
        <v>2086.6648810984393</v>
      </c>
      <c r="BB132" s="9">
        <v>1286.7766766773707</v>
      </c>
      <c r="BC132" s="9">
        <v>0</v>
      </c>
      <c r="BD132" s="9">
        <v>0</v>
      </c>
      <c r="BE132" s="9">
        <v>0</v>
      </c>
      <c r="BF132" s="9">
        <v>0</v>
      </c>
      <c r="BG132" s="9">
        <v>0</v>
      </c>
      <c r="BH132" s="9">
        <v>0</v>
      </c>
      <c r="BI132" s="9">
        <v>0</v>
      </c>
      <c r="BJ132" s="9">
        <v>0</v>
      </c>
      <c r="BK132" s="9">
        <v>0</v>
      </c>
      <c r="BL132" s="9">
        <v>0</v>
      </c>
      <c r="BM132" s="9">
        <v>0</v>
      </c>
      <c r="BN132" s="9">
        <v>0</v>
      </c>
      <c r="BO132" s="9">
        <v>0</v>
      </c>
      <c r="BP132" s="9">
        <v>0</v>
      </c>
      <c r="BQ132" s="9">
        <v>0</v>
      </c>
      <c r="BR132" s="9">
        <v>0</v>
      </c>
      <c r="BS132" s="9">
        <v>0</v>
      </c>
      <c r="BT132" s="9">
        <v>0</v>
      </c>
      <c r="BU132" s="9">
        <v>0</v>
      </c>
      <c r="BV132" s="9">
        <v>0</v>
      </c>
      <c r="BW132" s="9">
        <v>0</v>
      </c>
      <c r="BX132" s="9">
        <v>0</v>
      </c>
    </row>
    <row r="133" spans="1:76">
      <c r="A133" s="3" t="s">
        <v>66</v>
      </c>
      <c r="B133" t="s">
        <v>20</v>
      </c>
      <c r="C133" t="str">
        <f>+_xlfn.XLOOKUP(B133,'L4'!B:B,'L4'!C:C)</f>
        <v>TÜNELDE HASIR ÇELIK ILE İKSA</v>
      </c>
      <c r="D133" t="s">
        <v>4967</v>
      </c>
      <c r="E133" t="str">
        <f>+_xlfn.XLOOKUP(D133,'M2'!H:H,'M2'!I:I)</f>
        <v>PROJE GENELİ</v>
      </c>
      <c r="F133" s="91" t="s">
        <v>4973</v>
      </c>
      <c r="G133" t="s">
        <v>4983</v>
      </c>
      <c r="H133" s="3" t="s">
        <v>4984</v>
      </c>
      <c r="I133" s="3" t="s">
        <v>323</v>
      </c>
      <c r="J133" s="124">
        <v>10547.572</v>
      </c>
      <c r="K133" s="124">
        <f t="shared" si="114"/>
        <v>10293.914054305207</v>
      </c>
      <c r="L133" s="6">
        <f t="shared" si="113"/>
        <v>0</v>
      </c>
      <c r="M133" s="124">
        <f t="shared" si="112"/>
        <v>10547.572</v>
      </c>
      <c r="N133" s="9">
        <v>0</v>
      </c>
      <c r="O133" s="9">
        <v>0</v>
      </c>
      <c r="P133" s="9">
        <v>15.707639059422386</v>
      </c>
      <c r="Q133" s="9">
        <v>38.554354050977615</v>
      </c>
      <c r="R133" s="9">
        <v>9.2771675843921617</v>
      </c>
      <c r="S133" s="9">
        <v>0</v>
      </c>
      <c r="T133" s="9">
        <v>0</v>
      </c>
      <c r="U133" s="9">
        <v>4.9855435333333844</v>
      </c>
      <c r="V133" s="9">
        <v>45.453540466666539</v>
      </c>
      <c r="W133" s="9">
        <v>139.67970099999999</v>
      </c>
      <c r="X133" s="10">
        <v>0</v>
      </c>
      <c r="Y133" s="9">
        <v>0</v>
      </c>
      <c r="Z133" s="9">
        <v>0</v>
      </c>
      <c r="AA133" s="9">
        <v>0</v>
      </c>
      <c r="AB133" s="9">
        <v>111.58810418955279</v>
      </c>
      <c r="AC133" s="9">
        <v>102.54037854293334</v>
      </c>
      <c r="AD133" s="9">
        <v>119.94376785409983</v>
      </c>
      <c r="AE133" s="9">
        <v>103.72630869269128</v>
      </c>
      <c r="AF133" s="9">
        <v>165.66031831707363</v>
      </c>
      <c r="AG133" s="9">
        <v>271.37485527297656</v>
      </c>
      <c r="AH133" s="9">
        <v>335.23797627953212</v>
      </c>
      <c r="AI133" s="9">
        <v>384.01708059550441</v>
      </c>
      <c r="AJ133" s="9">
        <v>437.50105058137797</v>
      </c>
      <c r="AK133" s="9">
        <v>437.50105058137797</v>
      </c>
      <c r="AL133" s="9">
        <v>378.81146626254423</v>
      </c>
      <c r="AM133" s="9">
        <v>403.56463315213801</v>
      </c>
      <c r="AN133" s="9">
        <v>403.56463315213801</v>
      </c>
      <c r="AO133" s="9">
        <v>389.26389220985101</v>
      </c>
      <c r="AP133" s="9">
        <v>413.18250697294673</v>
      </c>
      <c r="AQ133" s="9">
        <v>441.03266229833042</v>
      </c>
      <c r="AR133" s="9">
        <v>424.78061754757016</v>
      </c>
      <c r="AS133" s="9">
        <v>525.82029271042234</v>
      </c>
      <c r="AT133" s="9">
        <v>567.19390822548041</v>
      </c>
      <c r="AU133" s="9">
        <v>522.50398360630925</v>
      </c>
      <c r="AV133" s="9">
        <v>522.50398360630925</v>
      </c>
      <c r="AW133" s="9">
        <v>512.45689508427165</v>
      </c>
      <c r="AX133" s="9">
        <v>547.84497354522603</v>
      </c>
      <c r="AY133" s="9">
        <v>554.30672617252367</v>
      </c>
      <c r="AZ133" s="9">
        <v>410.21184586901961</v>
      </c>
      <c r="BA133" s="9">
        <v>277.21495510574988</v>
      </c>
      <c r="BB133" s="9">
        <v>197.35792392196927</v>
      </c>
      <c r="BC133" s="9">
        <v>120.12622391521137</v>
      </c>
      <c r="BD133" s="9">
        <v>120.12622391521137</v>
      </c>
      <c r="BE133" s="9">
        <v>92.954816124865943</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row>
    <row r="134" spans="1:76">
      <c r="A134" s="3" t="s">
        <v>66</v>
      </c>
      <c r="B134" t="s">
        <v>21</v>
      </c>
      <c r="C134" t="str">
        <f>+_xlfn.XLOOKUP(B134,'L4'!B:B,'L4'!C:C)</f>
        <v>TÜNELDE PÜSKÜRTME BETONU YAPILMASI</v>
      </c>
      <c r="D134" t="s">
        <v>4967</v>
      </c>
      <c r="E134" t="str">
        <f>+_xlfn.XLOOKUP(D134,'M2'!H:H,'M2'!I:I)</f>
        <v>PROJE GENELİ</v>
      </c>
      <c r="F134" s="91" t="s">
        <v>4973</v>
      </c>
      <c r="G134" t="s">
        <v>4983</v>
      </c>
      <c r="H134" s="3" t="s">
        <v>4984</v>
      </c>
      <c r="I134" s="3" t="s">
        <v>327</v>
      </c>
      <c r="J134" s="124">
        <v>265406.38600000006</v>
      </c>
      <c r="K134" s="124">
        <f t="shared" si="114"/>
        <v>262387.45373093442</v>
      </c>
      <c r="L134" s="6">
        <f t="shared" si="113"/>
        <v>0</v>
      </c>
      <c r="M134" s="124">
        <f t="shared" si="112"/>
        <v>265406.38600000006</v>
      </c>
      <c r="N134" s="9">
        <v>0</v>
      </c>
      <c r="O134" s="9">
        <v>0</v>
      </c>
      <c r="P134" s="9">
        <v>483.00342020770944</v>
      </c>
      <c r="Q134" s="9">
        <v>1185.5304797922906</v>
      </c>
      <c r="R134" s="9">
        <v>76.717769065638834</v>
      </c>
      <c r="S134" s="9">
        <v>0</v>
      </c>
      <c r="T134" s="9">
        <v>0</v>
      </c>
      <c r="U134" s="9">
        <v>452.93244999274975</v>
      </c>
      <c r="V134" s="9">
        <v>820.74815000724857</v>
      </c>
      <c r="W134" s="9">
        <v>0</v>
      </c>
      <c r="X134" s="10">
        <v>1782.8544197116555</v>
      </c>
      <c r="Y134" s="9">
        <v>1796.6713526961257</v>
      </c>
      <c r="Z134" s="9">
        <v>2477.9867516531253</v>
      </c>
      <c r="AA134" s="9">
        <v>3399.3561558615306</v>
      </c>
      <c r="AB134" s="9">
        <v>7014.8150817239784</v>
      </c>
      <c r="AC134" s="9">
        <v>6055.9102878604317</v>
      </c>
      <c r="AD134" s="9">
        <v>6318.6161594765063</v>
      </c>
      <c r="AE134" s="9">
        <v>6229.8421199919985</v>
      </c>
      <c r="AF134" s="9">
        <v>6122.3269221168084</v>
      </c>
      <c r="AG134" s="9">
        <v>7529.3441570034292</v>
      </c>
      <c r="AH134" s="9">
        <v>8803.0364446680578</v>
      </c>
      <c r="AI134" s="9">
        <v>10028.200377763071</v>
      </c>
      <c r="AJ134" s="9">
        <v>11028.538668848109</v>
      </c>
      <c r="AK134" s="9">
        <v>11028.538668848109</v>
      </c>
      <c r="AL134" s="9">
        <v>9317.4575411316473</v>
      </c>
      <c r="AM134" s="9">
        <v>9760.3743471047565</v>
      </c>
      <c r="AN134" s="9">
        <v>9760.3743471047565</v>
      </c>
      <c r="AO134" s="9">
        <v>9478.9430231806673</v>
      </c>
      <c r="AP134" s="9">
        <v>9769.1172612946848</v>
      </c>
      <c r="AQ134" s="9">
        <v>9951.0999353210645</v>
      </c>
      <c r="AR134" s="9">
        <v>9710.0289060367268</v>
      </c>
      <c r="AS134" s="9">
        <v>11519.820376152915</v>
      </c>
      <c r="AT134" s="9">
        <v>12142.355605092838</v>
      </c>
      <c r="AU134" s="9">
        <v>11356.272211306403</v>
      </c>
      <c r="AV134" s="9">
        <v>11356.272211306403</v>
      </c>
      <c r="AW134" s="9">
        <v>11186.940826995737</v>
      </c>
      <c r="AX134" s="9">
        <v>11569.394261559666</v>
      </c>
      <c r="AY134" s="9">
        <v>11477.774681302939</v>
      </c>
      <c r="AZ134" s="9">
        <v>8243.1022512386426</v>
      </c>
      <c r="BA134" s="9">
        <v>5625.7909387445789</v>
      </c>
      <c r="BB134" s="9">
        <v>3988.947590405649</v>
      </c>
      <c r="BC134" s="9">
        <v>2364.0231209623789</v>
      </c>
      <c r="BD134" s="9">
        <v>2364.0231209623789</v>
      </c>
      <c r="BE134" s="9">
        <v>1829.3036055066027</v>
      </c>
      <c r="BF134" s="9">
        <v>0</v>
      </c>
      <c r="BG134" s="9">
        <v>0</v>
      </c>
      <c r="BH134" s="9">
        <v>0</v>
      </c>
      <c r="BI134" s="9">
        <v>0</v>
      </c>
      <c r="BJ134" s="9">
        <v>0</v>
      </c>
      <c r="BK134" s="9">
        <v>0</v>
      </c>
      <c r="BL134" s="9">
        <v>0</v>
      </c>
      <c r="BM134" s="9">
        <v>0</v>
      </c>
      <c r="BN134" s="9">
        <v>0</v>
      </c>
      <c r="BO134" s="9">
        <v>0</v>
      </c>
      <c r="BP134" s="9">
        <v>0</v>
      </c>
      <c r="BQ134" s="9">
        <v>0</v>
      </c>
      <c r="BR134" s="9">
        <v>0</v>
      </c>
      <c r="BS134" s="9">
        <v>0</v>
      </c>
      <c r="BT134" s="9">
        <v>0</v>
      </c>
      <c r="BU134" s="9">
        <v>0</v>
      </c>
      <c r="BV134" s="9">
        <v>0</v>
      </c>
      <c r="BW134" s="9">
        <v>0</v>
      </c>
      <c r="BX134" s="9">
        <v>0</v>
      </c>
    </row>
    <row r="135" spans="1:76">
      <c r="A135" s="3" t="s">
        <v>66</v>
      </c>
      <c r="B135" t="s">
        <v>22</v>
      </c>
      <c r="C135" t="str">
        <f>+_xlfn.XLOOKUP(B135,'L4'!B:B,'L4'!C:C)</f>
        <v>TÜNELLERDE SN KAYA BULONU YAPILMASI</v>
      </c>
      <c r="D135" t="s">
        <v>4967</v>
      </c>
      <c r="E135" t="str">
        <f>+_xlfn.XLOOKUP(D135,'M2'!H:H,'M2'!I:I)</f>
        <v>PROJE GENELİ</v>
      </c>
      <c r="F135" s="91" t="s">
        <v>4973</v>
      </c>
      <c r="G135" t="s">
        <v>4983</v>
      </c>
      <c r="H135" s="3" t="s">
        <v>4984</v>
      </c>
      <c r="I135" s="3" t="s">
        <v>331</v>
      </c>
      <c r="J135" s="124">
        <v>197930.61009422658</v>
      </c>
      <c r="K135" s="124">
        <f t="shared" si="114"/>
        <v>133397.61009422658</v>
      </c>
      <c r="L135" s="6">
        <f t="shared" si="113"/>
        <v>0</v>
      </c>
      <c r="M135" s="124">
        <f t="shared" si="112"/>
        <v>197930.61009422658</v>
      </c>
      <c r="N135" s="9">
        <v>0</v>
      </c>
      <c r="O135" s="9">
        <v>0</v>
      </c>
      <c r="P135" s="9">
        <v>2735.5646301000261</v>
      </c>
      <c r="Q135" s="9">
        <v>6714.4353698999739</v>
      </c>
      <c r="R135" s="9">
        <v>16633.090625299235</v>
      </c>
      <c r="S135" s="9">
        <v>17802.55586038492</v>
      </c>
      <c r="T135" s="9">
        <v>20647.353514315841</v>
      </c>
      <c r="U135" s="9">
        <v>0</v>
      </c>
      <c r="V135" s="9">
        <v>0</v>
      </c>
      <c r="W135" s="9">
        <v>0</v>
      </c>
      <c r="X135" s="10">
        <v>40.279227313842739</v>
      </c>
      <c r="Y135" s="9">
        <v>396.08408157403755</v>
      </c>
      <c r="Z135" s="9">
        <v>1991.1630248259912</v>
      </c>
      <c r="AA135" s="9">
        <v>1781.7673632350709</v>
      </c>
      <c r="AB135" s="9">
        <v>1724.606734466779</v>
      </c>
      <c r="AC135" s="9">
        <v>1881.4446007925558</v>
      </c>
      <c r="AD135" s="9">
        <v>3418.52329911687</v>
      </c>
      <c r="AE135" s="9">
        <v>4484.7220668981145</v>
      </c>
      <c r="AF135" s="9">
        <v>40.279227313842739</v>
      </c>
      <c r="AG135" s="9">
        <v>396.08408157403755</v>
      </c>
      <c r="AH135" s="9">
        <v>1991.1630248259912</v>
      </c>
      <c r="AI135" s="9">
        <v>1781.7673632350709</v>
      </c>
      <c r="AJ135" s="9">
        <v>1724.606734466779</v>
      </c>
      <c r="AK135" s="9">
        <v>1881.4446007925558</v>
      </c>
      <c r="AL135" s="9">
        <v>3418.52329911687</v>
      </c>
      <c r="AM135" s="9">
        <v>4484.7220668981145</v>
      </c>
      <c r="AN135" s="9">
        <v>10760.15662443455</v>
      </c>
      <c r="AO135" s="9">
        <v>10760.15662443455</v>
      </c>
      <c r="AP135" s="9">
        <v>8019.0406004690558</v>
      </c>
      <c r="AQ135" s="9">
        <v>6228.3477216268393</v>
      </c>
      <c r="AR135" s="9">
        <v>5491.1125512791887</v>
      </c>
      <c r="AS135" s="9">
        <v>9900.370353336657</v>
      </c>
      <c r="AT135" s="9">
        <v>8462.6468824750118</v>
      </c>
      <c r="AU135" s="9">
        <v>8493.7681601535969</v>
      </c>
      <c r="AV135" s="9">
        <v>8493.7681601535969</v>
      </c>
      <c r="AW135" s="9">
        <v>9073.9915648416099</v>
      </c>
      <c r="AX135" s="9">
        <v>3605.825538842455</v>
      </c>
      <c r="AY135" s="9">
        <v>3561.737062131122</v>
      </c>
      <c r="AZ135" s="9">
        <v>3481.3404281280791</v>
      </c>
      <c r="BA135" s="9">
        <v>3481.3404281280791</v>
      </c>
      <c r="BB135" s="9">
        <v>2146.8265973456482</v>
      </c>
      <c r="BC135" s="9">
        <v>0</v>
      </c>
      <c r="BD135" s="9">
        <v>0</v>
      </c>
      <c r="BE135" s="9">
        <v>0</v>
      </c>
      <c r="BF135" s="9">
        <v>0</v>
      </c>
      <c r="BG135" s="9">
        <v>0</v>
      </c>
      <c r="BH135" s="9">
        <v>0</v>
      </c>
      <c r="BI135" s="9">
        <v>0</v>
      </c>
      <c r="BJ135" s="9">
        <v>0</v>
      </c>
      <c r="BK135" s="9">
        <v>0</v>
      </c>
      <c r="BL135" s="9">
        <v>0</v>
      </c>
      <c r="BM135" s="9">
        <v>0</v>
      </c>
      <c r="BN135" s="9">
        <v>0</v>
      </c>
      <c r="BO135" s="9">
        <v>0</v>
      </c>
      <c r="BP135" s="9">
        <v>0</v>
      </c>
      <c r="BQ135" s="9">
        <v>0</v>
      </c>
      <c r="BR135" s="9">
        <v>0</v>
      </c>
      <c r="BS135" s="9">
        <v>0</v>
      </c>
      <c r="BT135" s="9">
        <v>0</v>
      </c>
      <c r="BU135" s="9">
        <v>0</v>
      </c>
      <c r="BV135" s="9">
        <v>0</v>
      </c>
      <c r="BW135" s="9">
        <v>0</v>
      </c>
      <c r="BX135" s="9">
        <v>0</v>
      </c>
    </row>
    <row r="136" spans="1:76">
      <c r="A136" s="3" t="s">
        <v>66</v>
      </c>
      <c r="B136" t="s">
        <v>23</v>
      </c>
      <c r="C136" t="str">
        <f>+_xlfn.XLOOKUP(B136,'L4'!B:B,'L4'!C:C)</f>
        <v>TÜNELLERDE IBO BULONU YAPILMASI (MLZ.+İŞÇ.)</v>
      </c>
      <c r="D136" t="s">
        <v>4967</v>
      </c>
      <c r="E136" t="str">
        <f>+_xlfn.XLOOKUP(D136,'M2'!H:H,'M2'!I:I)</f>
        <v>PROJE GENELİ</v>
      </c>
      <c r="F136" s="91" t="s">
        <v>4973</v>
      </c>
      <c r="G136" t="s">
        <v>4983</v>
      </c>
      <c r="H136" s="3" t="s">
        <v>4984</v>
      </c>
      <c r="I136" s="3" t="s">
        <v>335</v>
      </c>
      <c r="J136" s="124">
        <v>2627078.5999999996</v>
      </c>
      <c r="K136" s="124">
        <f t="shared" si="114"/>
        <v>2603689.7894525118</v>
      </c>
      <c r="L136" s="6">
        <f t="shared" si="113"/>
        <v>0</v>
      </c>
      <c r="M136" s="124">
        <f t="shared" si="112"/>
        <v>2627078.5999999996</v>
      </c>
      <c r="N136" s="9">
        <v>0</v>
      </c>
      <c r="O136" s="9">
        <v>0</v>
      </c>
      <c r="P136" s="9">
        <v>498.48066592933804</v>
      </c>
      <c r="Q136" s="9">
        <v>1223.5193340706619</v>
      </c>
      <c r="R136" s="9">
        <v>6577.1281251400324</v>
      </c>
      <c r="S136" s="9">
        <v>278.68242234760692</v>
      </c>
      <c r="T136" s="9">
        <v>0</v>
      </c>
      <c r="U136" s="9">
        <v>0</v>
      </c>
      <c r="V136" s="9">
        <v>14811</v>
      </c>
      <c r="W136" s="9">
        <v>0</v>
      </c>
      <c r="X136" s="10">
        <v>17444.544453611899</v>
      </c>
      <c r="Y136" s="9">
        <v>5188.2558008657297</v>
      </c>
      <c r="Z136" s="9">
        <v>11071.800070808304</v>
      </c>
      <c r="AA136" s="9">
        <v>27624.09268945238</v>
      </c>
      <c r="AB136" s="9">
        <v>74412.470228249978</v>
      </c>
      <c r="AC136" s="9">
        <v>65439.965196233738</v>
      </c>
      <c r="AD136" s="9">
        <v>69267.013566811773</v>
      </c>
      <c r="AE136" s="9">
        <v>67681.089999932796</v>
      </c>
      <c r="AF136" s="9">
        <v>65133.768686250325</v>
      </c>
      <c r="AG136" s="9">
        <v>81466.454737397828</v>
      </c>
      <c r="AH136" s="9">
        <v>95837.91164788256</v>
      </c>
      <c r="AI136" s="9">
        <v>111291.90492877828</v>
      </c>
      <c r="AJ136" s="9">
        <v>127224.95564518322</v>
      </c>
      <c r="AK136" s="9">
        <v>127224.95564518322</v>
      </c>
      <c r="AL136" s="9">
        <v>93692.276266145287</v>
      </c>
      <c r="AM136" s="9">
        <v>93227.346881842343</v>
      </c>
      <c r="AN136" s="9">
        <v>93227.346881842343</v>
      </c>
      <c r="AO136" s="9">
        <v>89487.89762490672</v>
      </c>
      <c r="AP136" s="9">
        <v>100706.24539571366</v>
      </c>
      <c r="AQ136" s="9">
        <v>109184.72735920608</v>
      </c>
      <c r="AR136" s="9">
        <v>109047.43994198754</v>
      </c>
      <c r="AS136" s="9">
        <v>125096.34536416363</v>
      </c>
      <c r="AT136" s="9">
        <v>135704.09070080199</v>
      </c>
      <c r="AU136" s="9">
        <v>125096.34536416363</v>
      </c>
      <c r="AV136" s="9">
        <v>43.162098732148813</v>
      </c>
      <c r="AW136" s="9">
        <v>43.162098732148813</v>
      </c>
      <c r="AX136" s="9">
        <v>140802.03224329333</v>
      </c>
      <c r="AY136" s="9">
        <v>140996.5227510196</v>
      </c>
      <c r="AZ136" s="9">
        <v>100591.18501156896</v>
      </c>
      <c r="BA136" s="9">
        <v>65814.306922067408</v>
      </c>
      <c r="BB136" s="9">
        <v>47491.005563082748</v>
      </c>
      <c r="BC136" s="9">
        <v>31411.373758259448</v>
      </c>
      <c r="BD136" s="9">
        <v>31411.373758259448</v>
      </c>
      <c r="BE136" s="9">
        <v>24306.420170081714</v>
      </c>
      <c r="BF136" s="9">
        <v>0</v>
      </c>
      <c r="BG136" s="9">
        <v>0</v>
      </c>
      <c r="BH136" s="9">
        <v>0</v>
      </c>
      <c r="BI136" s="9">
        <v>0</v>
      </c>
      <c r="BJ136" s="9">
        <v>0</v>
      </c>
      <c r="BK136" s="9">
        <v>0</v>
      </c>
      <c r="BL136" s="9">
        <v>0</v>
      </c>
      <c r="BM136" s="9">
        <v>0</v>
      </c>
      <c r="BN136" s="9">
        <v>0</v>
      </c>
      <c r="BO136" s="9">
        <v>0</v>
      </c>
      <c r="BP136" s="9">
        <v>0</v>
      </c>
      <c r="BQ136" s="9">
        <v>0</v>
      </c>
      <c r="BR136" s="9">
        <v>0</v>
      </c>
      <c r="BS136" s="9">
        <v>0</v>
      </c>
      <c r="BT136" s="9">
        <v>0</v>
      </c>
      <c r="BU136" s="9">
        <v>0</v>
      </c>
      <c r="BV136" s="9">
        <v>0</v>
      </c>
      <c r="BW136" s="9">
        <v>0</v>
      </c>
      <c r="BX136" s="9">
        <v>0</v>
      </c>
    </row>
    <row r="137" spans="1:76">
      <c r="A137" s="3" t="s">
        <v>66</v>
      </c>
      <c r="B137" t="s">
        <v>24</v>
      </c>
      <c r="C137" t="str">
        <f>+_xlfn.XLOOKUP(B137,'L4'!B:B,'L4'!C:C)</f>
        <v>SU YALITIMI  - TÜNELLERDE</v>
      </c>
      <c r="D137" t="s">
        <v>4967</v>
      </c>
      <c r="E137" t="str">
        <f>+_xlfn.XLOOKUP(D137,'M2'!H:H,'M2'!I:I)</f>
        <v>PROJE GENELİ</v>
      </c>
      <c r="F137" s="91" t="s">
        <v>4973</v>
      </c>
      <c r="G137" t="s">
        <v>4983</v>
      </c>
      <c r="H137" s="3" t="s">
        <v>4984</v>
      </c>
      <c r="I137" s="3" t="s">
        <v>339</v>
      </c>
      <c r="J137" s="124">
        <v>419681.45729999995</v>
      </c>
      <c r="K137" s="124">
        <f t="shared" si="114"/>
        <v>419681.45729999995</v>
      </c>
      <c r="L137" s="6">
        <f t="shared" ref="L137" si="115">+SUM(X137:BT137)-K137</f>
        <v>0</v>
      </c>
      <c r="M137" s="124">
        <f t="shared" si="112"/>
        <v>419681.45729999995</v>
      </c>
      <c r="N137" s="9">
        <v>0</v>
      </c>
      <c r="O137" s="9">
        <v>0</v>
      </c>
      <c r="P137" s="9">
        <v>0</v>
      </c>
      <c r="Q137" s="9">
        <v>0</v>
      </c>
      <c r="R137" s="9">
        <v>0</v>
      </c>
      <c r="S137" s="9">
        <v>0</v>
      </c>
      <c r="T137" s="9">
        <v>0</v>
      </c>
      <c r="U137" s="9">
        <v>0</v>
      </c>
      <c r="V137" s="9">
        <v>0</v>
      </c>
      <c r="W137" s="9">
        <v>0</v>
      </c>
      <c r="X137" s="10">
        <v>0</v>
      </c>
      <c r="Y137" s="9">
        <v>0</v>
      </c>
      <c r="Z137" s="9">
        <v>2906.9758036510311</v>
      </c>
      <c r="AA137" s="9">
        <v>3524.5677865572884</v>
      </c>
      <c r="AB137" s="9">
        <v>3509.3564184299184</v>
      </c>
      <c r="AC137" s="9">
        <v>9390.4217892952674</v>
      </c>
      <c r="AD137" s="9">
        <v>11929.667549039024</v>
      </c>
      <c r="AE137" s="9">
        <v>2988.3009358887712</v>
      </c>
      <c r="AF137" s="9">
        <v>2531.4842864348593</v>
      </c>
      <c r="AG137" s="9">
        <v>4810.7969302508091</v>
      </c>
      <c r="AH137" s="9">
        <v>8200.8446107500713</v>
      </c>
      <c r="AI137" s="9">
        <v>8500.1926519150402</v>
      </c>
      <c r="AJ137" s="9">
        <v>8448.1030198464177</v>
      </c>
      <c r="AK137" s="9">
        <v>7351.7378117913677</v>
      </c>
      <c r="AL137" s="9">
        <v>4709.7310825461709</v>
      </c>
      <c r="AM137" s="9">
        <v>2708.9199865666569</v>
      </c>
      <c r="AN137" s="9">
        <v>2052.0400775609151</v>
      </c>
      <c r="AO137" s="9">
        <v>2631.2764993321216</v>
      </c>
      <c r="AP137" s="9">
        <v>7726.5043753005375</v>
      </c>
      <c r="AQ137" s="9">
        <v>9740.8967913810739</v>
      </c>
      <c r="AR137" s="9">
        <v>9740.8967913810739</v>
      </c>
      <c r="AS137" s="9">
        <v>10401.754003903978</v>
      </c>
      <c r="AT137" s="9">
        <v>2805.7302638344941</v>
      </c>
      <c r="AU137" s="9">
        <v>1867.4994233065818</v>
      </c>
      <c r="AV137" s="9">
        <v>1855.7125213020372</v>
      </c>
      <c r="AW137" s="9">
        <v>7423.016196927143</v>
      </c>
      <c r="AX137" s="9">
        <v>7423.016196927143</v>
      </c>
      <c r="AY137" s="9">
        <v>9927.2941660683609</v>
      </c>
      <c r="AZ137" s="9">
        <v>13686.288915788115</v>
      </c>
      <c r="BA137" s="9">
        <v>13597.925743081609</v>
      </c>
      <c r="BB137" s="9">
        <v>15386.330114047394</v>
      </c>
      <c r="BC137" s="9">
        <v>27408.121447419329</v>
      </c>
      <c r="BD137" s="9">
        <v>27369.69859117295</v>
      </c>
      <c r="BE137" s="9">
        <v>27713.247210411682</v>
      </c>
      <c r="BF137" s="9">
        <v>24905.669618078431</v>
      </c>
      <c r="BG137" s="9">
        <v>24905.669618078427</v>
      </c>
      <c r="BH137" s="9">
        <v>24220.114609208213</v>
      </c>
      <c r="BI137" s="9">
        <v>24011.467432595538</v>
      </c>
      <c r="BJ137" s="9">
        <v>20402.910099780758</v>
      </c>
      <c r="BK137" s="9">
        <v>15635.060711112485</v>
      </c>
      <c r="BL137" s="9">
        <v>5332.2152190367142</v>
      </c>
      <c r="BM137" s="9">
        <v>0</v>
      </c>
      <c r="BN137" s="9">
        <v>0</v>
      </c>
      <c r="BO137" s="9">
        <v>0</v>
      </c>
      <c r="BP137" s="9">
        <v>0</v>
      </c>
      <c r="BQ137" s="9">
        <v>0</v>
      </c>
      <c r="BR137" s="9">
        <v>0</v>
      </c>
      <c r="BS137" s="9">
        <v>0</v>
      </c>
      <c r="BT137" s="9">
        <v>0</v>
      </c>
      <c r="BU137" s="9">
        <v>0</v>
      </c>
      <c r="BV137" s="9">
        <v>0</v>
      </c>
      <c r="BW137" s="9">
        <v>0</v>
      </c>
      <c r="BX137" s="9">
        <v>0</v>
      </c>
    </row>
    <row r="138" spans="1:76">
      <c r="A138" s="3" t="s">
        <v>66</v>
      </c>
      <c r="B138" t="s">
        <v>25</v>
      </c>
      <c r="C138" t="str">
        <f>+_xlfn.XLOOKUP(B138,'L4'!B:B,'L4'!C:C)</f>
        <v>TÜNELLERDE NIHAI BETON KAPLAMASI - C25/30</v>
      </c>
      <c r="D138" t="s">
        <v>4967</v>
      </c>
      <c r="E138" t="str">
        <f>+_xlfn.XLOOKUP(D138,'M2'!H:H,'M2'!I:I)</f>
        <v>PROJE GENELİ</v>
      </c>
      <c r="F138" s="91" t="s">
        <v>4973</v>
      </c>
      <c r="G138" t="s">
        <v>4983</v>
      </c>
      <c r="H138" s="3" t="s">
        <v>4984</v>
      </c>
      <c r="I138" s="3" t="s">
        <v>343</v>
      </c>
      <c r="J138" s="124">
        <v>357253.00199999998</v>
      </c>
      <c r="K138" s="124">
        <f t="shared" si="114"/>
        <v>357253.00199999998</v>
      </c>
      <c r="L138" s="6">
        <f t="shared" si="113"/>
        <v>0</v>
      </c>
      <c r="M138" s="124">
        <f t="shared" si="112"/>
        <v>357253.00199999998</v>
      </c>
      <c r="N138" s="9">
        <v>0</v>
      </c>
      <c r="O138" s="9">
        <v>0</v>
      </c>
      <c r="P138" s="9">
        <v>0</v>
      </c>
      <c r="Q138" s="9">
        <v>0</v>
      </c>
      <c r="R138" s="9">
        <v>0</v>
      </c>
      <c r="S138" s="9">
        <v>0</v>
      </c>
      <c r="T138" s="9">
        <v>0</v>
      </c>
      <c r="U138" s="9">
        <v>0</v>
      </c>
      <c r="V138" s="9">
        <v>0</v>
      </c>
      <c r="W138" s="9">
        <v>0</v>
      </c>
      <c r="X138" s="10">
        <v>0</v>
      </c>
      <c r="Y138" s="9">
        <v>0</v>
      </c>
      <c r="Z138" s="9">
        <v>0</v>
      </c>
      <c r="AA138" s="9">
        <v>1995.7782101167309</v>
      </c>
      <c r="AB138" s="9">
        <v>1703.6607782101155</v>
      </c>
      <c r="AC138" s="9">
        <v>6929.2623410583674</v>
      </c>
      <c r="AD138" s="9">
        <v>6931.0920173333234</v>
      </c>
      <c r="AE138" s="9">
        <v>1403.5932400000002</v>
      </c>
      <c r="AF138" s="9">
        <v>662.10199733332502</v>
      </c>
      <c r="AG138" s="9">
        <v>342.11697733332585</v>
      </c>
      <c r="AH138" s="9">
        <v>415.7995520000004</v>
      </c>
      <c r="AI138" s="9">
        <v>161.94497999999999</v>
      </c>
      <c r="AJ138" s="9">
        <v>0</v>
      </c>
      <c r="AK138" s="9">
        <v>0</v>
      </c>
      <c r="AL138" s="9">
        <v>3773.5355294117653</v>
      </c>
      <c r="AM138" s="9">
        <v>2587.8265294117646</v>
      </c>
      <c r="AN138" s="9">
        <v>521.36294117646958</v>
      </c>
      <c r="AO138" s="9">
        <v>0</v>
      </c>
      <c r="AP138" s="9">
        <v>6041.3280000000004</v>
      </c>
      <c r="AQ138" s="9">
        <v>8429.76</v>
      </c>
      <c r="AR138" s="9">
        <v>8429.76</v>
      </c>
      <c r="AS138" s="9">
        <v>10466.612852140077</v>
      </c>
      <c r="AT138" s="9">
        <v>897.97261089494168</v>
      </c>
      <c r="AU138" s="9">
        <v>585.73512062255486</v>
      </c>
      <c r="AV138" s="9">
        <v>637.57712062255541</v>
      </c>
      <c r="AW138" s="9">
        <v>871.75112062255448</v>
      </c>
      <c r="AX138" s="9">
        <v>964.99112062255517</v>
      </c>
      <c r="AY138" s="9">
        <v>12823.539120622554</v>
      </c>
      <c r="AZ138" s="9">
        <v>14819.749840466926</v>
      </c>
      <c r="BA138" s="9">
        <v>14087.28</v>
      </c>
      <c r="BB138" s="9">
        <v>15181.320000000003</v>
      </c>
      <c r="BC138" s="9">
        <v>24871.775000000001</v>
      </c>
      <c r="BD138" s="9">
        <v>27569.348000000002</v>
      </c>
      <c r="BE138" s="9">
        <v>27380.817999999999</v>
      </c>
      <c r="BF138" s="9">
        <v>27663.840000000004</v>
      </c>
      <c r="BG138" s="9">
        <v>27726.000000000004</v>
      </c>
      <c r="BH138" s="9">
        <v>27258.962000000003</v>
      </c>
      <c r="BI138" s="9">
        <v>26930.340000000004</v>
      </c>
      <c r="BJ138" s="9">
        <v>22138.512000000002</v>
      </c>
      <c r="BK138" s="9">
        <v>17725.635000000002</v>
      </c>
      <c r="BL138" s="9">
        <v>6322.3200000000006</v>
      </c>
      <c r="BM138" s="9">
        <v>0</v>
      </c>
      <c r="BN138" s="9">
        <v>0</v>
      </c>
      <c r="BO138" s="9">
        <v>0</v>
      </c>
      <c r="BP138" s="9">
        <v>0</v>
      </c>
      <c r="BQ138" s="9">
        <v>0</v>
      </c>
      <c r="BR138" s="9">
        <v>0</v>
      </c>
      <c r="BS138" s="9">
        <v>0</v>
      </c>
      <c r="BT138" s="9">
        <v>0</v>
      </c>
      <c r="BU138" s="9">
        <v>0</v>
      </c>
      <c r="BV138" s="9">
        <v>0</v>
      </c>
      <c r="BW138" s="9">
        <v>0</v>
      </c>
      <c r="BX138" s="9">
        <v>0</v>
      </c>
    </row>
    <row r="139" spans="1:76">
      <c r="A139" s="3" t="s">
        <v>66</v>
      </c>
      <c r="B139" t="s">
        <v>26</v>
      </c>
      <c r="C139" t="str">
        <f>+_xlfn.XLOOKUP(B139,'L4'!B:B,'L4'!C:C)</f>
        <v>PREKAST KABLO KANALI YAPILMASI</v>
      </c>
      <c r="D139" t="s">
        <v>4967</v>
      </c>
      <c r="E139" t="str">
        <f>+_xlfn.XLOOKUP(D139,'M2'!H:H,'M2'!I:I)</f>
        <v>PROJE GENELİ</v>
      </c>
      <c r="F139" s="91" t="s">
        <v>4973</v>
      </c>
      <c r="G139" t="s">
        <v>4983</v>
      </c>
      <c r="H139" s="3" t="s">
        <v>4984</v>
      </c>
      <c r="I139" s="3" t="s">
        <v>347</v>
      </c>
      <c r="J139" s="124">
        <v>18836</v>
      </c>
      <c r="K139" s="124">
        <f t="shared" si="114"/>
        <v>18836</v>
      </c>
      <c r="L139" s="6">
        <f t="shared" si="113"/>
        <v>0</v>
      </c>
      <c r="M139" s="124">
        <f t="shared" si="112"/>
        <v>18836</v>
      </c>
      <c r="N139" s="9">
        <v>0</v>
      </c>
      <c r="O139" s="9">
        <v>0</v>
      </c>
      <c r="P139" s="9">
        <v>0</v>
      </c>
      <c r="Q139" s="9">
        <v>0</v>
      </c>
      <c r="R139" s="9">
        <v>0</v>
      </c>
      <c r="S139" s="9">
        <v>0</v>
      </c>
      <c r="T139" s="9">
        <v>0</v>
      </c>
      <c r="U139" s="9">
        <v>0</v>
      </c>
      <c r="V139" s="9">
        <v>0</v>
      </c>
      <c r="W139" s="9">
        <v>0</v>
      </c>
      <c r="X139" s="10">
        <v>626.41430998743738</v>
      </c>
      <c r="Y139" s="9">
        <v>109.96334022701159</v>
      </c>
      <c r="Z139" s="9">
        <v>159.54815644914677</v>
      </c>
      <c r="AA139" s="9">
        <v>202.15276614427972</v>
      </c>
      <c r="AB139" s="9">
        <v>431.73950251389778</v>
      </c>
      <c r="AC139" s="9">
        <v>240.90002453093442</v>
      </c>
      <c r="AD139" s="9">
        <v>251.408138797844</v>
      </c>
      <c r="AE139" s="9">
        <v>248.85226178782275</v>
      </c>
      <c r="AF139" s="9">
        <v>289.83022288644366</v>
      </c>
      <c r="AG139" s="9">
        <v>390.6425127635498</v>
      </c>
      <c r="AH139" s="9">
        <v>481.27395323718935</v>
      </c>
      <c r="AI139" s="9">
        <v>559.26278033691744</v>
      </c>
      <c r="AJ139" s="9">
        <v>645.10644032961375</v>
      </c>
      <c r="AK139" s="9">
        <v>645.10644032961375</v>
      </c>
      <c r="AL139" s="9">
        <v>638.381598793894</v>
      </c>
      <c r="AM139" s="9">
        <v>727.66880238714248</v>
      </c>
      <c r="AN139" s="9">
        <v>727.66880238714248</v>
      </c>
      <c r="AO139" s="9">
        <v>707.29068993673911</v>
      </c>
      <c r="AP139" s="9">
        <v>721.55536865202134</v>
      </c>
      <c r="AQ139" s="9">
        <v>698.58744516838249</v>
      </c>
      <c r="AR139" s="9">
        <v>705.55773640025745</v>
      </c>
      <c r="AS139" s="9">
        <v>957.12309266589511</v>
      </c>
      <c r="AT139" s="9">
        <v>1007.2115162951502</v>
      </c>
      <c r="AU139" s="9">
        <v>957.12309266589511</v>
      </c>
      <c r="AV139" s="9">
        <v>957.12309266589511</v>
      </c>
      <c r="AW139" s="9">
        <v>957.12309266589511</v>
      </c>
      <c r="AX139" s="9">
        <v>920.44249025516899</v>
      </c>
      <c r="AY139" s="9">
        <v>910.56791101001329</v>
      </c>
      <c r="AZ139" s="9">
        <v>670.43989961827253</v>
      </c>
      <c r="BA139" s="9">
        <v>480.92345382952078</v>
      </c>
      <c r="BB139" s="9">
        <v>334.20104418661612</v>
      </c>
      <c r="BC139" s="9">
        <v>171.17614458338878</v>
      </c>
      <c r="BD139" s="9">
        <v>171.17614458338878</v>
      </c>
      <c r="BE139" s="9">
        <v>132.45773092762224</v>
      </c>
      <c r="BF139" s="9">
        <v>0</v>
      </c>
      <c r="BG139" s="9">
        <v>0</v>
      </c>
      <c r="BH139" s="9">
        <v>0</v>
      </c>
      <c r="BI139" s="9">
        <v>0</v>
      </c>
      <c r="BJ139" s="9">
        <v>0</v>
      </c>
      <c r="BK139" s="9">
        <v>0</v>
      </c>
      <c r="BL139" s="9">
        <v>0</v>
      </c>
      <c r="BM139" s="9">
        <v>0</v>
      </c>
      <c r="BN139" s="9">
        <v>0</v>
      </c>
      <c r="BO139" s="9">
        <v>0</v>
      </c>
      <c r="BP139" s="9">
        <v>0</v>
      </c>
      <c r="BQ139" s="9">
        <v>0</v>
      </c>
      <c r="BR139" s="9">
        <v>0</v>
      </c>
      <c r="BS139" s="9">
        <v>0</v>
      </c>
      <c r="BT139" s="9">
        <v>0</v>
      </c>
      <c r="BU139" s="9">
        <v>0</v>
      </c>
      <c r="BV139" s="9">
        <v>0</v>
      </c>
      <c r="BW139" s="9">
        <v>0</v>
      </c>
      <c r="BX139" s="9">
        <v>0</v>
      </c>
    </row>
    <row r="140" spans="1:76">
      <c r="A140" s="3" t="s">
        <v>66</v>
      </c>
      <c r="B140" t="s">
        <v>27</v>
      </c>
      <c r="C140" t="str">
        <f>+_xlfn.XLOOKUP(B140,'L4'!B:B,'L4'!C:C)</f>
        <v>TÜNELDE ENJEKSIYON YAPILMASI</v>
      </c>
      <c r="D140" t="s">
        <v>4967</v>
      </c>
      <c r="E140" t="str">
        <f>+_xlfn.XLOOKUP(D140,'M2'!H:H,'M2'!I:I)</f>
        <v>PROJE GENELİ</v>
      </c>
      <c r="F140" s="91" t="s">
        <v>4973</v>
      </c>
      <c r="G140" t="s">
        <v>4983</v>
      </c>
      <c r="H140" s="3" t="s">
        <v>4984</v>
      </c>
      <c r="I140" s="3" t="s">
        <v>351</v>
      </c>
      <c r="J140" s="124">
        <v>0</v>
      </c>
      <c r="K140" s="124">
        <f t="shared" si="114"/>
        <v>0</v>
      </c>
      <c r="L140" s="6">
        <f t="shared" si="113"/>
        <v>0</v>
      </c>
      <c r="M140" s="124">
        <f t="shared" si="112"/>
        <v>0</v>
      </c>
      <c r="N140" s="9">
        <v>0</v>
      </c>
      <c r="O140" s="9">
        <v>0</v>
      </c>
      <c r="P140" s="9">
        <v>0</v>
      </c>
      <c r="Q140" s="9">
        <v>0</v>
      </c>
      <c r="R140" s="9">
        <v>0</v>
      </c>
      <c r="S140" s="9">
        <v>0</v>
      </c>
      <c r="T140" s="9">
        <v>0</v>
      </c>
      <c r="U140" s="9">
        <v>0</v>
      </c>
      <c r="V140" s="9">
        <v>0</v>
      </c>
      <c r="W140" s="9">
        <v>0</v>
      </c>
      <c r="X140" s="10">
        <v>0</v>
      </c>
      <c r="Y140" s="9">
        <v>0</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v>0</v>
      </c>
      <c r="AR140" s="9">
        <v>0</v>
      </c>
      <c r="AS140" s="9">
        <v>0</v>
      </c>
      <c r="AT140" s="9">
        <v>0</v>
      </c>
      <c r="AU140" s="9">
        <v>0</v>
      </c>
      <c r="AV140" s="9">
        <v>0</v>
      </c>
      <c r="AW140" s="9">
        <v>0</v>
      </c>
      <c r="AX140" s="9">
        <v>0</v>
      </c>
      <c r="AY140" s="9">
        <v>0</v>
      </c>
      <c r="AZ140" s="9">
        <v>0</v>
      </c>
      <c r="BA140" s="9">
        <v>0</v>
      </c>
      <c r="BB140" s="9">
        <v>0</v>
      </c>
      <c r="BC140" s="9">
        <v>0</v>
      </c>
      <c r="BD140" s="9">
        <v>0</v>
      </c>
      <c r="BE140" s="9">
        <v>0</v>
      </c>
      <c r="BF140" s="9">
        <v>0</v>
      </c>
      <c r="BG140" s="9">
        <v>0</v>
      </c>
      <c r="BH140" s="9">
        <v>0</v>
      </c>
      <c r="BI140" s="9">
        <v>0</v>
      </c>
      <c r="BJ140" s="9">
        <v>0</v>
      </c>
      <c r="BK140" s="9">
        <v>0</v>
      </c>
      <c r="BL140" s="9">
        <v>0</v>
      </c>
      <c r="BM140" s="9">
        <v>0</v>
      </c>
      <c r="BN140" s="9">
        <v>0</v>
      </c>
      <c r="BO140" s="9">
        <v>0</v>
      </c>
      <c r="BP140" s="9">
        <v>0</v>
      </c>
      <c r="BQ140" s="9">
        <v>0</v>
      </c>
      <c r="BR140" s="9">
        <v>0</v>
      </c>
      <c r="BS140" s="9">
        <v>0</v>
      </c>
      <c r="BT140" s="9">
        <v>0</v>
      </c>
      <c r="BU140" s="9">
        <v>0</v>
      </c>
      <c r="BV140" s="9">
        <v>0</v>
      </c>
      <c r="BW140" s="9">
        <v>0</v>
      </c>
      <c r="BX140" s="9">
        <v>0</v>
      </c>
    </row>
    <row r="141" spans="1:76">
      <c r="A141" s="3" t="s">
        <v>66</v>
      </c>
      <c r="B141" t="s">
        <v>28</v>
      </c>
      <c r="C141" t="str">
        <f>+_xlfn.XLOOKUP(B141,'L4'!B:B,'L4'!C:C)</f>
        <v>ENJEKSIYON AMAÇLI DELIK AÇILMASI</v>
      </c>
      <c r="D141" t="s">
        <v>4967</v>
      </c>
      <c r="E141" t="str">
        <f>+_xlfn.XLOOKUP(D141,'M2'!H:H,'M2'!I:I)</f>
        <v>PROJE GENELİ</v>
      </c>
      <c r="F141" s="91" t="s">
        <v>4973</v>
      </c>
      <c r="G141" t="s">
        <v>4983</v>
      </c>
      <c r="H141" s="3" t="s">
        <v>4984</v>
      </c>
      <c r="I141" s="3" t="s">
        <v>355</v>
      </c>
      <c r="J141" s="124">
        <v>0</v>
      </c>
      <c r="K141" s="124">
        <f t="shared" si="114"/>
        <v>0</v>
      </c>
      <c r="L141" s="6">
        <f t="shared" si="113"/>
        <v>0</v>
      </c>
      <c r="M141" s="124">
        <f t="shared" si="112"/>
        <v>0</v>
      </c>
      <c r="N141" s="9">
        <v>0</v>
      </c>
      <c r="O141" s="9">
        <v>0</v>
      </c>
      <c r="P141" s="9">
        <v>0</v>
      </c>
      <c r="Q141" s="9">
        <v>0</v>
      </c>
      <c r="R141" s="9">
        <v>0</v>
      </c>
      <c r="S141" s="9">
        <v>0</v>
      </c>
      <c r="T141" s="9">
        <v>0</v>
      </c>
      <c r="U141" s="9">
        <v>0</v>
      </c>
      <c r="V141" s="9">
        <v>0</v>
      </c>
      <c r="W141" s="9">
        <v>0</v>
      </c>
      <c r="X141" s="10">
        <v>0</v>
      </c>
      <c r="Y141" s="9">
        <v>0</v>
      </c>
      <c r="Z141" s="9">
        <v>0</v>
      </c>
      <c r="AA141" s="9">
        <v>0</v>
      </c>
      <c r="AB141" s="9">
        <v>0</v>
      </c>
      <c r="AC141" s="9">
        <v>0</v>
      </c>
      <c r="AD141" s="9">
        <v>0</v>
      </c>
      <c r="AE141" s="9">
        <v>0</v>
      </c>
      <c r="AF141" s="9">
        <v>0</v>
      </c>
      <c r="AG141" s="9">
        <v>0</v>
      </c>
      <c r="AH141" s="9">
        <v>0</v>
      </c>
      <c r="AI141" s="9">
        <v>0</v>
      </c>
      <c r="AJ141" s="9">
        <v>0</v>
      </c>
      <c r="AK141" s="9">
        <v>0</v>
      </c>
      <c r="AL141" s="9">
        <v>0</v>
      </c>
      <c r="AM141" s="9">
        <v>0</v>
      </c>
      <c r="AN141" s="9">
        <v>0</v>
      </c>
      <c r="AO141" s="9">
        <v>0</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s="9">
        <v>0</v>
      </c>
      <c r="BI141" s="9">
        <v>0</v>
      </c>
      <c r="BJ141" s="9">
        <v>0</v>
      </c>
      <c r="BK141" s="9">
        <v>0</v>
      </c>
      <c r="BL141" s="9">
        <v>0</v>
      </c>
      <c r="BM141" s="9">
        <v>0</v>
      </c>
      <c r="BN141" s="9">
        <v>0</v>
      </c>
      <c r="BO141" s="9">
        <v>0</v>
      </c>
      <c r="BP141" s="9">
        <v>0</v>
      </c>
      <c r="BQ141" s="9">
        <v>0</v>
      </c>
      <c r="BR141" s="9">
        <v>0</v>
      </c>
      <c r="BS141" s="9">
        <v>0</v>
      </c>
      <c r="BT141" s="9">
        <v>0</v>
      </c>
      <c r="BU141" s="9">
        <v>0</v>
      </c>
      <c r="BV141" s="9">
        <v>0</v>
      </c>
      <c r="BW141" s="9">
        <v>0</v>
      </c>
      <c r="BX141" s="9">
        <v>0</v>
      </c>
    </row>
    <row r="142" spans="1:76">
      <c r="A142" s="3" t="s">
        <v>66</v>
      </c>
      <c r="B142" t="s">
        <v>29</v>
      </c>
      <c r="C142" t="str">
        <f>+_xlfn.XLOOKUP(B142,'L4'!B:B,'L4'!C:C)</f>
        <v>BETON - DEMIRSIZ - BOŞLUK / POROZ</v>
      </c>
      <c r="D142" t="s">
        <v>4967</v>
      </c>
      <c r="E142" t="str">
        <f>+_xlfn.XLOOKUP(D142,'M2'!H:H,'M2'!I:I)</f>
        <v>PROJE GENELİ</v>
      </c>
      <c r="F142" s="91" t="s">
        <v>4973</v>
      </c>
      <c r="G142" t="s">
        <v>4983</v>
      </c>
      <c r="H142" s="3" t="s">
        <v>4984</v>
      </c>
      <c r="I142" s="3" t="s">
        <v>359</v>
      </c>
      <c r="J142" s="124">
        <v>5006.3510000000015</v>
      </c>
      <c r="K142" s="124">
        <f t="shared" si="114"/>
        <v>5006.3510000000015</v>
      </c>
      <c r="L142" s="6">
        <f t="shared" si="113"/>
        <v>0</v>
      </c>
      <c r="M142" s="124">
        <f t="shared" si="112"/>
        <v>5006.3510000000015</v>
      </c>
      <c r="N142" s="9">
        <v>0</v>
      </c>
      <c r="O142" s="9">
        <v>0</v>
      </c>
      <c r="P142" s="9">
        <v>0</v>
      </c>
      <c r="Q142" s="9">
        <v>0</v>
      </c>
      <c r="R142" s="9">
        <v>0</v>
      </c>
      <c r="S142" s="9">
        <v>0</v>
      </c>
      <c r="T142" s="9">
        <v>0</v>
      </c>
      <c r="U142" s="9">
        <v>0</v>
      </c>
      <c r="V142" s="9">
        <v>0</v>
      </c>
      <c r="W142" s="9">
        <v>0</v>
      </c>
      <c r="X142" s="10">
        <v>43.333041983357894</v>
      </c>
      <c r="Y142" s="9">
        <v>56.694050156927325</v>
      </c>
      <c r="Z142" s="9">
        <v>59.08165616407517</v>
      </c>
      <c r="AA142" s="9">
        <v>72.38062616959435</v>
      </c>
      <c r="AB142" s="9">
        <v>138.43278433146972</v>
      </c>
      <c r="AC142" s="9">
        <v>117.47367598672818</v>
      </c>
      <c r="AD142" s="9">
        <v>118.73863579956533</v>
      </c>
      <c r="AE142" s="9">
        <v>120.45732817448493</v>
      </c>
      <c r="AF142" s="9">
        <v>115.10421443360178</v>
      </c>
      <c r="AG142" s="9">
        <v>133.94413034383024</v>
      </c>
      <c r="AH142" s="9">
        <v>156.9314171032625</v>
      </c>
      <c r="AI142" s="9">
        <v>180.90815604867299</v>
      </c>
      <c r="AJ142" s="9">
        <v>199.28051557427688</v>
      </c>
      <c r="AK142" s="9">
        <v>199.28051557427688</v>
      </c>
      <c r="AL142" s="9">
        <v>165.06408186259782</v>
      </c>
      <c r="AM142" s="9">
        <v>175.11599406178084</v>
      </c>
      <c r="AN142" s="9">
        <v>175.11599406178084</v>
      </c>
      <c r="AO142" s="9">
        <v>169.72741140074189</v>
      </c>
      <c r="AP142" s="9">
        <v>178.9557500624129</v>
      </c>
      <c r="AQ142" s="9">
        <v>179.46423043482216</v>
      </c>
      <c r="AR142" s="9">
        <v>180.49825404791594</v>
      </c>
      <c r="AS142" s="9">
        <v>222.4518631528058</v>
      </c>
      <c r="AT142" s="9">
        <v>238.04844397675998</v>
      </c>
      <c r="AU142" s="9">
        <v>225.44945768532958</v>
      </c>
      <c r="AV142" s="9">
        <v>225.44945768532958</v>
      </c>
      <c r="AW142" s="9">
        <v>222.89587402584303</v>
      </c>
      <c r="AX142" s="9">
        <v>230.65459923450342</v>
      </c>
      <c r="AY142" s="9">
        <v>227.12845192524182</v>
      </c>
      <c r="AZ142" s="9">
        <v>161.96286759126323</v>
      </c>
      <c r="BA142" s="9">
        <v>111.84904884360068</v>
      </c>
      <c r="BB142" s="9">
        <v>78.924496100939095</v>
      </c>
      <c r="BC142" s="9">
        <v>45.264094352727476</v>
      </c>
      <c r="BD142" s="9">
        <v>45.264094352727476</v>
      </c>
      <c r="BE142" s="9">
        <v>35.0257872967534</v>
      </c>
      <c r="BF142" s="9">
        <v>0</v>
      </c>
      <c r="BG142" s="9">
        <v>0</v>
      </c>
      <c r="BH142" s="9">
        <v>0</v>
      </c>
      <c r="BI142" s="9">
        <v>0</v>
      </c>
      <c r="BJ142" s="9">
        <v>0</v>
      </c>
      <c r="BK142" s="9">
        <v>0</v>
      </c>
      <c r="BL142" s="9">
        <v>0</v>
      </c>
      <c r="BM142" s="9">
        <v>0</v>
      </c>
      <c r="BN142" s="9">
        <v>0</v>
      </c>
      <c r="BO142" s="9">
        <v>0</v>
      </c>
      <c r="BP142" s="9">
        <v>0</v>
      </c>
      <c r="BQ142" s="9">
        <v>0</v>
      </c>
      <c r="BR142" s="9">
        <v>0</v>
      </c>
      <c r="BS142" s="9">
        <v>0</v>
      </c>
      <c r="BT142" s="9">
        <v>0</v>
      </c>
      <c r="BU142" s="9">
        <v>0</v>
      </c>
      <c r="BV142" s="9">
        <v>0</v>
      </c>
      <c r="BW142" s="9">
        <v>0</v>
      </c>
      <c r="BX142" s="9">
        <v>0</v>
      </c>
    </row>
    <row r="143" spans="1:76">
      <c r="A143" s="3" t="s">
        <v>66</v>
      </c>
      <c r="B143" t="s">
        <v>2655</v>
      </c>
      <c r="C143" t="str">
        <f>+_xlfn.XLOOKUP(B143,'L4'!B:B,'L4'!C:C)</f>
        <v>PLENTMIKS ALTTEMEL VE PLENTMIKS TEMEL</v>
      </c>
      <c r="D143" t="s">
        <v>4967</v>
      </c>
      <c r="E143" t="str">
        <f>+_xlfn.XLOOKUP(D143,'M2'!H:H,'M2'!I:I)</f>
        <v>PROJE GENELİ</v>
      </c>
      <c r="F143" s="91" t="s">
        <v>4973</v>
      </c>
      <c r="G143" t="s">
        <v>4983</v>
      </c>
      <c r="H143" s="3" t="s">
        <v>4984</v>
      </c>
      <c r="I143" s="3" t="s">
        <v>366</v>
      </c>
      <c r="J143" s="124">
        <v>274292.99999999994</v>
      </c>
      <c r="K143" s="124">
        <f t="shared" si="114"/>
        <v>274292.99999999994</v>
      </c>
      <c r="L143" s="6">
        <f t="shared" si="113"/>
        <v>0</v>
      </c>
      <c r="M143" s="124">
        <f t="shared" si="112"/>
        <v>274292.99999999994</v>
      </c>
      <c r="N143" s="9">
        <v>0</v>
      </c>
      <c r="O143" s="9">
        <v>0</v>
      </c>
      <c r="P143" s="9">
        <v>0</v>
      </c>
      <c r="Q143" s="9">
        <v>0</v>
      </c>
      <c r="R143" s="9">
        <v>0</v>
      </c>
      <c r="S143" s="9">
        <v>0</v>
      </c>
      <c r="T143" s="9">
        <v>0</v>
      </c>
      <c r="U143" s="9">
        <v>0</v>
      </c>
      <c r="V143" s="9">
        <v>0</v>
      </c>
      <c r="W143" s="9">
        <v>0</v>
      </c>
      <c r="X143" s="10">
        <v>0</v>
      </c>
      <c r="Y143" s="9">
        <v>0</v>
      </c>
      <c r="Z143" s="9">
        <v>0</v>
      </c>
      <c r="AA143" s="9">
        <v>0</v>
      </c>
      <c r="AB143" s="9">
        <v>0</v>
      </c>
      <c r="AC143" s="9">
        <v>0</v>
      </c>
      <c r="AD143" s="9">
        <v>0</v>
      </c>
      <c r="AE143" s="9">
        <v>0</v>
      </c>
      <c r="AF143" s="9">
        <v>19592.357142857141</v>
      </c>
      <c r="AG143" s="9">
        <v>19592.357142857141</v>
      </c>
      <c r="AH143" s="9">
        <v>19592.357142857141</v>
      </c>
      <c r="AI143" s="9">
        <v>19592.357142857141</v>
      </c>
      <c r="AJ143" s="9">
        <v>19592.357142857141</v>
      </c>
      <c r="AK143" s="9">
        <v>19592.357142857141</v>
      </c>
      <c r="AL143" s="9">
        <v>19592.357142857141</v>
      </c>
      <c r="AM143" s="9">
        <v>0</v>
      </c>
      <c r="AN143" s="9">
        <v>0</v>
      </c>
      <c r="AO143" s="9">
        <v>0</v>
      </c>
      <c r="AP143" s="9">
        <v>0</v>
      </c>
      <c r="AQ143" s="9">
        <v>19592.357142857141</v>
      </c>
      <c r="AR143" s="9">
        <v>19592.357142857141</v>
      </c>
      <c r="AS143" s="9">
        <v>19592.357142857141</v>
      </c>
      <c r="AT143" s="9">
        <v>19592.357142857141</v>
      </c>
      <c r="AU143" s="9">
        <v>19592.357142857141</v>
      </c>
      <c r="AV143" s="9">
        <v>19592.357142857141</v>
      </c>
      <c r="AW143" s="9">
        <v>19592.357142857141</v>
      </c>
      <c r="AX143" s="9">
        <v>0</v>
      </c>
      <c r="AY143" s="9">
        <v>0</v>
      </c>
      <c r="AZ143" s="9">
        <v>0</v>
      </c>
      <c r="BA143" s="9">
        <v>0</v>
      </c>
      <c r="BB143" s="9">
        <v>0</v>
      </c>
      <c r="BC143" s="9">
        <v>0</v>
      </c>
      <c r="BD143" s="9">
        <v>0</v>
      </c>
      <c r="BE143" s="9">
        <v>0</v>
      </c>
      <c r="BF143" s="9">
        <v>0</v>
      </c>
      <c r="BG143" s="9">
        <v>0</v>
      </c>
      <c r="BH143" s="9">
        <v>0</v>
      </c>
      <c r="BI143" s="9">
        <v>0</v>
      </c>
      <c r="BJ143" s="9">
        <v>0</v>
      </c>
      <c r="BK143" s="9">
        <v>0</v>
      </c>
      <c r="BL143" s="9">
        <v>0</v>
      </c>
      <c r="BM143" s="9">
        <v>0</v>
      </c>
      <c r="BN143" s="9">
        <v>0</v>
      </c>
      <c r="BO143" s="9">
        <v>0</v>
      </c>
      <c r="BP143" s="9">
        <v>0</v>
      </c>
      <c r="BQ143" s="9">
        <v>0</v>
      </c>
      <c r="BR143" s="9">
        <v>0</v>
      </c>
      <c r="BS143" s="9">
        <v>0</v>
      </c>
      <c r="BT143" s="9">
        <v>0</v>
      </c>
      <c r="BU143" s="9">
        <v>0</v>
      </c>
      <c r="BV143" s="9">
        <v>0</v>
      </c>
      <c r="BW143" s="9">
        <v>0</v>
      </c>
      <c r="BX143" s="9">
        <v>0</v>
      </c>
    </row>
    <row r="144" spans="1:76">
      <c r="A144" s="3" t="s">
        <v>66</v>
      </c>
      <c r="B144" t="s">
        <v>2656</v>
      </c>
      <c r="C144" t="str">
        <f>+_xlfn.XLOOKUP(B144,'L4'!B:B,'L4'!C:C)</f>
        <v>BITÜMLÜ SICAK TEMEL YAPILMASI</v>
      </c>
      <c r="D144" t="s">
        <v>4967</v>
      </c>
      <c r="E144" t="str">
        <f>+_xlfn.XLOOKUP(D144,'M2'!H:H,'M2'!I:I)</f>
        <v>PROJE GENELİ</v>
      </c>
      <c r="F144" s="91" t="s">
        <v>4973</v>
      </c>
      <c r="G144" t="s">
        <v>4983</v>
      </c>
      <c r="H144" s="3" t="s">
        <v>4984</v>
      </c>
      <c r="I144" s="3" t="s">
        <v>370</v>
      </c>
      <c r="J144" s="124">
        <v>11147.21</v>
      </c>
      <c r="K144" s="124">
        <f t="shared" si="114"/>
        <v>11147.21</v>
      </c>
      <c r="L144" s="6">
        <f t="shared" si="113"/>
        <v>0</v>
      </c>
      <c r="M144" s="124">
        <f t="shared" si="112"/>
        <v>11147.21</v>
      </c>
      <c r="N144" s="9">
        <v>0</v>
      </c>
      <c r="O144" s="9">
        <v>0</v>
      </c>
      <c r="P144" s="9">
        <v>0</v>
      </c>
      <c r="Q144" s="9">
        <v>0</v>
      </c>
      <c r="R144" s="9">
        <v>0</v>
      </c>
      <c r="S144" s="9">
        <v>0</v>
      </c>
      <c r="T144" s="9">
        <v>0</v>
      </c>
      <c r="U144" s="9">
        <v>0</v>
      </c>
      <c r="V144" s="9">
        <v>0</v>
      </c>
      <c r="W144" s="9">
        <v>0</v>
      </c>
      <c r="X144" s="10">
        <v>0</v>
      </c>
      <c r="Y144" s="9">
        <v>0</v>
      </c>
      <c r="Z144" s="9">
        <v>0</v>
      </c>
      <c r="AA144" s="9">
        <v>0</v>
      </c>
      <c r="AB144" s="9">
        <v>0</v>
      </c>
      <c r="AC144" s="9">
        <v>0</v>
      </c>
      <c r="AD144" s="9">
        <v>0</v>
      </c>
      <c r="AE144" s="9">
        <v>0</v>
      </c>
      <c r="AF144" s="9">
        <v>0</v>
      </c>
      <c r="AG144" s="9">
        <v>796.22928571428565</v>
      </c>
      <c r="AH144" s="9">
        <v>796.22928571428565</v>
      </c>
      <c r="AI144" s="9">
        <v>796.22928571428565</v>
      </c>
      <c r="AJ144" s="9">
        <v>796.22928571428565</v>
      </c>
      <c r="AK144" s="9">
        <v>796.22928571428565</v>
      </c>
      <c r="AL144" s="9">
        <v>796.22928571428565</v>
      </c>
      <c r="AM144" s="9">
        <v>796.22928571428565</v>
      </c>
      <c r="AN144" s="9">
        <v>0</v>
      </c>
      <c r="AO144" s="9">
        <v>0</v>
      </c>
      <c r="AP144" s="9">
        <v>0</v>
      </c>
      <c r="AQ144" s="9">
        <v>796.22928571428565</v>
      </c>
      <c r="AR144" s="9">
        <v>796.22928571428565</v>
      </c>
      <c r="AS144" s="9">
        <v>796.22928571428565</v>
      </c>
      <c r="AT144" s="9">
        <v>796.22928571428565</v>
      </c>
      <c r="AU144" s="9">
        <v>796.22928571428565</v>
      </c>
      <c r="AV144" s="9">
        <v>796.22928571428565</v>
      </c>
      <c r="AW144" s="9">
        <v>796.22928571428565</v>
      </c>
      <c r="AX144" s="9">
        <v>0</v>
      </c>
      <c r="AY144" s="9">
        <v>0</v>
      </c>
      <c r="AZ144" s="9">
        <v>0</v>
      </c>
      <c r="BA144" s="9">
        <v>0</v>
      </c>
      <c r="BB144" s="9">
        <v>0</v>
      </c>
      <c r="BC144" s="9">
        <v>0</v>
      </c>
      <c r="BD144" s="9">
        <v>0</v>
      </c>
      <c r="BE144" s="9">
        <v>0</v>
      </c>
      <c r="BF144" s="9">
        <v>0</v>
      </c>
      <c r="BG144" s="9">
        <v>0</v>
      </c>
      <c r="BH144" s="9">
        <v>0</v>
      </c>
      <c r="BI144" s="9">
        <v>0</v>
      </c>
      <c r="BJ144" s="9">
        <v>0</v>
      </c>
      <c r="BK144" s="9">
        <v>0</v>
      </c>
      <c r="BL144" s="9">
        <v>0</v>
      </c>
      <c r="BM144" s="9">
        <v>0</v>
      </c>
      <c r="BN144" s="9">
        <v>0</v>
      </c>
      <c r="BO144" s="9">
        <v>0</v>
      </c>
      <c r="BP144" s="9">
        <v>0</v>
      </c>
      <c r="BQ144" s="9">
        <v>0</v>
      </c>
      <c r="BR144" s="9">
        <v>0</v>
      </c>
      <c r="BS144" s="9">
        <v>0</v>
      </c>
      <c r="BT144" s="9">
        <v>0</v>
      </c>
      <c r="BU144" s="9">
        <v>0</v>
      </c>
      <c r="BV144" s="9">
        <v>0</v>
      </c>
      <c r="BW144" s="9">
        <v>0</v>
      </c>
      <c r="BX144" s="9">
        <v>0</v>
      </c>
    </row>
    <row r="145" spans="1:76">
      <c r="A145" s="3" t="s">
        <v>66</v>
      </c>
      <c r="B145" t="s">
        <v>2657</v>
      </c>
      <c r="C145" t="str">
        <f>+_xlfn.XLOOKUP(B145,'L4'!B:B,'L4'!C:C)</f>
        <v>BINDER TABAKASI YAPILMASI ( BITÜM YÜKLENICI )</v>
      </c>
      <c r="D145" t="s">
        <v>4967</v>
      </c>
      <c r="E145" t="str">
        <f>+_xlfn.XLOOKUP(D145,'M2'!H:H,'M2'!I:I)</f>
        <v>PROJE GENELİ</v>
      </c>
      <c r="F145" s="91" t="s">
        <v>4973</v>
      </c>
      <c r="G145" t="s">
        <v>4983</v>
      </c>
      <c r="H145" s="3" t="s">
        <v>4984</v>
      </c>
      <c r="I145" s="3" t="s">
        <v>374</v>
      </c>
      <c r="J145" s="124">
        <v>12256.919999999998</v>
      </c>
      <c r="K145" s="124">
        <f t="shared" si="114"/>
        <v>12256.919999999998</v>
      </c>
      <c r="L145" s="6">
        <f t="shared" si="113"/>
        <v>0</v>
      </c>
      <c r="M145" s="124">
        <f t="shared" si="112"/>
        <v>12256.919999999998</v>
      </c>
      <c r="N145" s="9">
        <v>0</v>
      </c>
      <c r="O145" s="9">
        <v>0</v>
      </c>
      <c r="P145" s="9">
        <v>0</v>
      </c>
      <c r="Q145" s="9">
        <v>0</v>
      </c>
      <c r="R145" s="9">
        <v>0</v>
      </c>
      <c r="S145" s="9">
        <v>0</v>
      </c>
      <c r="T145" s="9">
        <v>0</v>
      </c>
      <c r="U145" s="9">
        <v>0</v>
      </c>
      <c r="V145" s="9">
        <v>0</v>
      </c>
      <c r="W145" s="9">
        <v>0</v>
      </c>
      <c r="X145" s="10">
        <v>0</v>
      </c>
      <c r="Y145" s="9">
        <v>0</v>
      </c>
      <c r="Z145" s="9">
        <v>0</v>
      </c>
      <c r="AA145" s="9">
        <v>0</v>
      </c>
      <c r="AB145" s="9">
        <v>0</v>
      </c>
      <c r="AC145" s="9">
        <v>0</v>
      </c>
      <c r="AD145" s="9">
        <v>0</v>
      </c>
      <c r="AE145" s="9">
        <v>0</v>
      </c>
      <c r="AF145" s="9">
        <v>0</v>
      </c>
      <c r="AG145" s="9">
        <v>875.49428571428575</v>
      </c>
      <c r="AH145" s="9">
        <v>875.49428571428575</v>
      </c>
      <c r="AI145" s="9">
        <v>875.49428571428575</v>
      </c>
      <c r="AJ145" s="9">
        <v>875.49428571428575</v>
      </c>
      <c r="AK145" s="9">
        <v>875.49428571428575</v>
      </c>
      <c r="AL145" s="9">
        <v>875.49428571428575</v>
      </c>
      <c r="AM145" s="9">
        <v>875.49428571428575</v>
      </c>
      <c r="AN145" s="9">
        <v>0</v>
      </c>
      <c r="AO145" s="9">
        <v>0</v>
      </c>
      <c r="AP145" s="9">
        <v>0</v>
      </c>
      <c r="AQ145" s="9">
        <v>875.49428571428575</v>
      </c>
      <c r="AR145" s="9">
        <v>875.49428571428575</v>
      </c>
      <c r="AS145" s="9">
        <v>875.49428571428575</v>
      </c>
      <c r="AT145" s="9">
        <v>875.49428571428575</v>
      </c>
      <c r="AU145" s="9">
        <v>875.49428571428575</v>
      </c>
      <c r="AV145" s="9">
        <v>875.49428571428575</v>
      </c>
      <c r="AW145" s="9">
        <v>875.49428571428575</v>
      </c>
      <c r="AX145" s="9">
        <v>0</v>
      </c>
      <c r="AY145" s="9">
        <v>0</v>
      </c>
      <c r="AZ145" s="9">
        <v>0</v>
      </c>
      <c r="BA145" s="9">
        <v>0</v>
      </c>
      <c r="BB145" s="9">
        <v>0</v>
      </c>
      <c r="BC145" s="9">
        <v>0</v>
      </c>
      <c r="BD145" s="9">
        <v>0</v>
      </c>
      <c r="BE145" s="9">
        <v>0</v>
      </c>
      <c r="BF145" s="9">
        <v>0</v>
      </c>
      <c r="BG145" s="9">
        <v>0</v>
      </c>
      <c r="BH145" s="9">
        <v>0</v>
      </c>
      <c r="BI145" s="9">
        <v>0</v>
      </c>
      <c r="BJ145" s="9">
        <v>0</v>
      </c>
      <c r="BK145" s="9">
        <v>0</v>
      </c>
      <c r="BL145" s="9">
        <v>0</v>
      </c>
      <c r="BM145" s="9">
        <v>0</v>
      </c>
      <c r="BN145" s="9">
        <v>0</v>
      </c>
      <c r="BO145" s="9">
        <v>0</v>
      </c>
      <c r="BP145" s="9">
        <v>0</v>
      </c>
      <c r="BQ145" s="9">
        <v>0</v>
      </c>
      <c r="BR145" s="9">
        <v>0</v>
      </c>
      <c r="BS145" s="9">
        <v>0</v>
      </c>
      <c r="BT145" s="9">
        <v>0</v>
      </c>
      <c r="BU145" s="9">
        <v>0</v>
      </c>
      <c r="BV145" s="9">
        <v>0</v>
      </c>
      <c r="BW145" s="9">
        <v>0</v>
      </c>
      <c r="BX145" s="9">
        <v>0</v>
      </c>
    </row>
    <row r="146" spans="1:76">
      <c r="A146" s="3" t="s">
        <v>66</v>
      </c>
      <c r="B146" t="s">
        <v>2658</v>
      </c>
      <c r="C146" t="str">
        <f>+_xlfn.XLOOKUP(B146,'L4'!B:B,'L4'!C:C)</f>
        <v>AŞINMA TABAKASI YAPILMASI</v>
      </c>
      <c r="D146" t="s">
        <v>4967</v>
      </c>
      <c r="E146" t="str">
        <f>+_xlfn.XLOOKUP(D146,'M2'!H:H,'M2'!I:I)</f>
        <v>PROJE GENELİ</v>
      </c>
      <c r="F146" s="91" t="s">
        <v>4973</v>
      </c>
      <c r="G146" t="s">
        <v>4983</v>
      </c>
      <c r="H146" s="3" t="s">
        <v>4984</v>
      </c>
      <c r="I146" s="3" t="s">
        <v>378</v>
      </c>
      <c r="J146" s="124">
        <v>9699.4599999999991</v>
      </c>
      <c r="K146" s="124">
        <f t="shared" si="114"/>
        <v>9699.4599999999991</v>
      </c>
      <c r="L146" s="6">
        <f t="shared" si="113"/>
        <v>0</v>
      </c>
      <c r="M146" s="124">
        <f t="shared" si="112"/>
        <v>9699.4599999999991</v>
      </c>
      <c r="N146" s="9">
        <v>0</v>
      </c>
      <c r="O146" s="9">
        <v>0</v>
      </c>
      <c r="P146" s="9">
        <v>0</v>
      </c>
      <c r="Q146" s="9">
        <v>0</v>
      </c>
      <c r="R146" s="9">
        <v>0</v>
      </c>
      <c r="S146" s="9">
        <v>0</v>
      </c>
      <c r="T146" s="9">
        <v>0</v>
      </c>
      <c r="U146" s="9">
        <v>0</v>
      </c>
      <c r="V146" s="9">
        <v>0</v>
      </c>
      <c r="W146" s="9">
        <v>0</v>
      </c>
      <c r="X146" s="10">
        <v>0</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0</v>
      </c>
      <c r="AR146" s="9">
        <v>0</v>
      </c>
      <c r="AS146" s="9">
        <v>1616.5766666666666</v>
      </c>
      <c r="AT146" s="9">
        <v>1616.5766666666666</v>
      </c>
      <c r="AU146" s="9">
        <v>1616.5766666666666</v>
      </c>
      <c r="AV146" s="9">
        <v>1616.5766666666666</v>
      </c>
      <c r="AW146" s="9">
        <v>1616.5766666666666</v>
      </c>
      <c r="AX146" s="9">
        <v>1616.5766666666666</v>
      </c>
      <c r="AY146" s="9">
        <v>0</v>
      </c>
      <c r="AZ146" s="9">
        <v>0</v>
      </c>
      <c r="BA146" s="9">
        <v>0</v>
      </c>
      <c r="BB146" s="9">
        <v>0</v>
      </c>
      <c r="BC146" s="9">
        <v>0</v>
      </c>
      <c r="BD146" s="9">
        <v>0</v>
      </c>
      <c r="BE146" s="9">
        <v>0</v>
      </c>
      <c r="BF146" s="9">
        <v>0</v>
      </c>
      <c r="BG146" s="9">
        <v>0</v>
      </c>
      <c r="BH146" s="9">
        <v>0</v>
      </c>
      <c r="BI146" s="9">
        <v>0</v>
      </c>
      <c r="BJ146" s="9">
        <v>0</v>
      </c>
      <c r="BK146" s="9">
        <v>0</v>
      </c>
      <c r="BL146" s="9">
        <v>0</v>
      </c>
      <c r="BM146" s="9">
        <v>0</v>
      </c>
      <c r="BN146" s="9">
        <v>0</v>
      </c>
      <c r="BO146" s="9">
        <v>0</v>
      </c>
      <c r="BP146" s="9">
        <v>0</v>
      </c>
      <c r="BQ146" s="9">
        <v>0</v>
      </c>
      <c r="BR146" s="9">
        <v>0</v>
      </c>
      <c r="BS146" s="9">
        <v>0</v>
      </c>
      <c r="BT146" s="9">
        <v>0</v>
      </c>
      <c r="BU146" s="9">
        <v>0</v>
      </c>
      <c r="BV146" s="9">
        <v>0</v>
      </c>
      <c r="BW146" s="9">
        <v>0</v>
      </c>
      <c r="BX146" s="9">
        <v>0</v>
      </c>
    </row>
    <row r="147" spans="1:76">
      <c r="A147" s="3" t="s">
        <v>66</v>
      </c>
      <c r="B147" t="s">
        <v>2659</v>
      </c>
      <c r="C147" t="str">
        <f>+_xlfn.XLOOKUP(B147,'L4'!B:B,'L4'!C:C)</f>
        <v>İKI TABAKA ASTARLI BITÜMLÜ SATHI KAPLAMA YP.</v>
      </c>
      <c r="D147" t="s">
        <v>4967</v>
      </c>
      <c r="E147" t="str">
        <f>+_xlfn.XLOOKUP(D147,'M2'!H:H,'M2'!I:I)</f>
        <v>PROJE GENELİ</v>
      </c>
      <c r="F147" s="91" t="s">
        <v>4973</v>
      </c>
      <c r="G147" t="s">
        <v>4983</v>
      </c>
      <c r="H147" s="3" t="s">
        <v>4984</v>
      </c>
      <c r="I147" s="3" t="s">
        <v>382</v>
      </c>
      <c r="J147" s="124">
        <v>148.1</v>
      </c>
      <c r="K147" s="124">
        <f t="shared" si="114"/>
        <v>148.1</v>
      </c>
      <c r="L147" s="6">
        <f t="shared" si="113"/>
        <v>0</v>
      </c>
      <c r="M147" s="124">
        <f t="shared" si="112"/>
        <v>148.1</v>
      </c>
      <c r="N147" s="9">
        <v>0</v>
      </c>
      <c r="O147" s="9">
        <v>0</v>
      </c>
      <c r="P147" s="9">
        <v>0</v>
      </c>
      <c r="Q147" s="9">
        <v>0</v>
      </c>
      <c r="R147" s="9">
        <v>0</v>
      </c>
      <c r="S147" s="9">
        <v>0</v>
      </c>
      <c r="T147" s="9">
        <v>0</v>
      </c>
      <c r="U147" s="9">
        <v>0</v>
      </c>
      <c r="V147" s="9">
        <v>0</v>
      </c>
      <c r="W147" s="9">
        <v>0</v>
      </c>
      <c r="X147" s="10">
        <v>0</v>
      </c>
      <c r="Y147" s="9">
        <v>0</v>
      </c>
      <c r="Z147" s="9">
        <v>0</v>
      </c>
      <c r="AA147" s="9">
        <v>0</v>
      </c>
      <c r="AB147" s="9">
        <v>0</v>
      </c>
      <c r="AC147" s="9">
        <v>0</v>
      </c>
      <c r="AD147" s="9">
        <v>0</v>
      </c>
      <c r="AE147" s="9">
        <v>0</v>
      </c>
      <c r="AF147" s="9">
        <v>0</v>
      </c>
      <c r="AG147" s="9">
        <v>0</v>
      </c>
      <c r="AH147" s="9">
        <v>0</v>
      </c>
      <c r="AI147" s="9">
        <v>0</v>
      </c>
      <c r="AJ147" s="9">
        <v>0</v>
      </c>
      <c r="AK147" s="9">
        <v>0</v>
      </c>
      <c r="AL147" s="9">
        <v>0</v>
      </c>
      <c r="AM147" s="9">
        <v>0</v>
      </c>
      <c r="AN147" s="9">
        <v>0</v>
      </c>
      <c r="AO147" s="9">
        <v>0</v>
      </c>
      <c r="AP147" s="9">
        <v>0</v>
      </c>
      <c r="AQ147" s="9">
        <v>0</v>
      </c>
      <c r="AR147" s="9">
        <v>0</v>
      </c>
      <c r="AS147" s="9">
        <v>0</v>
      </c>
      <c r="AT147" s="9">
        <v>24.683333333333334</v>
      </c>
      <c r="AU147" s="9">
        <v>24.683333333333334</v>
      </c>
      <c r="AV147" s="9">
        <v>24.683333333333334</v>
      </c>
      <c r="AW147" s="9">
        <v>24.683333333333334</v>
      </c>
      <c r="AX147" s="9">
        <v>24.683333333333334</v>
      </c>
      <c r="AY147" s="9">
        <v>24.683333333333334</v>
      </c>
      <c r="AZ147" s="9">
        <v>0</v>
      </c>
      <c r="BA147" s="9">
        <v>0</v>
      </c>
      <c r="BB147" s="9">
        <v>0</v>
      </c>
      <c r="BC147" s="9">
        <v>0</v>
      </c>
      <c r="BD147" s="9">
        <v>0</v>
      </c>
      <c r="BE147" s="9">
        <v>0</v>
      </c>
      <c r="BF147" s="9">
        <v>0</v>
      </c>
      <c r="BG147" s="9">
        <v>0</v>
      </c>
      <c r="BH147" s="9">
        <v>0</v>
      </c>
      <c r="BI147" s="9">
        <v>0</v>
      </c>
      <c r="BJ147" s="9">
        <v>0</v>
      </c>
      <c r="BK147" s="9">
        <v>0</v>
      </c>
      <c r="BL147" s="9">
        <v>0</v>
      </c>
      <c r="BM147" s="9">
        <v>0</v>
      </c>
      <c r="BN147" s="9">
        <v>0</v>
      </c>
      <c r="BO147" s="9">
        <v>0</v>
      </c>
      <c r="BP147" s="9">
        <v>0</v>
      </c>
      <c r="BQ147" s="9">
        <v>0</v>
      </c>
      <c r="BR147" s="9">
        <v>0</v>
      </c>
      <c r="BS147" s="9">
        <v>0</v>
      </c>
      <c r="BT147" s="9">
        <v>0</v>
      </c>
      <c r="BU147" s="9">
        <v>0</v>
      </c>
      <c r="BV147" s="9">
        <v>0</v>
      </c>
      <c r="BW147" s="9">
        <v>0</v>
      </c>
      <c r="BX147" s="9">
        <v>0</v>
      </c>
    </row>
    <row r="148" spans="1:76">
      <c r="A148" s="3" t="s">
        <v>66</v>
      </c>
      <c r="B148" t="s">
        <v>2661</v>
      </c>
      <c r="C148" t="str">
        <f>+_xlfn.XLOOKUP(B148,'L4'!B:B,'L4'!C:C)</f>
        <v>ALTYAPI AKTARIMLARI</v>
      </c>
      <c r="D148" t="s">
        <v>4967</v>
      </c>
      <c r="E148" t="str">
        <f>+_xlfn.XLOOKUP(D148,'M2'!H:H,'M2'!I:I)</f>
        <v>PROJE GENELİ</v>
      </c>
      <c r="F148" s="91" t="s">
        <v>4973</v>
      </c>
      <c r="G148" t="s">
        <v>4983</v>
      </c>
      <c r="H148" s="3" t="s">
        <v>4984</v>
      </c>
      <c r="I148" s="3" t="s">
        <v>390</v>
      </c>
      <c r="J148" s="124">
        <v>1</v>
      </c>
      <c r="K148" s="124">
        <f t="shared" si="114"/>
        <v>1</v>
      </c>
      <c r="L148" s="6">
        <f t="shared" si="113"/>
        <v>0</v>
      </c>
      <c r="M148" s="124">
        <f t="shared" si="112"/>
        <v>1</v>
      </c>
      <c r="N148" s="9">
        <v>0</v>
      </c>
      <c r="O148" s="9">
        <v>0</v>
      </c>
      <c r="P148" s="9">
        <v>0</v>
      </c>
      <c r="Q148" s="9">
        <v>0</v>
      </c>
      <c r="R148" s="9">
        <v>0</v>
      </c>
      <c r="S148" s="9">
        <v>0</v>
      </c>
      <c r="T148" s="9">
        <v>0</v>
      </c>
      <c r="U148" s="9">
        <v>0</v>
      </c>
      <c r="V148" s="9">
        <v>0</v>
      </c>
      <c r="W148" s="9">
        <v>0</v>
      </c>
      <c r="X148" s="10">
        <v>0</v>
      </c>
      <c r="Y148" s="9">
        <v>0</v>
      </c>
      <c r="Z148" s="9">
        <v>0</v>
      </c>
      <c r="AA148" s="9">
        <v>0</v>
      </c>
      <c r="AB148" s="9">
        <v>0</v>
      </c>
      <c r="AC148" s="9">
        <v>0.10000000000000002</v>
      </c>
      <c r="AD148" s="9">
        <v>0.10000000000000002</v>
      </c>
      <c r="AE148" s="9">
        <v>0.10000000000000002</v>
      </c>
      <c r="AF148" s="9">
        <v>0.10000000000000002</v>
      </c>
      <c r="AG148" s="9">
        <v>0.10000000000000002</v>
      </c>
      <c r="AH148" s="9">
        <v>0.10000000000000002</v>
      </c>
      <c r="AI148" s="9">
        <v>0.10000000000000002</v>
      </c>
      <c r="AJ148" s="9">
        <v>0.10000000000000002</v>
      </c>
      <c r="AK148" s="9">
        <v>0.10000000000000002</v>
      </c>
      <c r="AL148" s="9">
        <v>0.10000000000000002</v>
      </c>
      <c r="AM148" s="9">
        <v>0</v>
      </c>
      <c r="AN148" s="9">
        <v>0</v>
      </c>
      <c r="AO148" s="9">
        <v>0</v>
      </c>
      <c r="AP148" s="9">
        <v>0</v>
      </c>
      <c r="AQ148" s="9">
        <v>0</v>
      </c>
      <c r="AR148" s="9">
        <v>0</v>
      </c>
      <c r="AS148" s="9">
        <v>0</v>
      </c>
      <c r="AT148" s="9">
        <v>0</v>
      </c>
      <c r="AU148" s="9">
        <v>0</v>
      </c>
      <c r="AV148" s="9">
        <v>0</v>
      </c>
      <c r="AW148" s="9">
        <v>0</v>
      </c>
      <c r="AX148" s="9">
        <v>0</v>
      </c>
      <c r="AY148" s="9">
        <v>0</v>
      </c>
      <c r="AZ148" s="9">
        <v>0</v>
      </c>
      <c r="BA148" s="9">
        <v>0</v>
      </c>
      <c r="BB148" s="9">
        <v>0</v>
      </c>
      <c r="BC148" s="9">
        <v>0</v>
      </c>
      <c r="BD148" s="9">
        <v>0</v>
      </c>
      <c r="BE148" s="9">
        <v>0</v>
      </c>
      <c r="BF148" s="9">
        <v>0</v>
      </c>
      <c r="BG148" s="9">
        <v>0</v>
      </c>
      <c r="BH148" s="9">
        <v>0</v>
      </c>
      <c r="BI148" s="9">
        <v>0</v>
      </c>
      <c r="BJ148" s="9">
        <v>0</v>
      </c>
      <c r="BK148" s="9">
        <v>0</v>
      </c>
      <c r="BL148" s="9">
        <v>0</v>
      </c>
      <c r="BM148" s="9">
        <v>0</v>
      </c>
      <c r="BN148" s="9">
        <v>0</v>
      </c>
      <c r="BO148" s="9">
        <v>0</v>
      </c>
      <c r="BP148" s="9">
        <v>0</v>
      </c>
      <c r="BQ148" s="9">
        <v>0</v>
      </c>
      <c r="BR148" s="9">
        <v>0</v>
      </c>
      <c r="BS148" s="9">
        <v>0</v>
      </c>
      <c r="BT148" s="9">
        <v>0</v>
      </c>
      <c r="BU148" s="9">
        <v>0</v>
      </c>
      <c r="BV148" s="9">
        <v>0</v>
      </c>
      <c r="BW148" s="9">
        <v>0</v>
      </c>
      <c r="BX148" s="9">
        <v>0</v>
      </c>
    </row>
    <row r="149" spans="1:76">
      <c r="A149" s="3" t="s">
        <v>66</v>
      </c>
      <c r="B149" t="s">
        <v>2665</v>
      </c>
      <c r="C149" t="str">
        <f>+_xlfn.XLOOKUP(B149,'L4'!B:B,'L4'!C:C)</f>
        <v>ALTYAPI HAT EMNIYETI SERTIFIKASYONU</v>
      </c>
      <c r="D149" t="s">
        <v>4967</v>
      </c>
      <c r="E149" t="str">
        <f>+_xlfn.XLOOKUP(D149,'M2'!H:H,'M2'!I:I)</f>
        <v>PROJE GENELİ</v>
      </c>
      <c r="F149" s="91" t="s">
        <v>4973</v>
      </c>
      <c r="G149" t="s">
        <v>4983</v>
      </c>
      <c r="H149" s="3" t="s">
        <v>4984</v>
      </c>
      <c r="I149" s="3" t="s">
        <v>399</v>
      </c>
      <c r="J149" s="124">
        <v>1</v>
      </c>
      <c r="K149" s="124">
        <f t="shared" si="114"/>
        <v>1</v>
      </c>
      <c r="L149" s="6">
        <f t="shared" si="113"/>
        <v>0</v>
      </c>
      <c r="M149" s="124">
        <f t="shared" si="112"/>
        <v>1</v>
      </c>
      <c r="N149" s="9">
        <v>0</v>
      </c>
      <c r="O149" s="9">
        <v>0</v>
      </c>
      <c r="P149" s="9">
        <v>0</v>
      </c>
      <c r="Q149" s="9">
        <v>0</v>
      </c>
      <c r="R149" s="9">
        <v>0</v>
      </c>
      <c r="S149" s="9">
        <v>0</v>
      </c>
      <c r="T149" s="9">
        <v>0</v>
      </c>
      <c r="U149" s="9">
        <v>0</v>
      </c>
      <c r="V149" s="9">
        <v>0</v>
      </c>
      <c r="W149" s="9">
        <v>0</v>
      </c>
      <c r="X149" s="10">
        <v>0</v>
      </c>
      <c r="Y149" s="9">
        <v>0</v>
      </c>
      <c r="Z149" s="9">
        <v>0</v>
      </c>
      <c r="AA149" s="9">
        <v>0</v>
      </c>
      <c r="AB149" s="9">
        <v>0</v>
      </c>
      <c r="AC149" s="9">
        <v>0</v>
      </c>
      <c r="AD149" s="9">
        <v>0</v>
      </c>
      <c r="AE149" s="9">
        <v>0</v>
      </c>
      <c r="AF149" s="9">
        <v>0</v>
      </c>
      <c r="AG149" s="9">
        <v>0</v>
      </c>
      <c r="AH149" s="9">
        <v>0</v>
      </c>
      <c r="AI149" s="9">
        <v>0</v>
      </c>
      <c r="AJ149" s="9">
        <v>0</v>
      </c>
      <c r="AK149" s="9">
        <v>0</v>
      </c>
      <c r="AL149" s="9">
        <v>0</v>
      </c>
      <c r="AM149" s="9">
        <v>0</v>
      </c>
      <c r="AN149" s="9">
        <v>0</v>
      </c>
      <c r="AO149" s="9">
        <v>0</v>
      </c>
      <c r="AP149" s="9">
        <v>0</v>
      </c>
      <c r="AQ149" s="9">
        <v>0</v>
      </c>
      <c r="AR149" s="9">
        <v>0</v>
      </c>
      <c r="AS149" s="9">
        <v>0</v>
      </c>
      <c r="AT149" s="9">
        <v>0</v>
      </c>
      <c r="AU149" s="9">
        <v>0</v>
      </c>
      <c r="AV149" s="9">
        <v>0</v>
      </c>
      <c r="AW149" s="9">
        <v>0</v>
      </c>
      <c r="AX149" s="9">
        <v>0</v>
      </c>
      <c r="AY149" s="9">
        <v>0</v>
      </c>
      <c r="AZ149" s="9">
        <v>1</v>
      </c>
      <c r="BA149" s="9">
        <v>0</v>
      </c>
      <c r="BB149" s="9">
        <v>0</v>
      </c>
      <c r="BC149" s="9">
        <v>0</v>
      </c>
      <c r="BD149" s="9">
        <v>0</v>
      </c>
      <c r="BE149" s="9">
        <v>0</v>
      </c>
      <c r="BF149" s="9">
        <v>0</v>
      </c>
      <c r="BG149" s="9">
        <v>0</v>
      </c>
      <c r="BH149" s="9">
        <v>0</v>
      </c>
      <c r="BI149" s="9">
        <v>0</v>
      </c>
      <c r="BJ149" s="9">
        <v>0</v>
      </c>
      <c r="BK149" s="9">
        <v>0</v>
      </c>
      <c r="BL149" s="9">
        <v>0</v>
      </c>
      <c r="BM149" s="9">
        <v>0</v>
      </c>
      <c r="BN149" s="9">
        <v>0</v>
      </c>
      <c r="BO149" s="9">
        <v>0</v>
      </c>
      <c r="BP149" s="9">
        <v>0</v>
      </c>
      <c r="BQ149" s="9">
        <v>0</v>
      </c>
      <c r="BR149" s="9">
        <v>0</v>
      </c>
      <c r="BS149" s="9">
        <v>0</v>
      </c>
      <c r="BT149" s="9">
        <v>0</v>
      </c>
      <c r="BU149" s="9">
        <v>0</v>
      </c>
      <c r="BV149" s="9">
        <v>0</v>
      </c>
      <c r="BW149" s="9">
        <v>0</v>
      </c>
      <c r="BX149" s="9">
        <v>0</v>
      </c>
    </row>
    <row r="150" spans="1:76">
      <c r="A150" s="3" t="s">
        <v>66</v>
      </c>
      <c r="B150" t="s">
        <v>2</v>
      </c>
      <c r="C150" t="str">
        <f>+_xlfn.XLOOKUP(B150,'L4'!B:B,'L4'!C:C)</f>
        <v>KAZI - YARMA VE YAN ARIYET</v>
      </c>
      <c r="D150" t="s">
        <v>71</v>
      </c>
      <c r="E150" t="str">
        <f>+_xlfn.XLOOKUP(D150,'M2'!H:H,'M2'!I:I)</f>
        <v>DOĞUŞ T. - GENEL</v>
      </c>
      <c r="F150" s="91" t="s">
        <v>4973</v>
      </c>
      <c r="G150" t="s">
        <v>4983</v>
      </c>
      <c r="H150" s="3" t="s">
        <v>4984</v>
      </c>
      <c r="I150" s="3" t="s">
        <v>5200</v>
      </c>
      <c r="J150" s="124"/>
      <c r="K150" s="124"/>
      <c r="M150" s="124"/>
      <c r="N150" s="9">
        <f>+N28+N2</f>
        <v>0</v>
      </c>
      <c r="O150" s="9">
        <f t="shared" ref="O150:BX150" si="116">+O28+O2</f>
        <v>0</v>
      </c>
      <c r="P150" s="9">
        <f t="shared" si="116"/>
        <v>0</v>
      </c>
      <c r="Q150" s="9">
        <f t="shared" si="116"/>
        <v>0</v>
      </c>
      <c r="R150" s="9">
        <f t="shared" si="116"/>
        <v>12090</v>
      </c>
      <c r="S150" s="9">
        <f t="shared" si="116"/>
        <v>235993.42</v>
      </c>
      <c r="T150" s="9">
        <f t="shared" si="116"/>
        <v>283287.908</v>
      </c>
      <c r="U150" s="9">
        <f t="shared" si="116"/>
        <v>364404.95500000002</v>
      </c>
      <c r="V150" s="9">
        <f t="shared" si="116"/>
        <v>237924.89099999983</v>
      </c>
      <c r="W150" s="9">
        <f t="shared" si="116"/>
        <v>185536.22100000022</v>
      </c>
      <c r="X150" s="10">
        <f t="shared" si="116"/>
        <v>70576.407072665781</v>
      </c>
      <c r="Y150" s="9">
        <f t="shared" si="116"/>
        <v>46748.085089403387</v>
      </c>
      <c r="Z150" s="9">
        <f t="shared" si="116"/>
        <v>3521.1075496688732</v>
      </c>
      <c r="AA150" s="9">
        <f t="shared" si="116"/>
        <v>1912.700397350992</v>
      </c>
      <c r="AB150" s="9">
        <f t="shared" si="116"/>
        <v>1912.700397350992</v>
      </c>
      <c r="AC150" s="9">
        <f t="shared" si="116"/>
        <v>99258.501986495088</v>
      </c>
      <c r="AD150" s="9">
        <f t="shared" si="116"/>
        <v>147931.4027810668</v>
      </c>
      <c r="AE150" s="9">
        <f t="shared" si="116"/>
        <v>196604.30357563886</v>
      </c>
      <c r="AF150" s="9">
        <f t="shared" si="116"/>
        <v>196126.12847630109</v>
      </c>
      <c r="AG150" s="9">
        <f t="shared" si="116"/>
        <v>196604.30357563886</v>
      </c>
      <c r="AH150" s="9">
        <f t="shared" si="116"/>
        <v>196126.12847630109</v>
      </c>
      <c r="AI150" s="9">
        <f t="shared" si="116"/>
        <v>196604.30357563886</v>
      </c>
      <c r="AJ150" s="9">
        <f t="shared" si="116"/>
        <v>196604.30357563886</v>
      </c>
      <c r="AK150" s="9">
        <f t="shared" si="116"/>
        <v>196604.30357563886</v>
      </c>
      <c r="AL150" s="9">
        <f t="shared" si="116"/>
        <v>196604.30357563886</v>
      </c>
      <c r="AM150" s="9">
        <f t="shared" si="116"/>
        <v>147931.4027810668</v>
      </c>
      <c r="AN150" s="9">
        <f t="shared" si="116"/>
        <v>99258.501986495088</v>
      </c>
      <c r="AO150" s="9">
        <f t="shared" si="116"/>
        <v>99258.501986495088</v>
      </c>
      <c r="AP150" s="9">
        <f t="shared" si="116"/>
        <v>147931.4027810668</v>
      </c>
      <c r="AQ150" s="9">
        <f t="shared" si="116"/>
        <v>196126.12847630109</v>
      </c>
      <c r="AR150" s="9">
        <f t="shared" si="116"/>
        <v>196386.95125775805</v>
      </c>
      <c r="AS150" s="9">
        <f t="shared" si="116"/>
        <v>195734.89430411567</v>
      </c>
      <c r="AT150" s="9">
        <f t="shared" si="116"/>
        <v>195474.07152265872</v>
      </c>
      <c r="AU150" s="9">
        <f t="shared" si="116"/>
        <v>195734.89430411567</v>
      </c>
      <c r="AV150" s="9">
        <f t="shared" si="116"/>
        <v>195734.89430411567</v>
      </c>
      <c r="AW150" s="9">
        <f t="shared" si="116"/>
        <v>195734.89430411567</v>
      </c>
      <c r="AX150" s="9">
        <f t="shared" si="116"/>
        <v>1043.291125827817</v>
      </c>
      <c r="AY150" s="9">
        <f t="shared" si="116"/>
        <v>673.79218543046159</v>
      </c>
      <c r="AZ150" s="9">
        <f t="shared" si="116"/>
        <v>0</v>
      </c>
      <c r="BA150" s="9">
        <f t="shared" si="116"/>
        <v>0</v>
      </c>
      <c r="BB150" s="9">
        <f t="shared" si="116"/>
        <v>0</v>
      </c>
      <c r="BC150" s="9">
        <f t="shared" si="116"/>
        <v>0</v>
      </c>
      <c r="BD150" s="9">
        <f t="shared" si="116"/>
        <v>0</v>
      </c>
      <c r="BE150" s="9">
        <f t="shared" si="116"/>
        <v>0</v>
      </c>
      <c r="BF150" s="9">
        <f t="shared" si="116"/>
        <v>0</v>
      </c>
      <c r="BG150" s="9">
        <f t="shared" si="116"/>
        <v>0</v>
      </c>
      <c r="BH150" s="9">
        <f t="shared" si="116"/>
        <v>0</v>
      </c>
      <c r="BI150" s="9">
        <f t="shared" si="116"/>
        <v>0</v>
      </c>
      <c r="BJ150" s="9">
        <f t="shared" si="116"/>
        <v>0</v>
      </c>
      <c r="BK150" s="9">
        <f t="shared" si="116"/>
        <v>0</v>
      </c>
      <c r="BL150" s="9">
        <f t="shared" si="116"/>
        <v>0</v>
      </c>
      <c r="BM150" s="9">
        <f t="shared" si="116"/>
        <v>0</v>
      </c>
      <c r="BN150" s="9">
        <f t="shared" si="116"/>
        <v>0</v>
      </c>
      <c r="BO150" s="9">
        <f t="shared" si="116"/>
        <v>0</v>
      </c>
      <c r="BP150" s="9">
        <f t="shared" si="116"/>
        <v>0</v>
      </c>
      <c r="BQ150" s="9">
        <f t="shared" si="116"/>
        <v>0</v>
      </c>
      <c r="BR150" s="9">
        <f t="shared" si="116"/>
        <v>0</v>
      </c>
      <c r="BS150" s="9">
        <f t="shared" si="116"/>
        <v>0</v>
      </c>
      <c r="BT150" s="9">
        <f t="shared" si="116"/>
        <v>0</v>
      </c>
      <c r="BU150" s="9">
        <f t="shared" si="116"/>
        <v>0</v>
      </c>
      <c r="BV150" s="9">
        <f t="shared" si="116"/>
        <v>0</v>
      </c>
      <c r="BW150" s="9">
        <f t="shared" si="116"/>
        <v>0</v>
      </c>
      <c r="BX150" s="9">
        <f t="shared" si="116"/>
        <v>0</v>
      </c>
    </row>
    <row r="151" spans="1:76">
      <c r="A151" s="3" t="s">
        <v>66</v>
      </c>
      <c r="B151" t="s">
        <v>2</v>
      </c>
      <c r="C151" t="str">
        <f>+_xlfn.XLOOKUP(B151,'L4'!B:B,'L4'!C:C)</f>
        <v>KAZI - YARMA VE YAN ARIYET</v>
      </c>
      <c r="D151" t="s">
        <v>76</v>
      </c>
      <c r="E151" t="str">
        <f>+_xlfn.XLOOKUP(D151,'M2'!H:H,'M2'!I:I)</f>
        <v>RAYSAN - GENEL</v>
      </c>
      <c r="F151" s="91" t="s">
        <v>4973</v>
      </c>
      <c r="G151" t="s">
        <v>4983</v>
      </c>
      <c r="H151" s="3" t="s">
        <v>4984</v>
      </c>
      <c r="I151" s="3" t="s">
        <v>5200</v>
      </c>
      <c r="J151" s="124"/>
      <c r="K151" s="124"/>
      <c r="M151" s="124"/>
      <c r="N151" s="9">
        <f>+N57+N56</f>
        <v>0</v>
      </c>
      <c r="O151" s="9">
        <f t="shared" ref="O151:BX151" si="117">+O57+O56</f>
        <v>0</v>
      </c>
      <c r="P151" s="9">
        <f t="shared" si="117"/>
        <v>155000</v>
      </c>
      <c r="Q151" s="9">
        <f t="shared" si="117"/>
        <v>259190.93</v>
      </c>
      <c r="R151" s="9">
        <f t="shared" si="117"/>
        <v>420766.08999999997</v>
      </c>
      <c r="S151" s="9">
        <f t="shared" si="117"/>
        <v>601626.37</v>
      </c>
      <c r="T151" s="9">
        <f t="shared" si="117"/>
        <v>504649.64000000013</v>
      </c>
      <c r="U151" s="9">
        <f t="shared" si="117"/>
        <v>332690.43599999987</v>
      </c>
      <c r="V151" s="9">
        <f t="shared" si="117"/>
        <v>337569.49099999981</v>
      </c>
      <c r="W151" s="9">
        <f t="shared" si="117"/>
        <v>382942.88200000022</v>
      </c>
      <c r="X151" s="10">
        <f t="shared" si="117"/>
        <v>62896.285028148348</v>
      </c>
      <c r="Y151" s="9">
        <f t="shared" si="117"/>
        <v>62896.285028148348</v>
      </c>
      <c r="Z151" s="9">
        <f t="shared" si="117"/>
        <v>62896.285028148348</v>
      </c>
      <c r="AA151" s="9">
        <f t="shared" si="117"/>
        <v>10482.714171358046</v>
      </c>
      <c r="AB151" s="9">
        <f t="shared" si="117"/>
        <v>0</v>
      </c>
      <c r="AC151" s="9">
        <f t="shared" si="117"/>
        <v>52413.570856790218</v>
      </c>
      <c r="AD151" s="9">
        <f t="shared" si="117"/>
        <v>52413.570856790218</v>
      </c>
      <c r="AE151" s="9">
        <f t="shared" si="117"/>
        <v>73378.999199506346</v>
      </c>
      <c r="AF151" s="9">
        <f t="shared" si="117"/>
        <v>73378.999199506346</v>
      </c>
      <c r="AG151" s="9">
        <f t="shared" si="117"/>
        <v>73378.999199506346</v>
      </c>
      <c r="AH151" s="9">
        <f t="shared" si="117"/>
        <v>83861.713370864469</v>
      </c>
      <c r="AI151" s="9">
        <f t="shared" si="117"/>
        <v>83861.713370864469</v>
      </c>
      <c r="AJ151" s="9">
        <f t="shared" si="117"/>
        <v>83861.713370864469</v>
      </c>
      <c r="AK151" s="9">
        <f t="shared" si="117"/>
        <v>83861.713370864469</v>
      </c>
      <c r="AL151" s="9">
        <f t="shared" si="117"/>
        <v>83861.713370864469</v>
      </c>
      <c r="AM151" s="9">
        <f t="shared" si="117"/>
        <v>31448.142514074105</v>
      </c>
      <c r="AN151" s="9">
        <f t="shared" si="117"/>
        <v>20965.428342716117</v>
      </c>
      <c r="AO151" s="9">
        <f t="shared" si="117"/>
        <v>20965.428342716117</v>
      </c>
      <c r="AP151" s="9">
        <f t="shared" si="117"/>
        <v>31448.142514074105</v>
      </c>
      <c r="AQ151" s="9">
        <f t="shared" si="117"/>
        <v>41930.856685432234</v>
      </c>
      <c r="AR151" s="9">
        <f t="shared" si="117"/>
        <v>62896.285028148348</v>
      </c>
      <c r="AS151" s="9">
        <f t="shared" si="117"/>
        <v>62896.285028148348</v>
      </c>
      <c r="AT151" s="9">
        <f t="shared" si="117"/>
        <v>62896.285028148348</v>
      </c>
      <c r="AU151" s="9">
        <f t="shared" si="117"/>
        <v>62896.285028148348</v>
      </c>
      <c r="AV151" s="9">
        <f t="shared" si="117"/>
        <v>52413.570856790218</v>
      </c>
      <c r="AW151" s="9">
        <f t="shared" si="117"/>
        <v>45759.56320937899</v>
      </c>
      <c r="AX151" s="9">
        <f t="shared" si="117"/>
        <v>0</v>
      </c>
      <c r="AY151" s="9">
        <f t="shared" si="117"/>
        <v>0</v>
      </c>
      <c r="AZ151" s="9">
        <f t="shared" si="117"/>
        <v>0</v>
      </c>
      <c r="BA151" s="9">
        <f t="shared" si="117"/>
        <v>0</v>
      </c>
      <c r="BB151" s="9">
        <f t="shared" si="117"/>
        <v>0</v>
      </c>
      <c r="BC151" s="9">
        <f t="shared" si="117"/>
        <v>0</v>
      </c>
      <c r="BD151" s="9">
        <f t="shared" si="117"/>
        <v>0</v>
      </c>
      <c r="BE151" s="9">
        <f t="shared" si="117"/>
        <v>0</v>
      </c>
      <c r="BF151" s="9">
        <f t="shared" si="117"/>
        <v>0</v>
      </c>
      <c r="BG151" s="9">
        <f t="shared" si="117"/>
        <v>0</v>
      </c>
      <c r="BH151" s="9">
        <f t="shared" si="117"/>
        <v>0</v>
      </c>
      <c r="BI151" s="9">
        <f t="shared" si="117"/>
        <v>0</v>
      </c>
      <c r="BJ151" s="9">
        <f t="shared" si="117"/>
        <v>0</v>
      </c>
      <c r="BK151" s="9">
        <f t="shared" si="117"/>
        <v>0</v>
      </c>
      <c r="BL151" s="9">
        <f t="shared" si="117"/>
        <v>0</v>
      </c>
      <c r="BM151" s="9">
        <f t="shared" si="117"/>
        <v>0</v>
      </c>
      <c r="BN151" s="9">
        <f t="shared" si="117"/>
        <v>0</v>
      </c>
      <c r="BO151" s="9">
        <f t="shared" si="117"/>
        <v>0</v>
      </c>
      <c r="BP151" s="9">
        <f t="shared" si="117"/>
        <v>0</v>
      </c>
      <c r="BQ151" s="9">
        <f t="shared" si="117"/>
        <v>0</v>
      </c>
      <c r="BR151" s="9">
        <f t="shared" si="117"/>
        <v>0</v>
      </c>
      <c r="BS151" s="9">
        <f t="shared" si="117"/>
        <v>0</v>
      </c>
      <c r="BT151" s="9">
        <f t="shared" si="117"/>
        <v>0</v>
      </c>
      <c r="BU151" s="9">
        <f t="shared" si="117"/>
        <v>0</v>
      </c>
      <c r="BV151" s="9">
        <f t="shared" si="117"/>
        <v>0</v>
      </c>
      <c r="BW151" s="9">
        <f t="shared" si="117"/>
        <v>0</v>
      </c>
      <c r="BX151" s="9">
        <f t="shared" si="117"/>
        <v>0</v>
      </c>
    </row>
    <row r="152" spans="1:76">
      <c r="A152" s="3" t="s">
        <v>66</v>
      </c>
      <c r="B152" t="s">
        <v>2</v>
      </c>
      <c r="C152" t="str">
        <f>+_xlfn.XLOOKUP(B152,'L4'!B:B,'L4'!C:C)</f>
        <v>KAZI - YARMA VE YAN ARIYET</v>
      </c>
      <c r="D152" t="s">
        <v>73</v>
      </c>
      <c r="E152" t="str">
        <f>+_xlfn.XLOOKUP(D152,'M2'!H:H,'M2'!I:I)</f>
        <v>PETSAN - GENEL</v>
      </c>
      <c r="F152" s="91" t="s">
        <v>4973</v>
      </c>
      <c r="G152" t="s">
        <v>4983</v>
      </c>
      <c r="H152" s="3" t="s">
        <v>4984</v>
      </c>
      <c r="I152" s="3" t="s">
        <v>5200</v>
      </c>
      <c r="J152" s="124"/>
      <c r="K152" s="124"/>
      <c r="M152" s="124"/>
      <c r="N152" s="9">
        <f>+N55+N29</f>
        <v>0</v>
      </c>
      <c r="O152" s="9">
        <f t="shared" ref="O152:BX152" si="118">+O55+O29</f>
        <v>0</v>
      </c>
      <c r="P152" s="9">
        <f t="shared" si="118"/>
        <v>0</v>
      </c>
      <c r="Q152" s="9">
        <f t="shared" si="118"/>
        <v>0</v>
      </c>
      <c r="R152" s="9">
        <f t="shared" si="118"/>
        <v>80609.759999999995</v>
      </c>
      <c r="S152" s="9">
        <f t="shared" si="118"/>
        <v>38251.39</v>
      </c>
      <c r="T152" s="9">
        <f t="shared" si="118"/>
        <v>53173.1</v>
      </c>
      <c r="U152" s="9">
        <f t="shared" si="118"/>
        <v>137575.53</v>
      </c>
      <c r="V152" s="9">
        <f t="shared" si="118"/>
        <v>79290.77</v>
      </c>
      <c r="W152" s="9">
        <f t="shared" si="118"/>
        <v>84925.52</v>
      </c>
      <c r="X152" s="10">
        <f t="shared" si="118"/>
        <v>112663.74996677721</v>
      </c>
      <c r="Y152" s="9">
        <f t="shared" si="118"/>
        <v>112663.74996677721</v>
      </c>
      <c r="Z152" s="9">
        <f t="shared" si="118"/>
        <v>112663.74996677721</v>
      </c>
      <c r="AA152" s="9">
        <f t="shared" si="118"/>
        <v>112663.74996677721</v>
      </c>
      <c r="AB152" s="9">
        <f t="shared" si="118"/>
        <v>112663.74996677721</v>
      </c>
      <c r="AC152" s="9">
        <f t="shared" si="118"/>
        <v>0</v>
      </c>
      <c r="AD152" s="9">
        <f t="shared" si="118"/>
        <v>149818.81644518263</v>
      </c>
      <c r="AE152" s="9">
        <f t="shared" si="118"/>
        <v>199758.42192691032</v>
      </c>
      <c r="AF152" s="9">
        <f t="shared" si="118"/>
        <v>199758.42192691032</v>
      </c>
      <c r="AG152" s="9">
        <f t="shared" si="118"/>
        <v>199758.42192691032</v>
      </c>
      <c r="AH152" s="9">
        <f t="shared" si="118"/>
        <v>199758.42192691032</v>
      </c>
      <c r="AI152" s="9">
        <f t="shared" si="118"/>
        <v>199758.42192691032</v>
      </c>
      <c r="AJ152" s="9">
        <f t="shared" si="118"/>
        <v>199758.42192691032</v>
      </c>
      <c r="AK152" s="9">
        <f t="shared" si="118"/>
        <v>199758.42192691032</v>
      </c>
      <c r="AL152" s="9">
        <f t="shared" si="118"/>
        <v>199758.42192691032</v>
      </c>
      <c r="AM152" s="9">
        <f t="shared" si="118"/>
        <v>149818.81644518263</v>
      </c>
      <c r="AN152" s="9">
        <f t="shared" si="118"/>
        <v>99879.210963454956</v>
      </c>
      <c r="AO152" s="9">
        <f t="shared" si="118"/>
        <v>99879.210963454956</v>
      </c>
      <c r="AP152" s="9">
        <f t="shared" si="118"/>
        <v>149818.81644518263</v>
      </c>
      <c r="AQ152" s="9">
        <f t="shared" si="118"/>
        <v>199758.42192691032</v>
      </c>
      <c r="AR152" s="9">
        <f t="shared" si="118"/>
        <v>199758.42192691032</v>
      </c>
      <c r="AS152" s="9">
        <f t="shared" si="118"/>
        <v>199758.42192691032</v>
      </c>
      <c r="AT152" s="9">
        <f t="shared" si="118"/>
        <v>199758.42192691032</v>
      </c>
      <c r="AU152" s="9">
        <f t="shared" si="118"/>
        <v>199758.42192691032</v>
      </c>
      <c r="AV152" s="9">
        <f t="shared" si="118"/>
        <v>199758.42192691032</v>
      </c>
      <c r="AW152" s="9">
        <f t="shared" si="118"/>
        <v>199758.42192691032</v>
      </c>
      <c r="AX152" s="9">
        <f t="shared" si="118"/>
        <v>0</v>
      </c>
      <c r="AY152" s="9">
        <f t="shared" si="118"/>
        <v>0</v>
      </c>
      <c r="AZ152" s="9">
        <f t="shared" si="118"/>
        <v>0</v>
      </c>
      <c r="BA152" s="9">
        <f t="shared" si="118"/>
        <v>0</v>
      </c>
      <c r="BB152" s="9">
        <f t="shared" si="118"/>
        <v>0</v>
      </c>
      <c r="BC152" s="9">
        <f t="shared" si="118"/>
        <v>0</v>
      </c>
      <c r="BD152" s="9">
        <f t="shared" si="118"/>
        <v>0</v>
      </c>
      <c r="BE152" s="9">
        <f t="shared" si="118"/>
        <v>0</v>
      </c>
      <c r="BF152" s="9">
        <f t="shared" si="118"/>
        <v>0</v>
      </c>
      <c r="BG152" s="9">
        <f t="shared" si="118"/>
        <v>0</v>
      </c>
      <c r="BH152" s="9">
        <f t="shared" si="118"/>
        <v>0</v>
      </c>
      <c r="BI152" s="9">
        <f t="shared" si="118"/>
        <v>0</v>
      </c>
      <c r="BJ152" s="9">
        <f t="shared" si="118"/>
        <v>0</v>
      </c>
      <c r="BK152" s="9">
        <f t="shared" si="118"/>
        <v>0</v>
      </c>
      <c r="BL152" s="9">
        <f t="shared" si="118"/>
        <v>0</v>
      </c>
      <c r="BM152" s="9">
        <f t="shared" si="118"/>
        <v>0</v>
      </c>
      <c r="BN152" s="9">
        <f t="shared" si="118"/>
        <v>0</v>
      </c>
      <c r="BO152" s="9">
        <f t="shared" si="118"/>
        <v>0</v>
      </c>
      <c r="BP152" s="9">
        <f t="shared" si="118"/>
        <v>0</v>
      </c>
      <c r="BQ152" s="9">
        <f t="shared" si="118"/>
        <v>0</v>
      </c>
      <c r="BR152" s="9">
        <f t="shared" si="118"/>
        <v>0</v>
      </c>
      <c r="BS152" s="9">
        <f t="shared" si="118"/>
        <v>0</v>
      </c>
      <c r="BT152" s="9">
        <f t="shared" si="118"/>
        <v>0</v>
      </c>
      <c r="BU152" s="9">
        <f t="shared" si="118"/>
        <v>0</v>
      </c>
      <c r="BV152" s="9">
        <f t="shared" si="118"/>
        <v>0</v>
      </c>
      <c r="BW152" s="9">
        <f t="shared" si="118"/>
        <v>0</v>
      </c>
      <c r="BX152" s="9">
        <f t="shared" si="118"/>
        <v>0</v>
      </c>
    </row>
    <row r="153" spans="1:76">
      <c r="A153" s="3" t="s">
        <v>66</v>
      </c>
      <c r="B153" t="s">
        <v>2</v>
      </c>
      <c r="C153" t="str">
        <f>+_xlfn.XLOOKUP(B153,'L4'!B:B,'L4'!C:C)</f>
        <v>KAZI - YARMA VE YAN ARIYET</v>
      </c>
      <c r="D153" t="s">
        <v>5183</v>
      </c>
      <c r="E153" t="str">
        <f>+_xlfn.XLOOKUP(D153,'M2'!H:H,'M2'!I:I)</f>
        <v>ÖZDOĞAN İNŞAAT - GENEL</v>
      </c>
      <c r="F153" s="91" t="s">
        <v>4973</v>
      </c>
      <c r="G153" t="s">
        <v>4983</v>
      </c>
      <c r="H153" s="3" t="s">
        <v>4984</v>
      </c>
      <c r="I153" s="3" t="s">
        <v>5200</v>
      </c>
      <c r="J153" s="124"/>
      <c r="K153" s="124"/>
      <c r="M153" s="124"/>
      <c r="N153" s="9">
        <f>+N90+N64</f>
        <v>0</v>
      </c>
      <c r="O153" s="9">
        <f t="shared" ref="O153:BX153" si="119">+O90+O64</f>
        <v>0</v>
      </c>
      <c r="P153" s="9">
        <f t="shared" si="119"/>
        <v>190071.49</v>
      </c>
      <c r="Q153" s="9">
        <f t="shared" si="119"/>
        <v>210000</v>
      </c>
      <c r="R153" s="9">
        <f t="shared" si="119"/>
        <v>262239.94000000006</v>
      </c>
      <c r="S153" s="9">
        <f t="shared" si="119"/>
        <v>301106.76</v>
      </c>
      <c r="T153" s="9">
        <f t="shared" si="119"/>
        <v>225474.68</v>
      </c>
      <c r="U153" s="9">
        <f t="shared" si="119"/>
        <v>179693.83600000001</v>
      </c>
      <c r="V153" s="9">
        <f t="shared" si="119"/>
        <v>179340.79399999994</v>
      </c>
      <c r="W153" s="9">
        <f t="shared" si="119"/>
        <v>95132.021000000066</v>
      </c>
      <c r="X153" s="10">
        <f t="shared" si="119"/>
        <v>3541.2221032056491</v>
      </c>
      <c r="Y153" s="9">
        <f t="shared" si="119"/>
        <v>3541.2221032056491</v>
      </c>
      <c r="Z153" s="9">
        <f t="shared" si="119"/>
        <v>3541.2221032056491</v>
      </c>
      <c r="AA153" s="9">
        <f t="shared" si="119"/>
        <v>3541.2221032056491</v>
      </c>
      <c r="AB153" s="9">
        <f t="shared" si="119"/>
        <v>1521.0159488803338</v>
      </c>
      <c r="AC153" s="9">
        <f t="shared" si="119"/>
        <v>6105.5553503545843</v>
      </c>
      <c r="AD153" s="9">
        <f t="shared" si="119"/>
        <v>9158.3330255318779</v>
      </c>
      <c r="AE153" s="9">
        <f t="shared" si="119"/>
        <v>12211.110700709169</v>
      </c>
      <c r="AF153" s="9">
        <f t="shared" si="119"/>
        <v>12211.110700709169</v>
      </c>
      <c r="AG153" s="9">
        <f t="shared" si="119"/>
        <v>12211.110700709169</v>
      </c>
      <c r="AH153" s="9">
        <f t="shared" si="119"/>
        <v>12211.110700709169</v>
      </c>
      <c r="AI153" s="9">
        <f t="shared" si="119"/>
        <v>12211.110700709169</v>
      </c>
      <c r="AJ153" s="9">
        <f t="shared" si="119"/>
        <v>12211.110700709169</v>
      </c>
      <c r="AK153" s="9">
        <f t="shared" si="119"/>
        <v>12211.110700709169</v>
      </c>
      <c r="AL153" s="9">
        <f t="shared" si="119"/>
        <v>12211.110700709169</v>
      </c>
      <c r="AM153" s="9">
        <f t="shared" si="119"/>
        <v>9158.3330255318779</v>
      </c>
      <c r="AN153" s="9">
        <f t="shared" si="119"/>
        <v>6105.5553503545843</v>
      </c>
      <c r="AO153" s="9">
        <f t="shared" si="119"/>
        <v>6105.5553503545843</v>
      </c>
      <c r="AP153" s="9">
        <f t="shared" si="119"/>
        <v>9158.3330255318779</v>
      </c>
      <c r="AQ153" s="9">
        <f t="shared" si="119"/>
        <v>12211.110700709169</v>
      </c>
      <c r="AR153" s="9">
        <f t="shared" si="119"/>
        <v>12211.110700709169</v>
      </c>
      <c r="AS153" s="9">
        <f t="shared" si="119"/>
        <v>12211.110700709169</v>
      </c>
      <c r="AT153" s="9">
        <f t="shared" si="119"/>
        <v>12211.110700709169</v>
      </c>
      <c r="AU153" s="9">
        <f t="shared" si="119"/>
        <v>12211.110700709169</v>
      </c>
      <c r="AV153" s="9">
        <f t="shared" si="119"/>
        <v>12211.110700709169</v>
      </c>
      <c r="AW153" s="9">
        <f t="shared" si="119"/>
        <v>12211.110700709169</v>
      </c>
      <c r="AX153" s="9">
        <f t="shared" si="119"/>
        <v>0</v>
      </c>
      <c r="AY153" s="9">
        <f t="shared" si="119"/>
        <v>0</v>
      </c>
      <c r="AZ153" s="9">
        <f t="shared" si="119"/>
        <v>0</v>
      </c>
      <c r="BA153" s="9">
        <f t="shared" si="119"/>
        <v>0</v>
      </c>
      <c r="BB153" s="9">
        <f t="shared" si="119"/>
        <v>0</v>
      </c>
      <c r="BC153" s="9">
        <f t="shared" si="119"/>
        <v>0</v>
      </c>
      <c r="BD153" s="9">
        <f t="shared" si="119"/>
        <v>0</v>
      </c>
      <c r="BE153" s="9">
        <f t="shared" si="119"/>
        <v>0</v>
      </c>
      <c r="BF153" s="9">
        <f t="shared" si="119"/>
        <v>0</v>
      </c>
      <c r="BG153" s="9">
        <f t="shared" si="119"/>
        <v>0</v>
      </c>
      <c r="BH153" s="9">
        <f t="shared" si="119"/>
        <v>0</v>
      </c>
      <c r="BI153" s="9">
        <f t="shared" si="119"/>
        <v>0</v>
      </c>
      <c r="BJ153" s="9">
        <f t="shared" si="119"/>
        <v>0</v>
      </c>
      <c r="BK153" s="9">
        <f t="shared" si="119"/>
        <v>0</v>
      </c>
      <c r="BL153" s="9">
        <f t="shared" si="119"/>
        <v>0</v>
      </c>
      <c r="BM153" s="9">
        <f t="shared" si="119"/>
        <v>0</v>
      </c>
      <c r="BN153" s="9">
        <f t="shared" si="119"/>
        <v>0</v>
      </c>
      <c r="BO153" s="9">
        <f t="shared" si="119"/>
        <v>0</v>
      </c>
      <c r="BP153" s="9">
        <f t="shared" si="119"/>
        <v>0</v>
      </c>
      <c r="BQ153" s="9">
        <f t="shared" si="119"/>
        <v>0</v>
      </c>
      <c r="BR153" s="9">
        <f t="shared" si="119"/>
        <v>0</v>
      </c>
      <c r="BS153" s="9">
        <f t="shared" si="119"/>
        <v>0</v>
      </c>
      <c r="BT153" s="9">
        <f t="shared" si="119"/>
        <v>0</v>
      </c>
      <c r="BU153" s="9">
        <f t="shared" si="119"/>
        <v>0</v>
      </c>
      <c r="BV153" s="9">
        <f t="shared" si="119"/>
        <v>0</v>
      </c>
      <c r="BW153" s="9">
        <f t="shared" si="119"/>
        <v>0</v>
      </c>
      <c r="BX153" s="9">
        <f t="shared" si="119"/>
        <v>0</v>
      </c>
    </row>
    <row r="154" spans="1:76">
      <c r="A154" s="3" t="s">
        <v>66</v>
      </c>
      <c r="B154" t="s">
        <v>5</v>
      </c>
      <c r="C154" t="str">
        <f>+_xlfn.XLOOKUP(B154,'L4'!B:B,'L4'!C:C)</f>
        <v>KAZI - SANAT YAPISI ( KÖPRÜ HARIÇ )</v>
      </c>
      <c r="D154" t="s">
        <v>71</v>
      </c>
      <c r="E154" t="str">
        <f>+_xlfn.XLOOKUP(D154,'M2'!H:H,'M2'!I:I)</f>
        <v>DOĞUŞ T. - GENEL</v>
      </c>
      <c r="F154" s="91" t="s">
        <v>4973</v>
      </c>
      <c r="G154" t="s">
        <v>4983</v>
      </c>
      <c r="H154" s="3" t="s">
        <v>4984</v>
      </c>
      <c r="I154" s="3" t="s">
        <v>5200</v>
      </c>
      <c r="J154" s="124"/>
      <c r="K154" s="124"/>
      <c r="M154" s="124"/>
      <c r="R154" s="9">
        <v>393</v>
      </c>
      <c r="S154" s="9">
        <v>-39.189</v>
      </c>
      <c r="T154" s="9">
        <v>326.76600000000002</v>
      </c>
      <c r="U154" s="9">
        <v>7.3551084993823679E-3</v>
      </c>
      <c r="V154" s="9">
        <v>172.98299999999995</v>
      </c>
      <c r="W154" s="9">
        <v>33.423000000000002</v>
      </c>
      <c r="X154" s="10">
        <v>8.1162949295713069</v>
      </c>
      <c r="Y154" s="9">
        <v>19.077061366669017</v>
      </c>
      <c r="Z154" s="9">
        <v>13.0221739002393</v>
      </c>
      <c r="AA154" s="9">
        <v>20.291235673319338</v>
      </c>
      <c r="AB154" s="9">
        <v>14.236348206889621</v>
      </c>
      <c r="AC154" s="9">
        <v>18.198612595641784</v>
      </c>
      <c r="AD154" s="9">
        <v>39.217429158320492</v>
      </c>
      <c r="AE154" s="9">
        <v>34.639838329298691</v>
      </c>
      <c r="AF154" s="9">
        <v>29.733959358630685</v>
      </c>
      <c r="AG154" s="9">
        <v>33.425664022648448</v>
      </c>
      <c r="AH154" s="9">
        <v>33.425664022648448</v>
      </c>
      <c r="AI154" s="9">
        <v>28.519785051980371</v>
      </c>
      <c r="AJ154" s="9">
        <v>28.519785051980371</v>
      </c>
      <c r="AK154" s="9">
        <v>26.913185190748436</v>
      </c>
      <c r="AL154" s="9">
        <v>26.913185190748436</v>
      </c>
      <c r="AM154" s="9">
        <v>25.426205897477388</v>
      </c>
      <c r="AN154" s="9">
        <v>19.371318431047587</v>
      </c>
      <c r="AO154" s="9">
        <v>20.161766653225275</v>
      </c>
      <c r="AP154" s="9">
        <v>37.177420556752715</v>
      </c>
      <c r="AQ154" s="9">
        <v>42.083299527420714</v>
      </c>
      <c r="AR154" s="9">
        <v>42.083299527420714</v>
      </c>
      <c r="AS154" s="9">
        <v>42.083299527420714</v>
      </c>
      <c r="AT154" s="9">
        <v>37.177420556752715</v>
      </c>
      <c r="AU154" s="9">
        <v>32.271541586084716</v>
      </c>
      <c r="AV154" s="9">
        <v>32.271541586084716</v>
      </c>
      <c r="AW154" s="9">
        <v>24.219549865718875</v>
      </c>
      <c r="AX154" s="9">
        <v>30.106604630520511</v>
      </c>
      <c r="AY154" s="9">
        <v>30.106604630520511</v>
      </c>
      <c r="AZ154" s="9">
        <v>24.219549865718875</v>
      </c>
    </row>
    <row r="155" spans="1:76">
      <c r="A155" s="3" t="s">
        <v>66</v>
      </c>
      <c r="B155" t="s">
        <v>5</v>
      </c>
      <c r="C155" t="str">
        <f>+_xlfn.XLOOKUP(B155,'L4'!B:B,'L4'!C:C)</f>
        <v>KAZI - SANAT YAPISI ( KÖPRÜ HARIÇ )</v>
      </c>
      <c r="D155" t="s">
        <v>73</v>
      </c>
      <c r="E155" t="str">
        <f>+_xlfn.XLOOKUP(D155,'M2'!H:H,'M2'!I:I)</f>
        <v>PETSAN - GENEL</v>
      </c>
      <c r="F155" s="91" t="s">
        <v>4973</v>
      </c>
      <c r="G155" t="s">
        <v>4983</v>
      </c>
      <c r="H155" s="3" t="s">
        <v>4984</v>
      </c>
      <c r="I155" s="3" t="s">
        <v>5200</v>
      </c>
      <c r="J155" s="124"/>
      <c r="K155" s="124"/>
      <c r="M155" s="124"/>
      <c r="R155" s="9">
        <v>0</v>
      </c>
      <c r="S155" s="9">
        <v>0</v>
      </c>
      <c r="T155" s="9">
        <v>550.91</v>
      </c>
      <c r="U155" s="9">
        <v>0.01</v>
      </c>
      <c r="V155" s="9">
        <v>58.78</v>
      </c>
      <c r="W155" s="9">
        <v>0</v>
      </c>
      <c r="X155" s="10">
        <v>3.896374330755247</v>
      </c>
      <c r="Y155" s="9">
        <v>9.1582887093603755</v>
      </c>
      <c r="Z155" s="9">
        <v>6.2515303541591889</v>
      </c>
      <c r="AA155" s="9">
        <v>9.7411750685361795</v>
      </c>
      <c r="AB155" s="9">
        <v>6.8344167133349938</v>
      </c>
      <c r="AC155" s="9">
        <v>8.7365734720489101</v>
      </c>
      <c r="AD155" s="9">
        <v>18.827036919759063</v>
      </c>
      <c r="AE155" s="9">
        <v>16.6294815625829</v>
      </c>
      <c r="AF155" s="9">
        <v>14.274325539178951</v>
      </c>
      <c r="AG155" s="9">
        <v>16.046595203407136</v>
      </c>
      <c r="AH155" s="9">
        <v>16.046595203407136</v>
      </c>
      <c r="AI155" s="9">
        <v>13.691439180003151</v>
      </c>
      <c r="AJ155" s="9">
        <v>13.691439180003151</v>
      </c>
      <c r="AK155" s="9">
        <v>12.92016182827812</v>
      </c>
      <c r="AL155" s="9">
        <v>12.92016182827812</v>
      </c>
      <c r="AM155" s="9">
        <v>12.206310495996394</v>
      </c>
      <c r="AN155" s="9">
        <v>9.2995521407951678</v>
      </c>
      <c r="AO155" s="9">
        <v>9.6790211213349071</v>
      </c>
      <c r="AP155" s="9">
        <v>17.847693855141227</v>
      </c>
      <c r="AQ155" s="9">
        <v>20.202849878545173</v>
      </c>
      <c r="AR155" s="9">
        <v>20.202849878545173</v>
      </c>
      <c r="AS155" s="9">
        <v>20.202849878545173</v>
      </c>
      <c r="AT155" s="9">
        <v>17.847693855141227</v>
      </c>
      <c r="AU155" s="9">
        <v>15.492537831737282</v>
      </c>
      <c r="AV155" s="9">
        <v>15.492537831737282</v>
      </c>
      <c r="AW155" s="9">
        <v>11.627033420804748</v>
      </c>
      <c r="AX155" s="9">
        <v>14.4532206488895</v>
      </c>
      <c r="AY155" s="9">
        <v>14.4532206488895</v>
      </c>
      <c r="AZ155" s="9">
        <v>11.627033420804748</v>
      </c>
    </row>
    <row r="156" spans="1:76">
      <c r="A156" s="3" t="s">
        <v>66</v>
      </c>
      <c r="B156" t="s">
        <v>5</v>
      </c>
      <c r="C156" t="str">
        <f>+_xlfn.XLOOKUP(B156,'L4'!B:B,'L4'!C:C)</f>
        <v>KAZI - SANAT YAPISI ( KÖPRÜ HARIÇ )</v>
      </c>
      <c r="D156" t="s">
        <v>76</v>
      </c>
      <c r="E156" t="str">
        <f>+_xlfn.XLOOKUP(D156,'M2'!H:H,'M2'!I:I)</f>
        <v>RAYSAN - GENEL</v>
      </c>
      <c r="F156" s="91" t="s">
        <v>4973</v>
      </c>
      <c r="G156" t="s">
        <v>4983</v>
      </c>
      <c r="H156" s="3" t="s">
        <v>4984</v>
      </c>
      <c r="I156" s="3" t="s">
        <v>5200</v>
      </c>
      <c r="J156" s="124"/>
      <c r="K156" s="124"/>
      <c r="M156" s="124"/>
      <c r="T156" s="9">
        <v>392.86505100000005</v>
      </c>
      <c r="U156" s="9">
        <v>0</v>
      </c>
      <c r="V156" s="9">
        <v>201.14094899999992</v>
      </c>
      <c r="W156" s="9">
        <v>0</v>
      </c>
      <c r="X156" s="10">
        <v>10.042862409668956</v>
      </c>
      <c r="Y156" s="9">
        <v>23.60538942322388</v>
      </c>
      <c r="Z156" s="9">
        <v>16.113251414558079</v>
      </c>
      <c r="AA156" s="9">
        <v>25.107772666915153</v>
      </c>
      <c r="AB156" s="9">
        <v>17.615634658249352</v>
      </c>
      <c r="AC156" s="9">
        <v>22.518422991135971</v>
      </c>
      <c r="AD156" s="9">
        <v>48.526482651950033</v>
      </c>
      <c r="AE156" s="9">
        <v>42.862307648139939</v>
      </c>
      <c r="AF156" s="9">
        <v>36.791918643250803</v>
      </c>
      <c r="AG156" s="9">
        <v>41.359924404448769</v>
      </c>
      <c r="AH156" s="9">
        <v>41.359924404448769</v>
      </c>
      <c r="AI156" s="9">
        <v>35.28953539955954</v>
      </c>
      <c r="AJ156" s="9">
        <v>35.28953539955954</v>
      </c>
      <c r="AK156" s="9">
        <v>33.301576423973401</v>
      </c>
      <c r="AL156" s="9">
        <v>33.301576423973401</v>
      </c>
      <c r="AM156" s="9">
        <v>31.461632388187024</v>
      </c>
      <c r="AN156" s="9">
        <v>23.969494379521119</v>
      </c>
      <c r="AO156" s="9">
        <v>24.947571544801914</v>
      </c>
      <c r="AP156" s="9">
        <v>46.002236567022649</v>
      </c>
      <c r="AQ156" s="9">
        <v>52.072625571911779</v>
      </c>
      <c r="AR156" s="9">
        <v>52.072625571911779</v>
      </c>
      <c r="AS156" s="9">
        <v>52.072625571911779</v>
      </c>
      <c r="AT156" s="9">
        <v>46.002236567022649</v>
      </c>
      <c r="AU156" s="9">
        <v>39.93184756213352</v>
      </c>
      <c r="AV156" s="9">
        <v>39.93184756213352</v>
      </c>
      <c r="AW156" s="9">
        <v>29.968552034663208</v>
      </c>
      <c r="AX156" s="9">
        <v>37.25301884053021</v>
      </c>
      <c r="AY156" s="9">
        <v>37.25301884053021</v>
      </c>
      <c r="AZ156" s="9">
        <v>29.968552034663208</v>
      </c>
    </row>
    <row r="157" spans="1:76">
      <c r="A157" s="3" t="s">
        <v>66</v>
      </c>
      <c r="B157" t="s">
        <v>5</v>
      </c>
      <c r="C157" t="str">
        <f>+_xlfn.XLOOKUP(B157,'L4'!B:B,'L4'!C:C)</f>
        <v>KAZI - SANAT YAPISI ( KÖPRÜ HARIÇ )</v>
      </c>
      <c r="D157" t="s">
        <v>5183</v>
      </c>
      <c r="E157" t="str">
        <f>+_xlfn.XLOOKUP(D157,'M2'!H:H,'M2'!I:I)</f>
        <v>ÖZDOĞAN İNŞAAT - GENEL</v>
      </c>
      <c r="F157" s="91" t="s">
        <v>4973</v>
      </c>
      <c r="G157" t="s">
        <v>4983</v>
      </c>
      <c r="H157" s="3" t="s">
        <v>4984</v>
      </c>
      <c r="I157" s="3" t="s">
        <v>5200</v>
      </c>
      <c r="J157" s="124"/>
      <c r="K157" s="124"/>
      <c r="M157" s="124"/>
      <c r="P157" s="9">
        <v>891.54</v>
      </c>
      <c r="Q157" s="9">
        <v>1631.98</v>
      </c>
      <c r="R157" s="9">
        <v>463.30000000000018</v>
      </c>
      <c r="S157" s="9">
        <v>0</v>
      </c>
      <c r="T157" s="9">
        <v>-759.23564699999997</v>
      </c>
      <c r="U157" s="9">
        <v>-3.5300000035931589E-4</v>
      </c>
      <c r="V157" s="9">
        <v>1076.3120000000004</v>
      </c>
      <c r="W157" s="9">
        <v>0</v>
      </c>
      <c r="X157" s="10">
        <v>1.9577109704289677</v>
      </c>
      <c r="Y157" s="9">
        <v>4.6015297183202799</v>
      </c>
      <c r="Z157" s="9">
        <v>3.1410456279068213</v>
      </c>
      <c r="AA157" s="9">
        <v>4.8943976316685038</v>
      </c>
      <c r="AB157" s="9">
        <v>3.4339135412550452</v>
      </c>
      <c r="AC157" s="9">
        <v>4.3896413122282283</v>
      </c>
      <c r="AD157" s="9">
        <v>9.4595368898601784</v>
      </c>
      <c r="AE157" s="9">
        <v>8.3553877846496363</v>
      </c>
      <c r="AF157" s="9">
        <v>7.1720531271717807</v>
      </c>
      <c r="AG157" s="9">
        <v>8.0625198713014328</v>
      </c>
      <c r="AH157" s="9">
        <v>8.0625198713014328</v>
      </c>
      <c r="AI157" s="9">
        <v>6.8791852138235585</v>
      </c>
      <c r="AJ157" s="9">
        <v>6.8791852138235585</v>
      </c>
      <c r="AK157" s="9">
        <v>6.4916613250644373</v>
      </c>
      <c r="AL157" s="9">
        <v>6.4916613250644373</v>
      </c>
      <c r="AM157" s="9">
        <v>6.1329908109322933</v>
      </c>
      <c r="AN157" s="9">
        <v>4.6725067205188155</v>
      </c>
      <c r="AO157" s="9">
        <v>4.8631687368133703</v>
      </c>
      <c r="AP157" s="9">
        <v>8.9674715751181431</v>
      </c>
      <c r="AQ157" s="9">
        <v>10.150806232595997</v>
      </c>
      <c r="AR157" s="9">
        <v>10.150806232595997</v>
      </c>
      <c r="AS157" s="9">
        <v>10.150806232595997</v>
      </c>
      <c r="AT157" s="9">
        <v>8.9674715751181431</v>
      </c>
      <c r="AU157" s="9">
        <v>7.7841369176402884</v>
      </c>
      <c r="AV157" s="9">
        <v>7.7841369176402884</v>
      </c>
      <c r="AW157" s="9">
        <v>5.8419363616538345</v>
      </c>
      <c r="AX157" s="9">
        <v>7.2619379506272699</v>
      </c>
      <c r="AY157" s="9">
        <v>7.2619379506272699</v>
      </c>
      <c r="AZ157" s="9">
        <v>5.8419363616538345</v>
      </c>
    </row>
    <row r="158" spans="1:76">
      <c r="A158" s="3" t="s">
        <v>66</v>
      </c>
      <c r="B158" t="s">
        <v>6</v>
      </c>
      <c r="C158" t="s">
        <v>152</v>
      </c>
      <c r="D158" t="s">
        <v>71</v>
      </c>
      <c r="E158" t="s">
        <v>4974</v>
      </c>
      <c r="F158" s="91" t="s">
        <v>4973</v>
      </c>
      <c r="G158" t="s">
        <v>4983</v>
      </c>
      <c r="H158" s="3" t="s">
        <v>4984</v>
      </c>
      <c r="I158" s="3" t="s">
        <v>5200</v>
      </c>
      <c r="J158" s="124"/>
      <c r="K158" s="124"/>
      <c r="M158" s="124"/>
      <c r="R158" s="9">
        <v>0</v>
      </c>
      <c r="S158" s="9">
        <v>0</v>
      </c>
      <c r="T158" s="9">
        <v>0</v>
      </c>
      <c r="U158" s="9">
        <v>0</v>
      </c>
      <c r="V158" s="9">
        <v>0</v>
      </c>
      <c r="W158" s="9">
        <v>0</v>
      </c>
      <c r="X158" s="10">
        <v>25.941122816004313</v>
      </c>
      <c r="Y158" s="9">
        <v>33.754262090849188</v>
      </c>
      <c r="Z158" s="9">
        <v>61.676540127458431</v>
      </c>
      <c r="AA158" s="9">
        <v>71.263385141857711</v>
      </c>
      <c r="AB158" s="9">
        <v>65.557257262821864</v>
      </c>
      <c r="AC158" s="9">
        <v>91.827492548967015</v>
      </c>
      <c r="AD158" s="9">
        <v>136.83671977447659</v>
      </c>
      <c r="AE158" s="9">
        <v>88.577519028493441</v>
      </c>
      <c r="AF158" s="9">
        <v>86.470507632684644</v>
      </c>
      <c r="AG158" s="9">
        <v>116.82692923886353</v>
      </c>
      <c r="AH158" s="9">
        <v>150.08442947392086</v>
      </c>
      <c r="AI158" s="9">
        <v>147.97741807811209</v>
      </c>
      <c r="AJ158" s="9">
        <v>147.97741807811209</v>
      </c>
      <c r="AK158" s="9">
        <v>130.17053258936372</v>
      </c>
      <c r="AL158" s="9">
        <v>97.829022826881896</v>
      </c>
      <c r="AM158" s="9">
        <v>73.629190070265608</v>
      </c>
      <c r="AN158" s="9">
        <v>65.104629967919806</v>
      </c>
      <c r="AO158" s="9">
        <v>67.614489915591378</v>
      </c>
      <c r="AP158" s="9">
        <v>81.133757069472097</v>
      </c>
      <c r="AQ158" s="9">
        <v>83.240768465280908</v>
      </c>
      <c r="AR158" s="9">
        <v>83.240768465280908</v>
      </c>
      <c r="AS158" s="9">
        <v>83.240768465280908</v>
      </c>
      <c r="AT158" s="9">
        <v>81.133757069472097</v>
      </c>
      <c r="AU158" s="9">
        <v>79.026745673663058</v>
      </c>
      <c r="AV158" s="9">
        <v>79.026745673663058</v>
      </c>
      <c r="AW158" s="9">
        <v>22.824511516143605</v>
      </c>
      <c r="AX158" s="9">
        <v>25.344399711477937</v>
      </c>
      <c r="AY158" s="9">
        <v>25.344399711477937</v>
      </c>
      <c r="AZ158" s="9">
        <v>22.824511516143605</v>
      </c>
    </row>
    <row r="159" spans="1:76">
      <c r="A159" s="3" t="s">
        <v>66</v>
      </c>
      <c r="B159" t="s">
        <v>6</v>
      </c>
      <c r="C159" t="s">
        <v>152</v>
      </c>
      <c r="D159" t="s">
        <v>73</v>
      </c>
      <c r="E159" t="s">
        <v>4975</v>
      </c>
      <c r="F159" s="91" t="s">
        <v>4973</v>
      </c>
      <c r="G159" t="s">
        <v>4983</v>
      </c>
      <c r="H159" s="3" t="s">
        <v>4984</v>
      </c>
      <c r="I159" s="3" t="s">
        <v>5200</v>
      </c>
      <c r="J159" s="124"/>
      <c r="K159" s="124"/>
      <c r="M159" s="124"/>
      <c r="T159" s="9">
        <v>0</v>
      </c>
      <c r="U159" s="9">
        <v>0</v>
      </c>
      <c r="V159" s="9">
        <v>0</v>
      </c>
      <c r="W159" s="9">
        <v>0</v>
      </c>
      <c r="X159" s="10">
        <v>7.2463355756940029</v>
      </c>
      <c r="Y159" s="9">
        <v>9.4288405307312981</v>
      </c>
      <c r="Z159" s="9">
        <v>17.228587601288755</v>
      </c>
      <c r="AA159" s="9">
        <v>19.90655557434993</v>
      </c>
      <c r="AB159" s="9">
        <v>18.312618498356947</v>
      </c>
      <c r="AC159" s="9">
        <v>25.650887619784552</v>
      </c>
      <c r="AD159" s="9">
        <v>38.223665089443124</v>
      </c>
      <c r="AE159" s="9">
        <v>24.743047241844483</v>
      </c>
      <c r="AF159" s="9">
        <v>24.154479362800235</v>
      </c>
      <c r="AG159" s="9">
        <v>32.634174686547304</v>
      </c>
      <c r="AH159" s="9">
        <v>41.924250864871645</v>
      </c>
      <c r="AI159" s="9">
        <v>41.335682985827397</v>
      </c>
      <c r="AJ159" s="9">
        <v>41.335682985827397</v>
      </c>
      <c r="AK159" s="9">
        <v>36.361547181273131</v>
      </c>
      <c r="AL159" s="9">
        <v>27.327341745148349</v>
      </c>
      <c r="AM159" s="9">
        <v>20.567414263446373</v>
      </c>
      <c r="AN159" s="9">
        <v>18.186182596069969</v>
      </c>
      <c r="AO159" s="9">
        <v>18.887281293987598</v>
      </c>
      <c r="AP159" s="9">
        <v>22.66372332501788</v>
      </c>
      <c r="AQ159" s="9">
        <v>23.252291204062129</v>
      </c>
      <c r="AR159" s="9">
        <v>23.252291204062129</v>
      </c>
      <c r="AS159" s="9">
        <v>23.252291204062129</v>
      </c>
      <c r="AT159" s="9">
        <v>22.66372332501788</v>
      </c>
      <c r="AU159" s="9">
        <v>22.075155445973564</v>
      </c>
      <c r="AV159" s="9">
        <v>22.075155445973564</v>
      </c>
      <c r="AW159" s="9">
        <v>6.3757483039720002</v>
      </c>
      <c r="AX159" s="9">
        <v>7.0796482702971693</v>
      </c>
      <c r="AY159" s="9">
        <v>7.0796482702971693</v>
      </c>
      <c r="AZ159" s="9">
        <v>6.3757483039720002</v>
      </c>
    </row>
    <row r="160" spans="1:76">
      <c r="A160" s="3" t="s">
        <v>66</v>
      </c>
      <c r="B160" t="s">
        <v>6</v>
      </c>
      <c r="C160" t="s">
        <v>152</v>
      </c>
      <c r="D160" t="s">
        <v>5183</v>
      </c>
      <c r="E160" t="s">
        <v>5185</v>
      </c>
      <c r="F160" s="91" t="s">
        <v>4973</v>
      </c>
      <c r="G160" t="s">
        <v>4983</v>
      </c>
      <c r="H160" s="3" t="s">
        <v>4984</v>
      </c>
      <c r="I160" s="3" t="s">
        <v>5200</v>
      </c>
      <c r="J160" s="124"/>
      <c r="K160" s="124"/>
      <c r="M160" s="124"/>
      <c r="P160" s="9">
        <v>0</v>
      </c>
      <c r="Q160" s="9">
        <v>0</v>
      </c>
      <c r="R160" s="9">
        <v>0</v>
      </c>
      <c r="S160" s="9">
        <v>0</v>
      </c>
      <c r="T160" s="9">
        <v>0</v>
      </c>
      <c r="U160" s="9">
        <v>0</v>
      </c>
      <c r="V160" s="9">
        <v>0</v>
      </c>
      <c r="W160" s="9">
        <v>0</v>
      </c>
      <c r="X160" s="10">
        <v>9.7623993288382156</v>
      </c>
      <c r="Y160" s="9">
        <v>22.946170968187317</v>
      </c>
      <c r="Z160" s="9">
        <v>15.663262960113425</v>
      </c>
      <c r="AA160" s="9">
        <v>24.406597744098203</v>
      </c>
      <c r="AB160" s="9">
        <v>17.123689736024311</v>
      </c>
      <c r="AC160" s="9">
        <v>21.889559821462022</v>
      </c>
      <c r="AD160" s="9">
        <v>47.171302597572087</v>
      </c>
      <c r="AE160" s="9">
        <v>41.665308788239336</v>
      </c>
      <c r="AF160" s="9">
        <v>35.764445156964115</v>
      </c>
      <c r="AG160" s="9">
        <v>40.204882012328554</v>
      </c>
      <c r="AH160" s="9">
        <v>40.204882012328554</v>
      </c>
      <c r="AI160" s="9">
        <v>34.30401838105324</v>
      </c>
      <c r="AJ160" s="9">
        <v>34.30401838105324</v>
      </c>
      <c r="AK160" s="9">
        <v>32.371576356323779</v>
      </c>
      <c r="AL160" s="9">
        <v>32.371576356323779</v>
      </c>
      <c r="AM160" s="9">
        <v>30.583015716205153</v>
      </c>
      <c r="AN160" s="9">
        <v>23.300107708131165</v>
      </c>
      <c r="AO160" s="9">
        <v>24.250870495909307</v>
      </c>
      <c r="AP160" s="9">
        <v>44.717550143332311</v>
      </c>
      <c r="AQ160" s="9">
        <v>50.618413774607532</v>
      </c>
      <c r="AR160" s="9">
        <v>50.618413774607532</v>
      </c>
      <c r="AS160" s="9">
        <v>50.618413774607532</v>
      </c>
      <c r="AT160" s="9">
        <v>44.717550143332311</v>
      </c>
      <c r="AU160" s="9">
        <v>38.816686512057096</v>
      </c>
      <c r="AV160" s="9">
        <v>38.816686512057096</v>
      </c>
      <c r="AW160" s="9">
        <v>29.13163203229557</v>
      </c>
      <c r="AX160" s="9">
        <v>36.212668389825872</v>
      </c>
      <c r="AY160" s="9">
        <v>36.212668389825872</v>
      </c>
      <c r="AZ160" s="9">
        <v>29.13163203229557</v>
      </c>
    </row>
    <row r="161" spans="1:52">
      <c r="A161" s="3" t="s">
        <v>66</v>
      </c>
      <c r="B161" t="s">
        <v>7</v>
      </c>
      <c r="C161" t="s">
        <v>156</v>
      </c>
      <c r="D161" t="s">
        <v>71</v>
      </c>
      <c r="E161" t="s">
        <v>4974</v>
      </c>
      <c r="F161" s="91" t="s">
        <v>4973</v>
      </c>
      <c r="G161" t="s">
        <v>4983</v>
      </c>
      <c r="H161" s="3" t="s">
        <v>4984</v>
      </c>
      <c r="I161" s="3" t="s">
        <v>5200</v>
      </c>
      <c r="J161" s="124"/>
      <c r="K161" s="124"/>
      <c r="M161" s="124"/>
      <c r="R161" s="9">
        <v>23</v>
      </c>
      <c r="S161" s="9">
        <v>117.965</v>
      </c>
      <c r="T161" s="9">
        <v>55</v>
      </c>
      <c r="U161" s="9">
        <v>-2.6099999985262912E-5</v>
      </c>
      <c r="V161" s="9">
        <v>51.039000000000016</v>
      </c>
      <c r="W161" s="9">
        <v>0</v>
      </c>
      <c r="X161" s="10">
        <v>0</v>
      </c>
      <c r="Y161" s="9">
        <v>0</v>
      </c>
      <c r="Z161" s="9">
        <v>8.6378521802993475</v>
      </c>
      <c r="AA161" s="9">
        <v>8.6378521802993475</v>
      </c>
      <c r="AB161" s="9">
        <v>8.6378521802993475</v>
      </c>
      <c r="AC161" s="9">
        <v>8.6378521802993475</v>
      </c>
      <c r="AD161" s="9">
        <v>16.945149924854576</v>
      </c>
      <c r="AE161" s="9">
        <v>8.3072977445552283</v>
      </c>
      <c r="AF161" s="9">
        <v>8.3072977445552283</v>
      </c>
      <c r="AG161" s="9">
        <v>16.560299425420553</v>
      </c>
      <c r="AH161" s="9">
        <v>25.102880112632025</v>
      </c>
      <c r="AI161" s="9">
        <v>25.102880112632025</v>
      </c>
      <c r="AJ161" s="9">
        <v>25.102880112632025</v>
      </c>
      <c r="AK161" s="9">
        <v>21.845116291237815</v>
      </c>
      <c r="AL161" s="9">
        <v>13.537818546682587</v>
      </c>
      <c r="AM161" s="9">
        <v>8.5425806872114727</v>
      </c>
      <c r="AN161" s="9">
        <v>7.8186331713460966</v>
      </c>
      <c r="AO161" s="9">
        <v>7.8186331713460966</v>
      </c>
      <c r="AP161" s="9">
        <v>7.8186331713460966</v>
      </c>
      <c r="AQ161" s="9">
        <v>7.8186331713460966</v>
      </c>
      <c r="AR161" s="9">
        <v>7.8186331713460966</v>
      </c>
      <c r="AS161" s="9">
        <v>7.8186331713460966</v>
      </c>
      <c r="AT161" s="9">
        <v>7.8186331713460966</v>
      </c>
      <c r="AU161" s="9">
        <v>7.8186331713460966</v>
      </c>
      <c r="AV161" s="9">
        <v>7.8186331713460966</v>
      </c>
      <c r="AW161" s="9">
        <v>0</v>
      </c>
      <c r="AX161" s="9">
        <v>0</v>
      </c>
      <c r="AY161" s="9">
        <v>0</v>
      </c>
      <c r="AZ161" s="9">
        <v>0</v>
      </c>
    </row>
    <row r="162" spans="1:52">
      <c r="A162" s="3" t="s">
        <v>66</v>
      </c>
      <c r="B162" t="s">
        <v>7</v>
      </c>
      <c r="C162" t="s">
        <v>156</v>
      </c>
      <c r="D162" t="s">
        <v>73</v>
      </c>
      <c r="E162" t="s">
        <v>4975</v>
      </c>
      <c r="F162" s="91" t="s">
        <v>4973</v>
      </c>
      <c r="G162" t="s">
        <v>4983</v>
      </c>
      <c r="H162" s="3" t="s">
        <v>4984</v>
      </c>
      <c r="I162" s="3" t="s">
        <v>5200</v>
      </c>
      <c r="J162" s="124"/>
      <c r="K162" s="124"/>
      <c r="M162" s="124"/>
      <c r="R162" s="9">
        <v>75.87</v>
      </c>
      <c r="S162" s="9">
        <v>152.56</v>
      </c>
      <c r="T162" s="9">
        <v>0</v>
      </c>
      <c r="U162" s="9">
        <v>0.17</v>
      </c>
      <c r="V162" s="9">
        <v>25.63</v>
      </c>
      <c r="W162" s="9">
        <v>0</v>
      </c>
      <c r="X162" s="10">
        <v>0</v>
      </c>
      <c r="Y162" s="9">
        <v>0</v>
      </c>
      <c r="Z162" s="9">
        <v>228.81972277303913</v>
      </c>
      <c r="AA162" s="9">
        <v>228.81972277303913</v>
      </c>
      <c r="AB162" s="9">
        <v>228.81972277303913</v>
      </c>
      <c r="AC162" s="9">
        <v>228.81972277303913</v>
      </c>
      <c r="AD162" s="9">
        <v>448.88294303022406</v>
      </c>
      <c r="AE162" s="9">
        <v>220.06322025718492</v>
      </c>
      <c r="AF162" s="9">
        <v>220.06322025718492</v>
      </c>
      <c r="AG162" s="9">
        <v>438.68811881334244</v>
      </c>
      <c r="AH162" s="9">
        <v>664.98406644164584</v>
      </c>
      <c r="AI162" s="9">
        <v>664.98406644164584</v>
      </c>
      <c r="AJ162" s="9">
        <v>664.98406644164584</v>
      </c>
      <c r="AK162" s="9">
        <v>578.68476438000459</v>
      </c>
      <c r="AL162" s="9">
        <v>358.62154412281967</v>
      </c>
      <c r="AM162" s="9">
        <v>226.29594762830337</v>
      </c>
      <c r="AN162" s="9">
        <v>207.11832494793873</v>
      </c>
      <c r="AO162" s="9">
        <v>207.11832494793873</v>
      </c>
      <c r="AP162" s="9">
        <v>207.11832494793873</v>
      </c>
      <c r="AQ162" s="9">
        <v>207.11832494793873</v>
      </c>
      <c r="AR162" s="9">
        <v>207.11832494793873</v>
      </c>
      <c r="AS162" s="9">
        <v>207.11832494793873</v>
      </c>
      <c r="AT162" s="9">
        <v>207.11832494793873</v>
      </c>
      <c r="AU162" s="9">
        <v>207.11832494793873</v>
      </c>
      <c r="AV162" s="9">
        <v>207.11832494793873</v>
      </c>
      <c r="AW162" s="9">
        <v>0</v>
      </c>
      <c r="AX162" s="9">
        <v>0</v>
      </c>
      <c r="AY162" s="9">
        <v>0</v>
      </c>
      <c r="AZ162" s="9">
        <v>0</v>
      </c>
    </row>
    <row r="163" spans="1:52">
      <c r="A163" s="3" t="s">
        <v>66</v>
      </c>
      <c r="B163" t="s">
        <v>7</v>
      </c>
      <c r="C163" t="s">
        <v>156</v>
      </c>
      <c r="D163" t="s">
        <v>76</v>
      </c>
      <c r="E163" t="s">
        <v>5186</v>
      </c>
      <c r="F163" s="91" t="s">
        <v>4973</v>
      </c>
      <c r="G163" t="s">
        <v>4983</v>
      </c>
      <c r="H163" s="3" t="s">
        <v>4984</v>
      </c>
      <c r="I163" s="3" t="s">
        <v>5200</v>
      </c>
      <c r="J163" s="124"/>
      <c r="K163" s="124"/>
      <c r="M163" s="124"/>
      <c r="T163" s="9">
        <v>159.542551</v>
      </c>
      <c r="U163" s="9">
        <v>0</v>
      </c>
      <c r="V163" s="9">
        <v>1.478999999999985</v>
      </c>
      <c r="W163" s="9">
        <v>0</v>
      </c>
      <c r="X163" s="10">
        <v>0</v>
      </c>
      <c r="Y163" s="9">
        <v>0</v>
      </c>
      <c r="Z163" s="9">
        <v>10.235980893429684</v>
      </c>
      <c r="AA163" s="9">
        <v>10.235980893429684</v>
      </c>
      <c r="AB163" s="9">
        <v>10.235980893429684</v>
      </c>
      <c r="AC163" s="9">
        <v>10.235980893429684</v>
      </c>
      <c r="AD163" s="9">
        <v>20.080249956430936</v>
      </c>
      <c r="AE163" s="9">
        <v>9.8442690630012564</v>
      </c>
      <c r="AF163" s="9">
        <v>9.8442690630012564</v>
      </c>
      <c r="AG163" s="9">
        <v>19.624196498139757</v>
      </c>
      <c r="AH163" s="9">
        <v>29.747279281879603</v>
      </c>
      <c r="AI163" s="9">
        <v>29.747279281879603</v>
      </c>
      <c r="AJ163" s="9">
        <v>29.747279281879603</v>
      </c>
      <c r="AK163" s="9">
        <v>25.886781610114404</v>
      </c>
      <c r="AL163" s="9">
        <v>16.042512547113148</v>
      </c>
      <c r="AM163" s="9">
        <v>10.123082783739848</v>
      </c>
      <c r="AN163" s="9">
        <v>9.2651944122364753</v>
      </c>
      <c r="AO163" s="9">
        <v>9.2651944122364753</v>
      </c>
      <c r="AP163" s="9">
        <v>9.2651944122364753</v>
      </c>
      <c r="AQ163" s="9">
        <v>9.2651944122364753</v>
      </c>
      <c r="AR163" s="9">
        <v>9.2651944122364753</v>
      </c>
      <c r="AS163" s="9">
        <v>9.2651944122364753</v>
      </c>
      <c r="AT163" s="9">
        <v>9.2651944122364753</v>
      </c>
      <c r="AU163" s="9">
        <v>9.2651944122364753</v>
      </c>
      <c r="AV163" s="9">
        <v>9.2651944122364753</v>
      </c>
      <c r="AW163" s="9">
        <v>0</v>
      </c>
      <c r="AX163" s="9">
        <v>0</v>
      </c>
      <c r="AY163" s="9">
        <v>0</v>
      </c>
      <c r="AZ163" s="9">
        <v>0</v>
      </c>
    </row>
    <row r="164" spans="1:52">
      <c r="A164" s="3" t="s">
        <v>66</v>
      </c>
      <c r="B164" t="s">
        <v>7</v>
      </c>
      <c r="C164" t="s">
        <v>156</v>
      </c>
      <c r="D164" t="s">
        <v>5183</v>
      </c>
      <c r="E164" t="s">
        <v>5185</v>
      </c>
      <c r="F164" s="91" t="s">
        <v>4973</v>
      </c>
      <c r="G164" t="s">
        <v>4983</v>
      </c>
      <c r="H164" s="3" t="s">
        <v>4984</v>
      </c>
      <c r="I164" s="3" t="s">
        <v>5200</v>
      </c>
      <c r="J164" s="124"/>
      <c r="K164" s="124"/>
      <c r="M164" s="124"/>
      <c r="P164" s="9">
        <v>323.02</v>
      </c>
      <c r="Q164" s="9">
        <v>362.56000000000006</v>
      </c>
      <c r="R164" s="9">
        <v>202.17999999999995</v>
      </c>
      <c r="S164" s="9">
        <v>0</v>
      </c>
      <c r="T164" s="9">
        <v>56.886852999999974</v>
      </c>
      <c r="U164" s="9">
        <v>1.4699999996992119E-4</v>
      </c>
      <c r="V164" s="9">
        <v>348.03900000000021</v>
      </c>
      <c r="W164" s="9">
        <v>0</v>
      </c>
      <c r="X164" s="10">
        <v>20.2818705298181</v>
      </c>
      <c r="Y164" s="9">
        <v>47.671812333785205</v>
      </c>
      <c r="Z164" s="9">
        <v>32.541208439720918</v>
      </c>
      <c r="AA164" s="9">
        <v>50.705921653592064</v>
      </c>
      <c r="AB164" s="9">
        <v>35.575317759527778</v>
      </c>
      <c r="AC164" s="9">
        <v>45.47665008356455</v>
      </c>
      <c r="AD164" s="9">
        <v>98.000729101570684</v>
      </c>
      <c r="AE164" s="9">
        <v>86.56175290142825</v>
      </c>
      <c r="AF164" s="9">
        <v>74.30241499152541</v>
      </c>
      <c r="AG164" s="9">
        <v>83.527643581621604</v>
      </c>
      <c r="AH164" s="9">
        <v>83.527643581621604</v>
      </c>
      <c r="AI164" s="9">
        <v>71.268305671718565</v>
      </c>
      <c r="AJ164" s="9">
        <v>71.268305671718565</v>
      </c>
      <c r="AK164" s="9">
        <v>67.253561177896813</v>
      </c>
      <c r="AL164" s="9">
        <v>67.253561177896813</v>
      </c>
      <c r="AM164" s="9">
        <v>63.537737422310741</v>
      </c>
      <c r="AN164" s="9">
        <v>48.407133528246248</v>
      </c>
      <c r="AO164" s="9">
        <v>50.382390544144208</v>
      </c>
      <c r="AP164" s="9">
        <v>92.902936242175628</v>
      </c>
      <c r="AQ164" s="9">
        <v>105.16227415207845</v>
      </c>
      <c r="AR164" s="9">
        <v>105.16227415207845</v>
      </c>
      <c r="AS164" s="9">
        <v>105.16227415207845</v>
      </c>
      <c r="AT164" s="9">
        <v>92.902936242175628</v>
      </c>
      <c r="AU164" s="9">
        <v>80.643598332272802</v>
      </c>
      <c r="AV164" s="9">
        <v>80.643598332272802</v>
      </c>
      <c r="AW164" s="9">
        <v>60.522415576257167</v>
      </c>
      <c r="AX164" s="9">
        <v>75.23362106814065</v>
      </c>
      <c r="AY164" s="9">
        <v>75.23362106814065</v>
      </c>
      <c r="AZ164" s="9">
        <v>60.522415576257167</v>
      </c>
    </row>
    <row r="165" spans="1:52">
      <c r="A165" s="3" t="s">
        <v>66</v>
      </c>
      <c r="B165" t="s">
        <v>8</v>
      </c>
      <c r="C165" t="s">
        <v>164</v>
      </c>
      <c r="D165" t="s">
        <v>71</v>
      </c>
      <c r="E165" t="s">
        <v>4974</v>
      </c>
      <c r="F165" s="91" t="s">
        <v>4973</v>
      </c>
      <c r="G165" t="s">
        <v>4983</v>
      </c>
      <c r="H165" s="3" t="s">
        <v>4984</v>
      </c>
      <c r="I165" s="3" t="s">
        <v>5200</v>
      </c>
      <c r="J165" s="124"/>
      <c r="K165" s="124"/>
      <c r="M165" s="124"/>
      <c r="R165" s="9">
        <v>0</v>
      </c>
      <c r="S165" s="9">
        <v>0</v>
      </c>
      <c r="T165" s="9">
        <v>1.954</v>
      </c>
      <c r="U165" s="9">
        <v>12.275138200000002</v>
      </c>
      <c r="V165" s="9">
        <v>26.611166600000036</v>
      </c>
      <c r="W165" s="9">
        <v>3.172654990795472</v>
      </c>
      <c r="X165" s="10">
        <v>6.0358524517642325</v>
      </c>
      <c r="Y165" s="9">
        <v>9.5788261264829213</v>
      </c>
      <c r="Z165" s="9">
        <v>22.108474290049632</v>
      </c>
      <c r="AA165" s="9">
        <v>24.782412535904687</v>
      </c>
      <c r="AB165" s="9">
        <v>22.816278308606197</v>
      </c>
      <c r="AC165" s="9">
        <v>28.020695856896644</v>
      </c>
      <c r="AD165" s="9">
        <v>48.650745368453322</v>
      </c>
      <c r="AE165" s="9">
        <v>29.772195007767536</v>
      </c>
      <c r="AF165" s="9">
        <v>28.195355560347302</v>
      </c>
      <c r="AG165" s="9">
        <v>42.914328906662462</v>
      </c>
      <c r="AH165" s="9">
        <v>57.250229558059516</v>
      </c>
      <c r="AI165" s="9">
        <v>55.673390110639282</v>
      </c>
      <c r="AJ165" s="9">
        <v>55.673390110639282</v>
      </c>
      <c r="AK165" s="9">
        <v>49.365867893245408</v>
      </c>
      <c r="AL165" s="9">
        <v>35.424811963179152</v>
      </c>
      <c r="AM165" s="9">
        <v>26.175118868498167</v>
      </c>
      <c r="AN165" s="9">
        <v>22.994077806335468</v>
      </c>
      <c r="AO165" s="9">
        <v>23.605142865724794</v>
      </c>
      <c r="AP165" s="9">
        <v>29.114250767742089</v>
      </c>
      <c r="AQ165" s="9">
        <v>30.691090215162323</v>
      </c>
      <c r="AR165" s="9">
        <v>30.691090215162323</v>
      </c>
      <c r="AS165" s="9">
        <v>30.691090215162323</v>
      </c>
      <c r="AT165" s="9">
        <v>29.114250767742089</v>
      </c>
      <c r="AU165" s="9">
        <v>27.537411320321851</v>
      </c>
      <c r="AV165" s="9">
        <v>27.537411320321851</v>
      </c>
      <c r="AW165" s="9">
        <v>7.8645369091940909</v>
      </c>
      <c r="AX165" s="9">
        <v>9.9190889899727406</v>
      </c>
      <c r="AY165" s="9">
        <v>9.9190889899727406</v>
      </c>
      <c r="AZ165" s="9">
        <v>7.8645369091940909</v>
      </c>
    </row>
    <row r="166" spans="1:52">
      <c r="A166" s="3" t="s">
        <v>66</v>
      </c>
      <c r="B166" t="s">
        <v>8</v>
      </c>
      <c r="C166" t="s">
        <v>164</v>
      </c>
      <c r="D166" t="s">
        <v>73</v>
      </c>
      <c r="E166" t="s">
        <v>4975</v>
      </c>
      <c r="F166" s="91" t="s">
        <v>4973</v>
      </c>
      <c r="G166" t="s">
        <v>4983</v>
      </c>
      <c r="H166" s="3" t="s">
        <v>4984</v>
      </c>
      <c r="I166" s="3" t="s">
        <v>5200</v>
      </c>
      <c r="J166" s="124"/>
      <c r="K166" s="124"/>
      <c r="M166" s="124"/>
      <c r="R166" s="9">
        <v>3.6120000000000001</v>
      </c>
      <c r="S166" s="9">
        <v>-3.61</v>
      </c>
      <c r="T166" s="9">
        <v>17.600000000000001</v>
      </c>
      <c r="U166" s="9">
        <v>50.87</v>
      </c>
      <c r="V166" s="9">
        <v>13.96</v>
      </c>
      <c r="W166" s="9">
        <v>-4.72</v>
      </c>
      <c r="X166" s="10">
        <v>4.3985861454886122</v>
      </c>
      <c r="Y166" s="9">
        <v>6.9805039514637057</v>
      </c>
      <c r="Z166" s="9">
        <v>16.111399257561246</v>
      </c>
      <c r="AA166" s="9">
        <v>18.06001344521793</v>
      </c>
      <c r="AB166" s="9">
        <v>16.627206589603311</v>
      </c>
      <c r="AC166" s="9">
        <v>20.419890242192764</v>
      </c>
      <c r="AD166" s="9">
        <v>35.453897565508605</v>
      </c>
      <c r="AE166" s="9">
        <v>21.696283255511691</v>
      </c>
      <c r="AF166" s="9">
        <v>20.547172305151189</v>
      </c>
      <c r="AG166" s="9">
        <v>31.273523347412709</v>
      </c>
      <c r="AH166" s="9">
        <v>41.720712786230912</v>
      </c>
      <c r="AI166" s="9">
        <v>40.57160183587041</v>
      </c>
      <c r="AJ166" s="9">
        <v>40.57160183587041</v>
      </c>
      <c r="AK166" s="9">
        <v>35.975038208858471</v>
      </c>
      <c r="AL166" s="9">
        <v>25.815589157126325</v>
      </c>
      <c r="AM166" s="9">
        <v>19.074938648946095</v>
      </c>
      <c r="AN166" s="9">
        <v>16.756776756143452</v>
      </c>
      <c r="AO166" s="9">
        <v>17.202086234084128</v>
      </c>
      <c r="AP166" s="9">
        <v>21.216810895673923</v>
      </c>
      <c r="AQ166" s="9">
        <v>22.365921846034425</v>
      </c>
      <c r="AR166" s="9">
        <v>22.365921846034425</v>
      </c>
      <c r="AS166" s="9">
        <v>22.365921846034425</v>
      </c>
      <c r="AT166" s="9">
        <v>21.216810895673923</v>
      </c>
      <c r="AU166" s="9">
        <v>20.067699945313421</v>
      </c>
      <c r="AV166" s="9">
        <v>20.067699945313421</v>
      </c>
      <c r="AW166" s="9">
        <v>5.7312274224585691</v>
      </c>
      <c r="AX166" s="9">
        <v>7.2284681833814597</v>
      </c>
      <c r="AY166" s="9">
        <v>7.2284681833814597</v>
      </c>
      <c r="AZ166" s="9">
        <v>5.7312274224585691</v>
      </c>
    </row>
    <row r="167" spans="1:52">
      <c r="A167" s="3" t="s">
        <v>66</v>
      </c>
      <c r="B167" t="s">
        <v>8</v>
      </c>
      <c r="C167" t="s">
        <v>164</v>
      </c>
      <c r="D167" t="s">
        <v>5183</v>
      </c>
      <c r="E167" t="s">
        <v>5185</v>
      </c>
      <c r="F167" s="91" t="s">
        <v>4973</v>
      </c>
      <c r="G167" t="s">
        <v>4983</v>
      </c>
      <c r="H167" s="3" t="s">
        <v>4984</v>
      </c>
      <c r="I167" s="3" t="s">
        <v>5200</v>
      </c>
      <c r="J167" s="124"/>
      <c r="K167" s="124"/>
      <c r="M167" s="124"/>
      <c r="P167" s="9">
        <v>0</v>
      </c>
      <c r="Q167" s="9">
        <v>0</v>
      </c>
      <c r="R167" s="9">
        <v>0</v>
      </c>
      <c r="S167" s="9">
        <v>0</v>
      </c>
      <c r="T167" s="9">
        <v>14.398000000000001</v>
      </c>
      <c r="U167" s="9">
        <v>14.916716975321973</v>
      </c>
      <c r="V167" s="9">
        <v>28.845283024678004</v>
      </c>
      <c r="W167" s="9">
        <v>2.8359999999999985</v>
      </c>
      <c r="X167" s="10">
        <v>4.4769371009450269</v>
      </c>
      <c r="Y167" s="9">
        <v>10.522880766477599</v>
      </c>
      <c r="Z167" s="9">
        <v>7.1830131821021244</v>
      </c>
      <c r="AA167" s="9">
        <v>11.192617641200082</v>
      </c>
      <c r="AB167" s="9">
        <v>7.8527500568246076</v>
      </c>
      <c r="AC167" s="9">
        <v>10.038329634659732</v>
      </c>
      <c r="AD167" s="9">
        <v>21.63227989200756</v>
      </c>
      <c r="AE167" s="9">
        <v>19.107287097484278</v>
      </c>
      <c r="AF167" s="9">
        <v>16.401211016327174</v>
      </c>
      <c r="AG167" s="9">
        <v>18.437550222761839</v>
      </c>
      <c r="AH167" s="9">
        <v>18.437550222761839</v>
      </c>
      <c r="AI167" s="9">
        <v>15.731474141604695</v>
      </c>
      <c r="AJ167" s="9">
        <v>15.731474141604695</v>
      </c>
      <c r="AK167" s="9">
        <v>14.845275871638391</v>
      </c>
      <c r="AL167" s="9">
        <v>14.845275871638391</v>
      </c>
      <c r="AM167" s="9">
        <v>14.02506014215235</v>
      </c>
      <c r="AN167" s="9">
        <v>10.68519255777683</v>
      </c>
      <c r="AO167" s="9">
        <v>11.12120270809184</v>
      </c>
      <c r="AP167" s="9">
        <v>20.507013957999892</v>
      </c>
      <c r="AQ167" s="9">
        <v>23.213090039156992</v>
      </c>
      <c r="AR167" s="9">
        <v>23.213090039156992</v>
      </c>
      <c r="AS167" s="9">
        <v>23.213090039156992</v>
      </c>
      <c r="AT167" s="9">
        <v>20.507013957999892</v>
      </c>
      <c r="AU167" s="9">
        <v>17.800937876842791</v>
      </c>
      <c r="AV167" s="9">
        <v>17.800937876842791</v>
      </c>
      <c r="AW167" s="9">
        <v>13.359470337501904</v>
      </c>
      <c r="AX167" s="9">
        <v>16.606761634890443</v>
      </c>
      <c r="AY167" s="9">
        <v>16.606761634890443</v>
      </c>
      <c r="AZ167" s="9">
        <v>13.359470337501904</v>
      </c>
    </row>
    <row r="168" spans="1:52">
      <c r="A168" s="3" t="s">
        <v>66</v>
      </c>
      <c r="B168" t="s">
        <v>9</v>
      </c>
      <c r="C168" t="s">
        <v>173</v>
      </c>
      <c r="D168" t="s">
        <v>71</v>
      </c>
      <c r="E168" t="s">
        <v>4974</v>
      </c>
      <c r="F168" s="91" t="s">
        <v>4973</v>
      </c>
      <c r="G168" t="s">
        <v>4983</v>
      </c>
      <c r="H168" s="3" t="s">
        <v>4984</v>
      </c>
      <c r="I168" s="3" t="s">
        <v>5200</v>
      </c>
      <c r="J168" s="124"/>
      <c r="K168" s="124"/>
      <c r="M168" s="124"/>
      <c r="R168" s="9">
        <v>0</v>
      </c>
      <c r="S168" s="9">
        <v>0</v>
      </c>
      <c r="T168" s="9">
        <v>0</v>
      </c>
      <c r="U168" s="9">
        <v>0</v>
      </c>
      <c r="V168" s="9">
        <v>0</v>
      </c>
      <c r="W168" s="9">
        <v>0</v>
      </c>
      <c r="X168" s="10">
        <v>0</v>
      </c>
      <c r="Y168" s="9">
        <v>0</v>
      </c>
      <c r="Z168" s="9">
        <v>55.307789873778503</v>
      </c>
      <c r="AA168" s="9">
        <v>55.307789873778503</v>
      </c>
      <c r="AB168" s="9">
        <v>55.307789873778503</v>
      </c>
      <c r="AC168" s="9">
        <v>55.307789873778503</v>
      </c>
      <c r="AD168" s="9">
        <v>108.49905414693626</v>
      </c>
      <c r="AE168" s="9">
        <v>53.191264273157771</v>
      </c>
      <c r="AF168" s="9">
        <v>53.191264273157771</v>
      </c>
      <c r="AG168" s="9">
        <v>106.03487322426874</v>
      </c>
      <c r="AH168" s="9">
        <v>160.73264389296253</v>
      </c>
      <c r="AI168" s="9">
        <v>160.73264389296253</v>
      </c>
      <c r="AJ168" s="9">
        <v>160.73264389296253</v>
      </c>
      <c r="AK168" s="9">
        <v>139.87332457015557</v>
      </c>
      <c r="AL168" s="9">
        <v>86.68206029699779</v>
      </c>
      <c r="AM168" s="9">
        <v>54.697770668693799</v>
      </c>
      <c r="AN168" s="9">
        <v>50.062366374736712</v>
      </c>
      <c r="AO168" s="9">
        <v>50.062366374736712</v>
      </c>
      <c r="AP168" s="9">
        <v>50.062366374736712</v>
      </c>
      <c r="AQ168" s="9">
        <v>50.062366374736712</v>
      </c>
      <c r="AR168" s="9">
        <v>50.062366374736712</v>
      </c>
      <c r="AS168" s="9">
        <v>50.062366374736712</v>
      </c>
      <c r="AT168" s="9">
        <v>50.062366374736712</v>
      </c>
      <c r="AU168" s="9">
        <v>50.062366374736712</v>
      </c>
      <c r="AV168" s="9">
        <v>50.062366374736712</v>
      </c>
      <c r="AW168" s="9">
        <v>0</v>
      </c>
      <c r="AX168" s="9">
        <v>0</v>
      </c>
      <c r="AY168" s="9">
        <v>0</v>
      </c>
      <c r="AZ168" s="9">
        <v>0</v>
      </c>
    </row>
    <row r="169" spans="1:52">
      <c r="A169" s="3" t="s">
        <v>66</v>
      </c>
      <c r="B169" t="s">
        <v>9</v>
      </c>
      <c r="C169" t="s">
        <v>173</v>
      </c>
      <c r="D169" t="s">
        <v>73</v>
      </c>
      <c r="E169" t="s">
        <v>4975</v>
      </c>
      <c r="F169" s="91" t="s">
        <v>4973</v>
      </c>
      <c r="G169" t="s">
        <v>4983</v>
      </c>
      <c r="H169" s="3" t="s">
        <v>4984</v>
      </c>
      <c r="I169" s="3" t="s">
        <v>5200</v>
      </c>
      <c r="J169" s="124"/>
      <c r="K169" s="124"/>
      <c r="M169" s="124"/>
      <c r="T169" s="9">
        <v>0</v>
      </c>
      <c r="U169" s="9">
        <v>0</v>
      </c>
      <c r="V169" s="9">
        <v>0</v>
      </c>
      <c r="W169" s="9">
        <v>0</v>
      </c>
      <c r="X169" s="10">
        <v>0</v>
      </c>
      <c r="Y169" s="9">
        <v>0</v>
      </c>
      <c r="Z169" s="9">
        <v>15.890502221940654</v>
      </c>
      <c r="AA169" s="9">
        <v>15.890502221940654</v>
      </c>
      <c r="AB169" s="9">
        <v>15.890502221940654</v>
      </c>
      <c r="AC169" s="9">
        <v>15.890502221940654</v>
      </c>
      <c r="AD169" s="9">
        <v>31.172904665600285</v>
      </c>
      <c r="AE169" s="9">
        <v>15.282402443659633</v>
      </c>
      <c r="AF169" s="9">
        <v>15.282402443659633</v>
      </c>
      <c r="AG169" s="9">
        <v>30.464919904027369</v>
      </c>
      <c r="AH169" s="9">
        <v>46.180157275285197</v>
      </c>
      <c r="AI169" s="9">
        <v>46.180157275285197</v>
      </c>
      <c r="AJ169" s="9">
        <v>46.180157275285197</v>
      </c>
      <c r="AK169" s="9">
        <v>40.187058277771612</v>
      </c>
      <c r="AL169" s="9">
        <v>24.904655834111978</v>
      </c>
      <c r="AM169" s="9">
        <v>15.715237371257828</v>
      </c>
      <c r="AN169" s="9">
        <v>14.383437594032593</v>
      </c>
      <c r="AO169" s="9">
        <v>14.383437594032593</v>
      </c>
      <c r="AP169" s="9">
        <v>14.383437594032593</v>
      </c>
      <c r="AQ169" s="9">
        <v>14.383437594032593</v>
      </c>
      <c r="AR169" s="9">
        <v>14.383437594032593</v>
      </c>
      <c r="AS169" s="9">
        <v>14.383437594032593</v>
      </c>
      <c r="AT169" s="9">
        <v>14.383437594032593</v>
      </c>
      <c r="AU169" s="9">
        <v>14.383437594032593</v>
      </c>
      <c r="AV169" s="9">
        <v>14.383437594032593</v>
      </c>
      <c r="AW169" s="9">
        <v>0</v>
      </c>
      <c r="AX169" s="9">
        <v>0</v>
      </c>
      <c r="AY169" s="9">
        <v>0</v>
      </c>
      <c r="AZ169" s="9">
        <v>0</v>
      </c>
    </row>
    <row r="170" spans="1:52">
      <c r="A170" s="3" t="s">
        <v>66</v>
      </c>
      <c r="B170" t="s">
        <v>9</v>
      </c>
      <c r="C170" t="s">
        <v>173</v>
      </c>
      <c r="D170" t="s">
        <v>5183</v>
      </c>
      <c r="E170" t="s">
        <v>5185</v>
      </c>
      <c r="F170" s="91" t="s">
        <v>4973</v>
      </c>
      <c r="G170" t="s">
        <v>4983</v>
      </c>
      <c r="H170" s="3" t="s">
        <v>4984</v>
      </c>
      <c r="I170" s="3" t="s">
        <v>5200</v>
      </c>
      <c r="J170" s="124"/>
      <c r="K170" s="124"/>
      <c r="M170" s="124"/>
      <c r="P170" s="9">
        <v>0</v>
      </c>
      <c r="Q170" s="9">
        <v>0</v>
      </c>
      <c r="R170" s="9">
        <v>0</v>
      </c>
      <c r="S170" s="9">
        <v>0</v>
      </c>
      <c r="T170" s="9">
        <v>0</v>
      </c>
      <c r="U170" s="9">
        <v>0</v>
      </c>
      <c r="V170" s="9">
        <v>0</v>
      </c>
      <c r="W170" s="9">
        <v>0</v>
      </c>
      <c r="X170" s="10">
        <v>8.1389799055260035</v>
      </c>
      <c r="Y170" s="9">
        <v>19.130381592479491</v>
      </c>
      <c r="Z170" s="9">
        <v>13.058570766588808</v>
      </c>
      <c r="AA170" s="9">
        <v>20.347949506088426</v>
      </c>
      <c r="AB170" s="9">
        <v>14.276138680197745</v>
      </c>
      <c r="AC170" s="9">
        <v>18.249477564537479</v>
      </c>
      <c r="AD170" s="9">
        <v>39.327041542441734</v>
      </c>
      <c r="AE170" s="9">
        <v>34.736656385615447</v>
      </c>
      <c r="AF170" s="9">
        <v>29.817065524552632</v>
      </c>
      <c r="AG170" s="9">
        <v>33.519088472006594</v>
      </c>
      <c r="AH170" s="9">
        <v>33.519088472006594</v>
      </c>
      <c r="AI170" s="9">
        <v>28.599497610943704</v>
      </c>
      <c r="AJ170" s="9">
        <v>28.599497610943704</v>
      </c>
      <c r="AK170" s="9">
        <v>26.988407316633978</v>
      </c>
      <c r="AL170" s="9">
        <v>26.988407316633978</v>
      </c>
      <c r="AM170" s="9">
        <v>25.497271928764874</v>
      </c>
      <c r="AN170" s="9">
        <v>19.425461102874113</v>
      </c>
      <c r="AO170" s="9">
        <v>20.218118621173875</v>
      </c>
      <c r="AP170" s="9">
        <v>37.281331134018053</v>
      </c>
      <c r="AQ170" s="9">
        <v>42.200921995080868</v>
      </c>
      <c r="AR170" s="9">
        <v>42.200921995080868</v>
      </c>
      <c r="AS170" s="9">
        <v>42.200921995080868</v>
      </c>
      <c r="AT170" s="9">
        <v>37.281331134018053</v>
      </c>
      <c r="AU170" s="9">
        <v>32.361740272955245</v>
      </c>
      <c r="AV170" s="9">
        <v>32.361740272955245</v>
      </c>
      <c r="AW170" s="9">
        <v>24.287243303562732</v>
      </c>
      <c r="AX170" s="9">
        <v>30.190752336838145</v>
      </c>
      <c r="AY170" s="9">
        <v>30.190752336838145</v>
      </c>
      <c r="AZ170" s="9">
        <v>24.287243303562732</v>
      </c>
    </row>
    <row r="171" spans="1:52">
      <c r="A171" s="3" t="s">
        <v>66</v>
      </c>
      <c r="B171" t="s">
        <v>10</v>
      </c>
      <c r="C171" t="s">
        <v>178</v>
      </c>
      <c r="D171" t="s">
        <v>71</v>
      </c>
      <c r="E171" t="s">
        <v>4974</v>
      </c>
      <c r="F171" s="91" t="s">
        <v>4973</v>
      </c>
      <c r="G171" t="s">
        <v>4983</v>
      </c>
      <c r="H171" s="3" t="s">
        <v>4984</v>
      </c>
      <c r="I171" s="3" t="s">
        <v>5200</v>
      </c>
      <c r="J171" s="124"/>
      <c r="K171" s="124"/>
      <c r="M171" s="124"/>
      <c r="R171" s="9">
        <v>0</v>
      </c>
      <c r="S171" s="9">
        <v>0</v>
      </c>
      <c r="T171" s="9">
        <v>0</v>
      </c>
      <c r="U171" s="9">
        <v>0</v>
      </c>
      <c r="V171" s="9">
        <v>0</v>
      </c>
      <c r="W171" s="9">
        <v>0</v>
      </c>
      <c r="X171" s="10">
        <v>0</v>
      </c>
      <c r="Y171" s="9">
        <v>23.100000000000019</v>
      </c>
      <c r="Z171" s="9">
        <v>99.430000000000049</v>
      </c>
      <c r="AA171" s="9">
        <v>122.53000000000007</v>
      </c>
      <c r="AB171" s="9">
        <v>99.430000000000049</v>
      </c>
      <c r="AC171" s="9">
        <v>99.430000000000049</v>
      </c>
      <c r="AD171" s="9">
        <v>264.35500000000008</v>
      </c>
      <c r="AE171" s="9">
        <v>164.92500000000007</v>
      </c>
      <c r="AF171" s="9">
        <v>164.92500000000007</v>
      </c>
      <c r="AG171" s="9">
        <v>259.9250000000003</v>
      </c>
      <c r="AH171" s="9">
        <v>358.25833333333372</v>
      </c>
      <c r="AI171" s="9">
        <v>358.25833333333372</v>
      </c>
      <c r="AJ171" s="9">
        <v>358.25833333333372</v>
      </c>
      <c r="AK171" s="9">
        <v>320.75833333333361</v>
      </c>
      <c r="AL171" s="9">
        <v>225.13333333333361</v>
      </c>
      <c r="AM171" s="9">
        <v>167.6333333333335</v>
      </c>
      <c r="AN171" s="9">
        <v>136.20000000000027</v>
      </c>
      <c r="AO171" s="9">
        <v>136.20000000000027</v>
      </c>
      <c r="AP171" s="9">
        <v>182.40000000000032</v>
      </c>
      <c r="AQ171" s="9">
        <v>182.40000000000032</v>
      </c>
      <c r="AR171" s="9">
        <v>182.40000000000032</v>
      </c>
      <c r="AS171" s="9">
        <v>182.40000000000032</v>
      </c>
      <c r="AT171" s="9">
        <v>182.40000000000032</v>
      </c>
      <c r="AU171" s="9">
        <v>182.40000000000032</v>
      </c>
      <c r="AV171" s="9">
        <v>182.40000000000032</v>
      </c>
      <c r="AW171" s="9">
        <v>92.400000000000077</v>
      </c>
      <c r="AX171" s="9">
        <v>92.400000000000077</v>
      </c>
      <c r="AY171" s="9">
        <v>92.400000000000077</v>
      </c>
      <c r="AZ171" s="9">
        <v>92.400000000000077</v>
      </c>
    </row>
    <row r="172" spans="1:52">
      <c r="A172" s="3" t="s">
        <v>66</v>
      </c>
      <c r="B172" t="s">
        <v>10</v>
      </c>
      <c r="C172" t="s">
        <v>178</v>
      </c>
      <c r="D172" t="s">
        <v>73</v>
      </c>
      <c r="E172" t="s">
        <v>4975</v>
      </c>
      <c r="F172" s="91" t="s">
        <v>4973</v>
      </c>
      <c r="G172" t="s">
        <v>4983</v>
      </c>
      <c r="H172" s="3" t="s">
        <v>4984</v>
      </c>
      <c r="I172" s="3" t="s">
        <v>5200</v>
      </c>
      <c r="J172" s="124"/>
      <c r="K172" s="124"/>
      <c r="M172" s="124"/>
      <c r="T172" s="9">
        <v>0</v>
      </c>
      <c r="U172" s="9">
        <v>0</v>
      </c>
      <c r="V172" s="9">
        <v>0</v>
      </c>
      <c r="W172" s="9">
        <v>0</v>
      </c>
      <c r="X172" s="10">
        <v>0</v>
      </c>
      <c r="Y172" s="9">
        <v>23.100000000000019</v>
      </c>
      <c r="Z172" s="9">
        <v>99.430000000000049</v>
      </c>
      <c r="AA172" s="9">
        <v>122.53000000000007</v>
      </c>
      <c r="AB172" s="9">
        <v>99.430000000000049</v>
      </c>
      <c r="AC172" s="9">
        <v>99.430000000000049</v>
      </c>
      <c r="AD172" s="9">
        <v>264.35500000000008</v>
      </c>
      <c r="AE172" s="9">
        <v>164.92500000000007</v>
      </c>
      <c r="AF172" s="9">
        <v>164.92500000000007</v>
      </c>
      <c r="AG172" s="9">
        <v>259.9250000000003</v>
      </c>
      <c r="AH172" s="9">
        <v>358.25833333333372</v>
      </c>
      <c r="AI172" s="9">
        <v>358.25833333333372</v>
      </c>
      <c r="AJ172" s="9">
        <v>358.25833333333372</v>
      </c>
      <c r="AK172" s="9">
        <v>320.75833333333361</v>
      </c>
      <c r="AL172" s="9">
        <v>225.13333333333361</v>
      </c>
      <c r="AM172" s="9">
        <v>167.6333333333335</v>
      </c>
      <c r="AN172" s="9">
        <v>136.20000000000027</v>
      </c>
      <c r="AO172" s="9">
        <v>136.20000000000027</v>
      </c>
      <c r="AP172" s="9">
        <v>182.40000000000032</v>
      </c>
      <c r="AQ172" s="9">
        <v>182.40000000000032</v>
      </c>
      <c r="AR172" s="9">
        <v>182.40000000000032</v>
      </c>
      <c r="AS172" s="9">
        <v>182.40000000000032</v>
      </c>
      <c r="AT172" s="9">
        <v>182.40000000000032</v>
      </c>
      <c r="AU172" s="9">
        <v>182.40000000000032</v>
      </c>
      <c r="AV172" s="9">
        <v>182.40000000000032</v>
      </c>
      <c r="AW172" s="9">
        <v>92.400000000000077</v>
      </c>
      <c r="AX172" s="9">
        <v>92.400000000000077</v>
      </c>
      <c r="AY172" s="9">
        <v>92.400000000000077</v>
      </c>
      <c r="AZ172" s="9">
        <v>92.400000000000077</v>
      </c>
    </row>
    <row r="173" spans="1:52">
      <c r="A173" s="3" t="s">
        <v>66</v>
      </c>
      <c r="B173" t="s">
        <v>10</v>
      </c>
      <c r="C173" t="s">
        <v>178</v>
      </c>
      <c r="D173" t="s">
        <v>5183</v>
      </c>
      <c r="E173" t="s">
        <v>5185</v>
      </c>
      <c r="F173" s="91" t="s">
        <v>4973</v>
      </c>
      <c r="G173" t="s">
        <v>4983</v>
      </c>
      <c r="H173" s="3" t="s">
        <v>4984</v>
      </c>
      <c r="I173" s="3" t="s">
        <v>5200</v>
      </c>
      <c r="J173" s="124"/>
      <c r="K173" s="124"/>
      <c r="M173" s="124"/>
      <c r="P173" s="9">
        <v>0</v>
      </c>
      <c r="Q173" s="9">
        <v>0</v>
      </c>
      <c r="R173" s="9">
        <v>0</v>
      </c>
      <c r="S173" s="9">
        <v>0</v>
      </c>
      <c r="T173" s="9">
        <v>0</v>
      </c>
      <c r="U173" s="9">
        <v>0</v>
      </c>
      <c r="V173" s="9">
        <v>0</v>
      </c>
      <c r="W173" s="9">
        <v>0</v>
      </c>
      <c r="X173" s="10">
        <v>0</v>
      </c>
      <c r="Y173" s="9">
        <v>0</v>
      </c>
      <c r="Z173" s="9">
        <v>0</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v>0</v>
      </c>
      <c r="AU173" s="9">
        <v>0</v>
      </c>
      <c r="AV173" s="9">
        <v>0</v>
      </c>
      <c r="AW173" s="9">
        <v>0</v>
      </c>
      <c r="AX173" s="9">
        <v>0</v>
      </c>
      <c r="AY173" s="9">
        <v>0</v>
      </c>
      <c r="AZ173" s="9">
        <v>0</v>
      </c>
    </row>
    <row r="174" spans="1:52">
      <c r="A174" s="3" t="s">
        <v>66</v>
      </c>
      <c r="B174" t="s">
        <v>11</v>
      </c>
      <c r="C174" t="s">
        <v>189</v>
      </c>
      <c r="D174" t="s">
        <v>71</v>
      </c>
      <c r="E174" t="s">
        <v>4974</v>
      </c>
      <c r="F174" s="91" t="s">
        <v>4973</v>
      </c>
      <c r="G174" t="s">
        <v>4983</v>
      </c>
      <c r="H174" s="3" t="s">
        <v>4984</v>
      </c>
      <c r="I174" s="3" t="s">
        <v>5200</v>
      </c>
      <c r="J174" s="124"/>
      <c r="K174" s="124"/>
      <c r="M174" s="124"/>
      <c r="R174" s="9">
        <v>0</v>
      </c>
      <c r="S174" s="9">
        <v>0</v>
      </c>
      <c r="T174" s="9">
        <v>0</v>
      </c>
      <c r="U174" s="9">
        <v>0</v>
      </c>
      <c r="V174" s="9">
        <v>0</v>
      </c>
      <c r="W174" s="9">
        <v>0</v>
      </c>
      <c r="X174" s="10">
        <v>0</v>
      </c>
      <c r="Y174" s="9">
        <v>0</v>
      </c>
      <c r="Z174" s="9">
        <v>0</v>
      </c>
      <c r="AA174" s="9">
        <v>0</v>
      </c>
      <c r="AB174" s="9">
        <v>0</v>
      </c>
      <c r="AC174" s="9">
        <v>0</v>
      </c>
      <c r="AD174" s="9">
        <v>0</v>
      </c>
      <c r="AE174" s="9">
        <v>103.125</v>
      </c>
      <c r="AF174" s="9">
        <v>103.125</v>
      </c>
      <c r="AG174" s="9">
        <v>103.125</v>
      </c>
      <c r="AH174" s="9">
        <v>103.125</v>
      </c>
      <c r="AI174" s="9">
        <v>103.125</v>
      </c>
      <c r="AJ174" s="9">
        <v>103.125</v>
      </c>
      <c r="AK174" s="9">
        <v>103.125</v>
      </c>
      <c r="AL174" s="9">
        <v>103.125</v>
      </c>
      <c r="AM174" s="9">
        <v>0</v>
      </c>
      <c r="AN174" s="9">
        <v>0</v>
      </c>
      <c r="AO174" s="9">
        <v>0</v>
      </c>
      <c r="AP174" s="9">
        <v>0</v>
      </c>
      <c r="AQ174" s="9">
        <v>103.125</v>
      </c>
      <c r="AR174" s="9">
        <v>103.125</v>
      </c>
      <c r="AS174" s="9">
        <v>103.125</v>
      </c>
      <c r="AT174" s="9">
        <v>103.125</v>
      </c>
      <c r="AU174" s="9">
        <v>103.125</v>
      </c>
      <c r="AV174" s="9">
        <v>103.125</v>
      </c>
      <c r="AW174" s="9">
        <v>103.125</v>
      </c>
      <c r="AX174" s="9">
        <v>103.125</v>
      </c>
      <c r="AY174" s="9">
        <v>0</v>
      </c>
      <c r="AZ174" s="9">
        <v>0</v>
      </c>
    </row>
    <row r="175" spans="1:52">
      <c r="A175" s="3" t="s">
        <v>66</v>
      </c>
      <c r="B175" t="s">
        <v>11</v>
      </c>
      <c r="C175" t="s">
        <v>189</v>
      </c>
      <c r="D175" t="s">
        <v>73</v>
      </c>
      <c r="E175" t="s">
        <v>4975</v>
      </c>
      <c r="F175" s="91" t="s">
        <v>4973</v>
      </c>
      <c r="G175" t="s">
        <v>4983</v>
      </c>
      <c r="H175" s="3" t="s">
        <v>4984</v>
      </c>
      <c r="I175" s="3" t="s">
        <v>5200</v>
      </c>
      <c r="J175" s="124"/>
      <c r="K175" s="124"/>
      <c r="M175" s="124"/>
      <c r="T175" s="9">
        <v>0</v>
      </c>
      <c r="U175" s="9">
        <v>0</v>
      </c>
      <c r="V175" s="9">
        <v>0</v>
      </c>
      <c r="W175" s="9">
        <v>0</v>
      </c>
      <c r="X175" s="10">
        <v>0</v>
      </c>
      <c r="Y175" s="9">
        <v>0</v>
      </c>
      <c r="Z175" s="9">
        <v>0</v>
      </c>
      <c r="AA175" s="9">
        <v>0</v>
      </c>
      <c r="AB175" s="9">
        <v>0</v>
      </c>
      <c r="AC175" s="9">
        <v>0</v>
      </c>
      <c r="AD175" s="9">
        <v>0</v>
      </c>
      <c r="AE175" s="9">
        <v>82.5</v>
      </c>
      <c r="AF175" s="9">
        <v>82.5</v>
      </c>
      <c r="AG175" s="9">
        <v>82.5</v>
      </c>
      <c r="AH175" s="9">
        <v>82.5</v>
      </c>
      <c r="AI175" s="9">
        <v>82.5</v>
      </c>
      <c r="AJ175" s="9">
        <v>82.5</v>
      </c>
      <c r="AK175" s="9">
        <v>82.5</v>
      </c>
      <c r="AL175" s="9">
        <v>82.5</v>
      </c>
      <c r="AM175" s="9">
        <v>0</v>
      </c>
      <c r="AN175" s="9">
        <v>0</v>
      </c>
      <c r="AO175" s="9">
        <v>0</v>
      </c>
      <c r="AP175" s="9">
        <v>0</v>
      </c>
      <c r="AQ175" s="9">
        <v>82.5</v>
      </c>
      <c r="AR175" s="9">
        <v>82.5</v>
      </c>
      <c r="AS175" s="9">
        <v>82.5</v>
      </c>
      <c r="AT175" s="9">
        <v>82.5</v>
      </c>
      <c r="AU175" s="9">
        <v>82.5</v>
      </c>
      <c r="AV175" s="9">
        <v>82.5</v>
      </c>
      <c r="AW175" s="9">
        <v>82.5</v>
      </c>
      <c r="AX175" s="9">
        <v>82.5</v>
      </c>
      <c r="AY175" s="9">
        <v>0</v>
      </c>
      <c r="AZ175" s="9">
        <v>0</v>
      </c>
    </row>
    <row r="176" spans="1:52">
      <c r="A176" s="3" t="s">
        <v>66</v>
      </c>
      <c r="B176" t="s">
        <v>11</v>
      </c>
      <c r="C176" t="s">
        <v>189</v>
      </c>
      <c r="D176" t="s">
        <v>5183</v>
      </c>
      <c r="E176" t="s">
        <v>5185</v>
      </c>
      <c r="F176" s="91" t="s">
        <v>4973</v>
      </c>
      <c r="G176" t="s">
        <v>4983</v>
      </c>
      <c r="H176" s="3" t="s">
        <v>4984</v>
      </c>
      <c r="I176" s="3" t="s">
        <v>5200</v>
      </c>
      <c r="J176" s="124"/>
      <c r="K176" s="124"/>
      <c r="M176" s="124"/>
      <c r="P176" s="9">
        <v>0</v>
      </c>
      <c r="Q176" s="9">
        <v>0</v>
      </c>
      <c r="R176" s="9">
        <v>0</v>
      </c>
      <c r="S176" s="9">
        <v>0</v>
      </c>
      <c r="T176" s="9">
        <v>0</v>
      </c>
      <c r="U176" s="9">
        <v>0</v>
      </c>
      <c r="V176" s="9">
        <v>0</v>
      </c>
      <c r="W176" s="9">
        <v>0</v>
      </c>
      <c r="X176" s="10">
        <v>10.18268464609365</v>
      </c>
      <c r="Y176" s="9">
        <v>23.934036596329953</v>
      </c>
      <c r="Z176" s="9">
        <v>16.337588934774203</v>
      </c>
      <c r="AA176" s="9">
        <v>25.457336843215224</v>
      </c>
      <c r="AB176" s="9">
        <v>17.860889181659473</v>
      </c>
      <c r="AC176" s="9">
        <v>22.83193682164972</v>
      </c>
      <c r="AD176" s="9">
        <v>49.202094947871487</v>
      </c>
      <c r="AE176" s="9">
        <v>43.459060194298111</v>
      </c>
      <c r="AF176" s="9">
        <v>37.304155905617549</v>
      </c>
      <c r="AG176" s="9">
        <v>41.935759947412947</v>
      </c>
      <c r="AH176" s="9">
        <v>41.935759947412947</v>
      </c>
      <c r="AI176" s="9">
        <v>35.780855658732285</v>
      </c>
      <c r="AJ176" s="9">
        <v>35.780855658732285</v>
      </c>
      <c r="AK176" s="9">
        <v>33.765219228397854</v>
      </c>
      <c r="AL176" s="9">
        <v>33.765219228397854</v>
      </c>
      <c r="AM176" s="9">
        <v>31.899658483003638</v>
      </c>
      <c r="AN176" s="9">
        <v>24.303210821447784</v>
      </c>
      <c r="AO176" s="9">
        <v>25.294905313250329</v>
      </c>
      <c r="AP176" s="9">
        <v>46.642704925042395</v>
      </c>
      <c r="AQ176" s="9">
        <v>52.797609213722964</v>
      </c>
      <c r="AR176" s="9">
        <v>52.797609213722964</v>
      </c>
      <c r="AS176" s="9">
        <v>52.797609213722964</v>
      </c>
      <c r="AT176" s="9">
        <v>46.642704925042395</v>
      </c>
      <c r="AU176" s="9">
        <v>40.487800636361833</v>
      </c>
      <c r="AV176" s="9">
        <v>40.487800636361833</v>
      </c>
      <c r="AW176" s="9">
        <v>30.385790646223011</v>
      </c>
      <c r="AX176" s="9">
        <v>37.771675792639734</v>
      </c>
      <c r="AY176" s="9">
        <v>37.771675792639734</v>
      </c>
      <c r="AZ176" s="9">
        <v>30.385790646223011</v>
      </c>
    </row>
    <row r="177" spans="1:52">
      <c r="A177" s="3" t="s">
        <v>66</v>
      </c>
      <c r="B177" t="s">
        <v>12</v>
      </c>
      <c r="C177" t="s">
        <v>200</v>
      </c>
      <c r="D177" t="s">
        <v>71</v>
      </c>
      <c r="E177" t="s">
        <v>4974</v>
      </c>
      <c r="F177" s="91" t="s">
        <v>4973</v>
      </c>
      <c r="G177" t="s">
        <v>4983</v>
      </c>
      <c r="H177" s="3" t="s">
        <v>4984</v>
      </c>
      <c r="I177" s="3" t="s">
        <v>5200</v>
      </c>
      <c r="J177" s="124"/>
      <c r="K177" s="124"/>
      <c r="M177" s="124"/>
      <c r="R177" s="9">
        <v>343</v>
      </c>
      <c r="S177" s="9">
        <v>762.91</v>
      </c>
      <c r="T177" s="9">
        <v>529.52099999999996</v>
      </c>
      <c r="U177" s="9">
        <v>1062.5190999999995</v>
      </c>
      <c r="V177" s="9">
        <v>1451.63</v>
      </c>
      <c r="W177" s="9">
        <v>1038.2800000000007</v>
      </c>
      <c r="X177" s="10">
        <v>33.065172652396228</v>
      </c>
      <c r="Y177" s="9">
        <v>77.718507430161409</v>
      </c>
      <c r="Z177" s="9">
        <v>53.051353118298181</v>
      </c>
      <c r="AA177" s="9">
        <v>82.664961868777638</v>
      </c>
      <c r="AB177" s="9">
        <v>57.997807556914402</v>
      </c>
      <c r="AC177" s="9">
        <v>74.139773471828647</v>
      </c>
      <c r="AD177" s="9">
        <v>159.76884494160154</v>
      </c>
      <c r="AE177" s="9">
        <v>141.12008557454561</v>
      </c>
      <c r="AF177" s="9">
        <v>121.13390510864365</v>
      </c>
      <c r="AG177" s="9">
        <v>136.17363113592975</v>
      </c>
      <c r="AH177" s="9">
        <v>136.17363113592975</v>
      </c>
      <c r="AI177" s="9">
        <v>116.18745067002745</v>
      </c>
      <c r="AJ177" s="9">
        <v>116.18745067002745</v>
      </c>
      <c r="AK177" s="9">
        <v>109.64228415551347</v>
      </c>
      <c r="AL177" s="9">
        <v>109.64228415551347</v>
      </c>
      <c r="AM177" s="9">
        <v>103.58444280189198</v>
      </c>
      <c r="AN177" s="9">
        <v>78.917288490028412</v>
      </c>
      <c r="AO177" s="9">
        <v>82.13751485758668</v>
      </c>
      <c r="AP177" s="9">
        <v>151.45800394721513</v>
      </c>
      <c r="AQ177" s="9">
        <v>171.44418441311711</v>
      </c>
      <c r="AR177" s="9">
        <v>171.44418441311711</v>
      </c>
      <c r="AS177" s="9">
        <v>171.44418441311711</v>
      </c>
      <c r="AT177" s="9">
        <v>151.45800394721513</v>
      </c>
      <c r="AU177" s="9">
        <v>131.47182348131318</v>
      </c>
      <c r="AV177" s="9">
        <v>131.47182348131318</v>
      </c>
      <c r="AW177" s="9">
        <v>98.668617247452957</v>
      </c>
      <c r="AX177" s="9">
        <v>122.65203380653547</v>
      </c>
      <c r="AY177" s="9">
        <v>122.65203380653547</v>
      </c>
      <c r="AZ177" s="9">
        <v>98.668617247452957</v>
      </c>
    </row>
    <row r="178" spans="1:52">
      <c r="A178" s="3" t="s">
        <v>66</v>
      </c>
      <c r="B178" t="s">
        <v>12</v>
      </c>
      <c r="C178" t="s">
        <v>200</v>
      </c>
      <c r="D178" t="s">
        <v>73</v>
      </c>
      <c r="E178" t="s">
        <v>4975</v>
      </c>
      <c r="F178" s="91" t="s">
        <v>4973</v>
      </c>
      <c r="G178" t="s">
        <v>4983</v>
      </c>
      <c r="H178" s="3" t="s">
        <v>4984</v>
      </c>
      <c r="I178" s="3" t="s">
        <v>5200</v>
      </c>
      <c r="J178" s="124"/>
      <c r="K178" s="124"/>
      <c r="M178" s="124"/>
      <c r="R178" s="9">
        <v>1767</v>
      </c>
      <c r="S178" s="9">
        <v>1962.05</v>
      </c>
      <c r="T178" s="9">
        <v>-1431.28</v>
      </c>
      <c r="U178" s="9">
        <v>0</v>
      </c>
      <c r="V178" s="9">
        <v>838.3</v>
      </c>
      <c r="W178" s="9">
        <v>0</v>
      </c>
      <c r="X178" s="10">
        <v>3.6331219835812307</v>
      </c>
      <c r="Y178" s="9">
        <v>8.5395234691199473</v>
      </c>
      <c r="Z178" s="9">
        <v>5.8291556284631039</v>
      </c>
      <c r="AA178" s="9">
        <v>9.0830280366189218</v>
      </c>
      <c r="AB178" s="9">
        <v>6.3726601959620792</v>
      </c>
      <c r="AC178" s="9">
        <v>8.1463007524538913</v>
      </c>
      <c r="AD178" s="9">
        <v>17.55501805331259</v>
      </c>
      <c r="AE178" s="9">
        <v>15.505937035794986</v>
      </c>
      <c r="AF178" s="9">
        <v>13.309903390913108</v>
      </c>
      <c r="AG178" s="9">
        <v>14.962432468296049</v>
      </c>
      <c r="AH178" s="9">
        <v>14.962432468296049</v>
      </c>
      <c r="AI178" s="9">
        <v>12.766398823414136</v>
      </c>
      <c r="AJ178" s="9">
        <v>12.766398823414136</v>
      </c>
      <c r="AK178" s="9">
        <v>12.047231601755694</v>
      </c>
      <c r="AL178" s="9">
        <v>12.047231601755694</v>
      </c>
      <c r="AM178" s="9">
        <v>11.381610501685779</v>
      </c>
      <c r="AN178" s="9">
        <v>8.6712426610288986</v>
      </c>
      <c r="AO178" s="9">
        <v>9.0250734222070346</v>
      </c>
      <c r="AP178" s="9">
        <v>16.641842748402599</v>
      </c>
      <c r="AQ178" s="9">
        <v>18.837876393284475</v>
      </c>
      <c r="AR178" s="9">
        <v>18.837876393284475</v>
      </c>
      <c r="AS178" s="9">
        <v>18.837876393284475</v>
      </c>
      <c r="AT178" s="9">
        <v>16.641842748402599</v>
      </c>
      <c r="AU178" s="9">
        <v>14.445809103520723</v>
      </c>
      <c r="AV178" s="9">
        <v>14.445809103520723</v>
      </c>
      <c r="AW178" s="9">
        <v>10.841471362627374</v>
      </c>
      <c r="AX178" s="9">
        <v>13.47671173648564</v>
      </c>
      <c r="AY178" s="9">
        <v>13.47671173648564</v>
      </c>
      <c r="AZ178" s="9">
        <v>10.841471362627374</v>
      </c>
    </row>
    <row r="179" spans="1:52">
      <c r="A179" s="3" t="s">
        <v>66</v>
      </c>
      <c r="B179" t="s">
        <v>12</v>
      </c>
      <c r="C179" t="s">
        <v>200</v>
      </c>
      <c r="D179" t="s">
        <v>76</v>
      </c>
      <c r="E179" t="s">
        <v>5186</v>
      </c>
      <c r="F179" s="91" t="s">
        <v>4973</v>
      </c>
      <c r="G179" t="s">
        <v>4983</v>
      </c>
      <c r="H179" s="3" t="s">
        <v>4984</v>
      </c>
      <c r="I179" s="3" t="s">
        <v>5200</v>
      </c>
      <c r="J179" s="124"/>
      <c r="K179" s="124"/>
      <c r="M179" s="124"/>
      <c r="R179" s="9">
        <v>366</v>
      </c>
      <c r="S179" s="9">
        <v>979</v>
      </c>
      <c r="T179" s="9">
        <v>905</v>
      </c>
      <c r="U179" s="9">
        <v>1151.2905000000001</v>
      </c>
      <c r="V179" s="9">
        <v>226.93949999999995</v>
      </c>
      <c r="W179" s="9">
        <v>192.88230000000021</v>
      </c>
      <c r="X179" s="10">
        <v>12.0583720950935</v>
      </c>
      <c r="Y179" s="9">
        <v>28.342772956918445</v>
      </c>
      <c r="Z179" s="9">
        <v>19.347032080362609</v>
      </c>
      <c r="AA179" s="9">
        <v>30.146670634976953</v>
      </c>
      <c r="AB179" s="9">
        <v>21.150929758421118</v>
      </c>
      <c r="AC179" s="9">
        <v>27.037662405929201</v>
      </c>
      <c r="AD179" s="9">
        <v>58.265299315456964</v>
      </c>
      <c r="AE179" s="9">
        <v>51.464376727698323</v>
      </c>
      <c r="AF179" s="9">
        <v>44.175716742429202</v>
      </c>
      <c r="AG179" s="9">
        <v>49.660479049639939</v>
      </c>
      <c r="AH179" s="9">
        <v>49.660479049639939</v>
      </c>
      <c r="AI179" s="9">
        <v>42.371819064370705</v>
      </c>
      <c r="AJ179" s="9">
        <v>42.371819064370705</v>
      </c>
      <c r="AK179" s="9">
        <v>39.984895091946321</v>
      </c>
      <c r="AL179" s="9">
        <v>39.984895091946321</v>
      </c>
      <c r="AM179" s="9">
        <v>37.77569129002034</v>
      </c>
      <c r="AN179" s="9">
        <v>28.77995041346438</v>
      </c>
      <c r="AO179" s="9">
        <v>29.954318627980108</v>
      </c>
      <c r="AP179" s="9">
        <v>55.234460366360899</v>
      </c>
      <c r="AQ179" s="9">
        <v>62.52312035163002</v>
      </c>
      <c r="AR179" s="9">
        <v>62.52312035163002</v>
      </c>
      <c r="AS179" s="9">
        <v>62.52312035163002</v>
      </c>
      <c r="AT179" s="9">
        <v>55.234460366360899</v>
      </c>
      <c r="AU179" s="9">
        <v>47.945800381091786</v>
      </c>
      <c r="AV179" s="9">
        <v>47.945800381091786</v>
      </c>
      <c r="AW179" s="9">
        <v>35.982963506223349</v>
      </c>
      <c r="AX179" s="9">
        <v>44.729355488546346</v>
      </c>
      <c r="AY179" s="9">
        <v>44.729355488546346</v>
      </c>
      <c r="AZ179" s="9">
        <v>35.982963506223349</v>
      </c>
    </row>
    <row r="180" spans="1:52">
      <c r="A180" s="3" t="s">
        <v>66</v>
      </c>
      <c r="B180" t="s">
        <v>12</v>
      </c>
      <c r="C180" t="s">
        <v>200</v>
      </c>
      <c r="D180" t="s">
        <v>5183</v>
      </c>
      <c r="E180" t="s">
        <v>5185</v>
      </c>
      <c r="F180" s="91" t="s">
        <v>4973</v>
      </c>
      <c r="G180" t="s">
        <v>4983</v>
      </c>
      <c r="H180" s="3" t="s">
        <v>4984</v>
      </c>
      <c r="I180" s="3" t="s">
        <v>5200</v>
      </c>
      <c r="J180" s="124"/>
      <c r="K180" s="124"/>
      <c r="M180" s="124"/>
      <c r="P180" s="9">
        <v>1935.6</v>
      </c>
      <c r="Q180" s="9">
        <v>2705.81</v>
      </c>
      <c r="R180" s="9">
        <v>752.8100000000004</v>
      </c>
      <c r="S180" s="9">
        <v>0</v>
      </c>
      <c r="T180" s="9">
        <v>4402.4379999999992</v>
      </c>
      <c r="U180" s="9">
        <v>3116.7651750000005</v>
      </c>
      <c r="V180" s="9">
        <v>1517.3968249999998</v>
      </c>
      <c r="W180" s="9">
        <v>1379</v>
      </c>
      <c r="X180" s="10">
        <v>41.830668186635968</v>
      </c>
      <c r="Y180" s="9">
        <v>98.32149163255869</v>
      </c>
      <c r="Z180" s="9">
        <v>67.115135688933506</v>
      </c>
      <c r="AA180" s="9">
        <v>104.57923891539566</v>
      </c>
      <c r="AB180" s="9">
        <v>73.37288297177048</v>
      </c>
      <c r="AC180" s="9">
        <v>93.794044148372777</v>
      </c>
      <c r="AD180" s="9">
        <v>202.12317079281584</v>
      </c>
      <c r="AE180" s="9">
        <v>178.53067141661185</v>
      </c>
      <c r="AF180" s="9">
        <v>153.24620391431426</v>
      </c>
      <c r="AG180" s="9">
        <v>172.27292413377529</v>
      </c>
      <c r="AH180" s="9">
        <v>172.27292413377529</v>
      </c>
      <c r="AI180" s="9">
        <v>146.98845663147731</v>
      </c>
      <c r="AJ180" s="9">
        <v>146.98845663147731</v>
      </c>
      <c r="AK180" s="9">
        <v>138.7081826533805</v>
      </c>
      <c r="AL180" s="9">
        <v>138.7081826533805</v>
      </c>
      <c r="AM180" s="9">
        <v>131.04442253167861</v>
      </c>
      <c r="AN180" s="9">
        <v>99.838066588053024</v>
      </c>
      <c r="AO180" s="9">
        <v>103.9119670053679</v>
      </c>
      <c r="AP180" s="9">
        <v>191.60914639491583</v>
      </c>
      <c r="AQ180" s="9">
        <v>216.89361389721341</v>
      </c>
      <c r="AR180" s="9">
        <v>216.89361389721341</v>
      </c>
      <c r="AS180" s="9">
        <v>216.89361389721341</v>
      </c>
      <c r="AT180" s="9">
        <v>191.60914639491583</v>
      </c>
      <c r="AU180" s="9">
        <v>166.32467889261829</v>
      </c>
      <c r="AV180" s="9">
        <v>166.32467889261829</v>
      </c>
      <c r="AW180" s="9">
        <v>124.82542377450072</v>
      </c>
      <c r="AX180" s="9">
        <v>155.16678477725799</v>
      </c>
      <c r="AY180" s="9">
        <v>155.16678477725799</v>
      </c>
      <c r="AZ180" s="9">
        <v>124.82542377450072</v>
      </c>
    </row>
    <row r="181" spans="1:52">
      <c r="A181" s="3" t="s">
        <v>66</v>
      </c>
      <c r="B181" t="s">
        <v>13</v>
      </c>
      <c r="C181" t="s">
        <v>215</v>
      </c>
      <c r="D181" t="s">
        <v>71</v>
      </c>
      <c r="E181" t="s">
        <v>4974</v>
      </c>
      <c r="F181" s="91" t="s">
        <v>4973</v>
      </c>
      <c r="G181" t="s">
        <v>4983</v>
      </c>
      <c r="H181" s="3" t="s">
        <v>4984</v>
      </c>
      <c r="I181" s="3" t="s">
        <v>5200</v>
      </c>
      <c r="J181" s="124"/>
      <c r="K181" s="124"/>
      <c r="M181" s="124"/>
      <c r="R181" s="9">
        <v>17.301569999999998</v>
      </c>
      <c r="S181" s="9">
        <v>34.706000000000003</v>
      </c>
      <c r="T181" s="9">
        <v>23.292000000000002</v>
      </c>
      <c r="U181" s="9">
        <v>27.728130171520007</v>
      </c>
      <c r="V181" s="9">
        <v>50.584999999999994</v>
      </c>
      <c r="W181" s="9">
        <v>38.484999999999985</v>
      </c>
      <c r="X181" s="10">
        <v>1.0771912664133889</v>
      </c>
      <c r="Y181" s="9">
        <v>2.53189960090491</v>
      </c>
      <c r="Z181" s="9">
        <v>1.7282974703082976</v>
      </c>
      <c r="AA181" s="9">
        <v>2.6930443067560978</v>
      </c>
      <c r="AB181" s="9">
        <v>1.8894421761594857</v>
      </c>
      <c r="AC181" s="9">
        <v>2.4153122476417268</v>
      </c>
      <c r="AD181" s="9">
        <v>5.2049207855436972</v>
      </c>
      <c r="AE181" s="9">
        <v>4.5973848464207014</v>
      </c>
      <c r="AF181" s="9">
        <v>3.9462786425257921</v>
      </c>
      <c r="AG181" s="9">
        <v>4.4362401405695246</v>
      </c>
      <c r="AH181" s="9">
        <v>4.4362401405695246</v>
      </c>
      <c r="AI181" s="9">
        <v>3.7851339366746046</v>
      </c>
      <c r="AJ181" s="9">
        <v>3.7851339366746046</v>
      </c>
      <c r="AK181" s="9">
        <v>3.5719066754479836</v>
      </c>
      <c r="AL181" s="9">
        <v>3.5719066754479836</v>
      </c>
      <c r="AM181" s="9">
        <v>3.3745554059403671</v>
      </c>
      <c r="AN181" s="9">
        <v>2.5709532753437441</v>
      </c>
      <c r="AO181" s="9">
        <v>2.6758612325915183</v>
      </c>
      <c r="AP181" s="9">
        <v>4.9341716976796528</v>
      </c>
      <c r="AQ181" s="9">
        <v>5.5852779015745622</v>
      </c>
      <c r="AR181" s="9">
        <v>5.5852779015745622</v>
      </c>
      <c r="AS181" s="9">
        <v>5.5852779015745622</v>
      </c>
      <c r="AT181" s="9">
        <v>4.9341716976796528</v>
      </c>
      <c r="AU181" s="9">
        <v>4.2830654937847434</v>
      </c>
      <c r="AV181" s="9">
        <v>4.2830654937847434</v>
      </c>
      <c r="AW181" s="9">
        <v>3.2144085223864494</v>
      </c>
      <c r="AX181" s="9">
        <v>3.9957359670603458</v>
      </c>
      <c r="AY181" s="9">
        <v>3.9957359670603458</v>
      </c>
      <c r="AZ181" s="9">
        <v>3.2144085223864494</v>
      </c>
    </row>
    <row r="182" spans="1:52">
      <c r="A182" s="3" t="s">
        <v>66</v>
      </c>
      <c r="B182" t="s">
        <v>13</v>
      </c>
      <c r="C182" t="s">
        <v>215</v>
      </c>
      <c r="D182" t="s">
        <v>73</v>
      </c>
      <c r="E182" t="s">
        <v>4975</v>
      </c>
      <c r="F182" s="91" t="s">
        <v>4973</v>
      </c>
      <c r="G182" t="s">
        <v>4983</v>
      </c>
      <c r="H182" s="3" t="s">
        <v>4984</v>
      </c>
      <c r="I182" s="3" t="s">
        <v>5200</v>
      </c>
      <c r="J182" s="124"/>
      <c r="K182" s="124"/>
      <c r="M182" s="124"/>
      <c r="R182" s="9">
        <v>92.72</v>
      </c>
      <c r="S182" s="9">
        <v>82.38</v>
      </c>
      <c r="T182" s="9">
        <v>-67.17</v>
      </c>
      <c r="U182" s="9">
        <v>0</v>
      </c>
      <c r="V182" s="9">
        <v>18.61</v>
      </c>
      <c r="W182" s="9">
        <v>0</v>
      </c>
      <c r="X182" s="10">
        <v>0.23420174686015399</v>
      </c>
      <c r="Y182" s="9">
        <v>0.55048284171558914</v>
      </c>
      <c r="Z182" s="9">
        <v>0.37576454549980681</v>
      </c>
      <c r="AA182" s="9">
        <v>0.58551874739395038</v>
      </c>
      <c r="AB182" s="9">
        <v>0.41080045117816799</v>
      </c>
      <c r="AC182" s="9">
        <v>0.52513454689794381</v>
      </c>
      <c r="AD182" s="9">
        <v>1.1316481838010446</v>
      </c>
      <c r="AE182" s="9">
        <v>0.99955838446885692</v>
      </c>
      <c r="AF182" s="9">
        <v>0.85799558582920388</v>
      </c>
      <c r="AG182" s="9">
        <v>0.96452247879049824</v>
      </c>
      <c r="AH182" s="9">
        <v>0.96452247879049824</v>
      </c>
      <c r="AI182" s="9">
        <v>0.82295968015084286</v>
      </c>
      <c r="AJ182" s="9">
        <v>0.82295968015084286</v>
      </c>
      <c r="AK182" s="9">
        <v>0.77660004225315082</v>
      </c>
      <c r="AL182" s="9">
        <v>0.77660004225315082</v>
      </c>
      <c r="AM182" s="9">
        <v>0.73369214510908387</v>
      </c>
      <c r="AN182" s="9">
        <v>0.55897384889329926</v>
      </c>
      <c r="AO182" s="9">
        <v>0.58178282220475774</v>
      </c>
      <c r="AP182" s="9">
        <v>1.0727822132759754</v>
      </c>
      <c r="AQ182" s="9">
        <v>1.2143450119156285</v>
      </c>
      <c r="AR182" s="9">
        <v>1.2143450119156285</v>
      </c>
      <c r="AS182" s="9">
        <v>1.2143450119156285</v>
      </c>
      <c r="AT182" s="9">
        <v>1.0727822132759754</v>
      </c>
      <c r="AU182" s="9">
        <v>0.93121941463632252</v>
      </c>
      <c r="AV182" s="9">
        <v>0.93121941463632252</v>
      </c>
      <c r="AW182" s="9">
        <v>0.69887318486312944</v>
      </c>
      <c r="AX182" s="9">
        <v>0.86874854323071415</v>
      </c>
      <c r="AY182" s="9">
        <v>0.86874854323071415</v>
      </c>
      <c r="AZ182" s="9">
        <v>0.69887318486312944</v>
      </c>
    </row>
    <row r="183" spans="1:52">
      <c r="A183" s="3" t="s">
        <v>66</v>
      </c>
      <c r="B183" t="s">
        <v>13</v>
      </c>
      <c r="C183" t="s">
        <v>215</v>
      </c>
      <c r="D183" t="s">
        <v>76</v>
      </c>
      <c r="E183" t="s">
        <v>5186</v>
      </c>
      <c r="F183" s="91" t="s">
        <v>4973</v>
      </c>
      <c r="G183" t="s">
        <v>4983</v>
      </c>
      <c r="H183" s="3" t="s">
        <v>4984</v>
      </c>
      <c r="I183" s="3" t="s">
        <v>5200</v>
      </c>
      <c r="J183" s="124"/>
      <c r="K183" s="124"/>
      <c r="M183" s="124"/>
      <c r="R183" s="9">
        <v>11.0851884</v>
      </c>
      <c r="S183" s="9">
        <v>31.313139</v>
      </c>
      <c r="T183" s="9">
        <v>36.705420311999987</v>
      </c>
      <c r="U183" s="9">
        <v>4.2052522880000112</v>
      </c>
      <c r="V183" s="9">
        <v>31.106999999999999</v>
      </c>
      <c r="W183" s="9">
        <v>0</v>
      </c>
      <c r="X183" s="10">
        <v>0.37520198013606249</v>
      </c>
      <c r="Y183" s="9">
        <v>0.88189885434947557</v>
      </c>
      <c r="Z183" s="9">
        <v>0.60199210051426844</v>
      </c>
      <c r="AA183" s="9">
        <v>0.938027988152354</v>
      </c>
      <c r="AB183" s="9">
        <v>0.65812123431714675</v>
      </c>
      <c r="AC183" s="9">
        <v>0.84128971912243444</v>
      </c>
      <c r="AD183" s="9">
        <v>1.8129524867851001</v>
      </c>
      <c r="AE183" s="9">
        <v>1.6013385473946082</v>
      </c>
      <c r="AF183" s="9">
        <v>1.3745484270164019</v>
      </c>
      <c r="AG183" s="9">
        <v>1.5452094135917338</v>
      </c>
      <c r="AH183" s="9">
        <v>1.5452094135917338</v>
      </c>
      <c r="AI183" s="9">
        <v>1.3184192932135239</v>
      </c>
      <c r="AJ183" s="9">
        <v>1.3184192932135239</v>
      </c>
      <c r="AK183" s="9">
        <v>1.2441490190981421</v>
      </c>
      <c r="AL183" s="9">
        <v>1.2441490190981421</v>
      </c>
      <c r="AM183" s="9">
        <v>1.1754085925737341</v>
      </c>
      <c r="AN183" s="9">
        <v>0.89550183873852318</v>
      </c>
      <c r="AO183" s="9">
        <v>0.93204286401294156</v>
      </c>
      <c r="AP183" s="9">
        <v>1.7186464920615623</v>
      </c>
      <c r="AQ183" s="9">
        <v>1.9454366124397686</v>
      </c>
      <c r="AR183" s="9">
        <v>1.9454366124397686</v>
      </c>
      <c r="AS183" s="9">
        <v>1.9454366124397686</v>
      </c>
      <c r="AT183" s="9">
        <v>1.7186464920615623</v>
      </c>
      <c r="AU183" s="9">
        <v>1.4918563716833562</v>
      </c>
      <c r="AV183" s="9">
        <v>1.4918563716833562</v>
      </c>
      <c r="AW183" s="9">
        <v>1.1196270153408292</v>
      </c>
      <c r="AX183" s="9">
        <v>1.3917751597946781</v>
      </c>
      <c r="AY183" s="9">
        <v>1.3917751597946781</v>
      </c>
      <c r="AZ183" s="9">
        <v>1.1196270153408292</v>
      </c>
    </row>
    <row r="184" spans="1:52">
      <c r="A184" s="3" t="s">
        <v>66</v>
      </c>
      <c r="B184" t="s">
        <v>13</v>
      </c>
      <c r="C184" t="s">
        <v>215</v>
      </c>
      <c r="D184" t="s">
        <v>5183</v>
      </c>
      <c r="E184" t="s">
        <v>5185</v>
      </c>
      <c r="F184" s="91" t="s">
        <v>4973</v>
      </c>
      <c r="G184" t="s">
        <v>4983</v>
      </c>
      <c r="H184" s="3" t="s">
        <v>4984</v>
      </c>
      <c r="I184" s="3" t="s">
        <v>5200</v>
      </c>
      <c r="J184" s="124"/>
      <c r="K184" s="124"/>
      <c r="M184" s="124"/>
      <c r="P184" s="9">
        <v>86.96</v>
      </c>
      <c r="Q184" s="9">
        <v>117.205</v>
      </c>
      <c r="R184" s="9">
        <v>34.550000000000011</v>
      </c>
      <c r="S184" s="9">
        <v>0</v>
      </c>
      <c r="T184" s="9">
        <v>207.56036706559999</v>
      </c>
      <c r="U184" s="9">
        <v>128.30674893440005</v>
      </c>
      <c r="V184" s="9">
        <v>45.989883999999961</v>
      </c>
      <c r="W184" s="9">
        <v>38.960000000000036</v>
      </c>
      <c r="X184" s="10">
        <v>23.364948596346576</v>
      </c>
      <c r="Y184" s="9">
        <v>54.918477220136445</v>
      </c>
      <c r="Z184" s="9">
        <v>37.487847155875599</v>
      </c>
      <c r="AA184" s="9">
        <v>58.413806124280633</v>
      </c>
      <c r="AB184" s="9">
        <v>40.983176060019787</v>
      </c>
      <c r="AC184" s="9">
        <v>52.389625008914585</v>
      </c>
      <c r="AD184" s="9">
        <v>112.89796937103419</v>
      </c>
      <c r="AE184" s="9">
        <v>99.720136955714224</v>
      </c>
      <c r="AF184" s="9">
        <v>85.597238396185176</v>
      </c>
      <c r="AG184" s="9">
        <v>96.224808051570278</v>
      </c>
      <c r="AH184" s="9">
        <v>96.224808051570278</v>
      </c>
      <c r="AI184" s="9">
        <v>82.101909492041003</v>
      </c>
      <c r="AJ184" s="9">
        <v>82.101909492041003</v>
      </c>
      <c r="AK184" s="9">
        <v>77.476877565735151</v>
      </c>
      <c r="AL184" s="9">
        <v>77.476877565735151</v>
      </c>
      <c r="AM184" s="9">
        <v>73.196205774900548</v>
      </c>
      <c r="AN184" s="9">
        <v>55.76557571063946</v>
      </c>
      <c r="AO184" s="9">
        <v>58.041094557541534</v>
      </c>
      <c r="AP184" s="9">
        <v>107.02525324559227</v>
      </c>
      <c r="AQ184" s="9">
        <v>121.14815180512132</v>
      </c>
      <c r="AR184" s="9">
        <v>121.14815180512132</v>
      </c>
      <c r="AS184" s="9">
        <v>121.14815180512132</v>
      </c>
      <c r="AT184" s="9">
        <v>107.02525324559227</v>
      </c>
      <c r="AU184" s="9">
        <v>92.902354686063248</v>
      </c>
      <c r="AV184" s="9">
        <v>92.902354686063248</v>
      </c>
      <c r="AW184" s="9">
        <v>69.722520257043399</v>
      </c>
      <c r="AX184" s="9">
        <v>86.669998528478359</v>
      </c>
      <c r="AY184" s="9">
        <v>86.669998528478359</v>
      </c>
      <c r="AZ184" s="9">
        <v>69.722520257043399</v>
      </c>
    </row>
    <row r="185" spans="1:52">
      <c r="A185" s="3" t="s">
        <v>66</v>
      </c>
      <c r="B185" t="s">
        <v>14</v>
      </c>
      <c r="C185" t="s">
        <v>235</v>
      </c>
      <c r="D185" t="s">
        <v>71</v>
      </c>
      <c r="E185" t="s">
        <v>4974</v>
      </c>
      <c r="F185" s="91" t="s">
        <v>4973</v>
      </c>
      <c r="G185" t="s">
        <v>4983</v>
      </c>
      <c r="H185" s="3" t="s">
        <v>4984</v>
      </c>
      <c r="I185" s="3" t="s">
        <v>5200</v>
      </c>
      <c r="J185" s="124"/>
      <c r="K185" s="124"/>
      <c r="M185" s="124"/>
      <c r="R185" s="9">
        <v>612</v>
      </c>
      <c r="S185" s="9">
        <v>1230</v>
      </c>
      <c r="T185" s="9">
        <v>0</v>
      </c>
      <c r="U185" s="9">
        <v>0</v>
      </c>
      <c r="V185" s="9">
        <v>396</v>
      </c>
      <c r="W185" s="9">
        <v>0</v>
      </c>
      <c r="X185" s="10">
        <v>126.97907583920409</v>
      </c>
      <c r="Y185" s="9">
        <v>298.45978283041063</v>
      </c>
      <c r="Z185" s="9">
        <v>203.73133574103969</v>
      </c>
      <c r="AA185" s="9">
        <v>317.45548625223142</v>
      </c>
      <c r="AB185" s="9">
        <v>222.72703916286045</v>
      </c>
      <c r="AC185" s="9">
        <v>284.7164905911506</v>
      </c>
      <c r="AD185" s="9">
        <v>613.5549477347563</v>
      </c>
      <c r="AE185" s="9">
        <v>541.93874131507334</v>
      </c>
      <c r="AF185" s="9">
        <v>465.18648141323763</v>
      </c>
      <c r="AG185" s="9">
        <v>522.94303789325397</v>
      </c>
      <c r="AH185" s="9">
        <v>522.94303789325397</v>
      </c>
      <c r="AI185" s="9">
        <v>446.19077799141695</v>
      </c>
      <c r="AJ185" s="9">
        <v>446.19077799141695</v>
      </c>
      <c r="AK185" s="9">
        <v>421.05559409373183</v>
      </c>
      <c r="AL185" s="9">
        <v>421.05559409373183</v>
      </c>
      <c r="AM185" s="9">
        <v>397.79186870055372</v>
      </c>
      <c r="AN185" s="9">
        <v>303.06342161118147</v>
      </c>
      <c r="AO185" s="9">
        <v>315.42994914890937</v>
      </c>
      <c r="AP185" s="9">
        <v>581.63910322948698</v>
      </c>
      <c r="AQ185" s="9">
        <v>658.39136313132269</v>
      </c>
      <c r="AR185" s="9">
        <v>658.39136313132269</v>
      </c>
      <c r="AS185" s="9">
        <v>658.39136313132269</v>
      </c>
      <c r="AT185" s="9">
        <v>581.63910322948698</v>
      </c>
      <c r="AU185" s="9">
        <v>504.88684332765132</v>
      </c>
      <c r="AV185" s="9">
        <v>504.88684332765132</v>
      </c>
      <c r="AW185" s="9">
        <v>378.9137883574839</v>
      </c>
      <c r="AX185" s="9">
        <v>471.01650023968733</v>
      </c>
      <c r="AY185" s="9">
        <v>471.01650023968733</v>
      </c>
      <c r="AZ185" s="9">
        <v>378.9137883574839</v>
      </c>
    </row>
    <row r="186" spans="1:52">
      <c r="A186" s="3" t="s">
        <v>66</v>
      </c>
      <c r="B186" t="s">
        <v>14</v>
      </c>
      <c r="C186" t="s">
        <v>235</v>
      </c>
      <c r="D186" t="s">
        <v>73</v>
      </c>
      <c r="E186" t="s">
        <v>4975</v>
      </c>
      <c r="F186" s="91" t="s">
        <v>4973</v>
      </c>
      <c r="G186" t="s">
        <v>4983</v>
      </c>
      <c r="H186" s="3" t="s">
        <v>4984</v>
      </c>
      <c r="I186" s="3" t="s">
        <v>5200</v>
      </c>
      <c r="J186" s="124"/>
      <c r="K186" s="124"/>
      <c r="M186" s="124"/>
      <c r="R186" s="9">
        <v>6267</v>
      </c>
      <c r="S186" s="9">
        <v>1581</v>
      </c>
      <c r="T186" s="9">
        <v>0</v>
      </c>
      <c r="U186" s="9">
        <v>0</v>
      </c>
      <c r="V186" s="9">
        <v>605</v>
      </c>
      <c r="W186" s="9">
        <v>0</v>
      </c>
      <c r="X186" s="10">
        <v>8.800035799540737</v>
      </c>
      <c r="Y186" s="9">
        <v>20.684169862416525</v>
      </c>
      <c r="Z186" s="9">
        <v>14.119200633336726</v>
      </c>
      <c r="AA186" s="9">
        <v>22.000629830680609</v>
      </c>
      <c r="AB186" s="9">
        <v>15.435660601600809</v>
      </c>
      <c r="AC186" s="9">
        <v>19.731717949298265</v>
      </c>
      <c r="AD186" s="9">
        <v>42.521222251518353</v>
      </c>
      <c r="AE186" s="9">
        <v>37.558001530660576</v>
      </c>
      <c r="AF186" s="9">
        <v>32.238836696864574</v>
      </c>
      <c r="AG186" s="9">
        <v>36.241541562396584</v>
      </c>
      <c r="AH186" s="9">
        <v>36.241541562396584</v>
      </c>
      <c r="AI186" s="9">
        <v>30.922376728600501</v>
      </c>
      <c r="AJ186" s="9">
        <v>30.922376728600501</v>
      </c>
      <c r="AK186" s="9">
        <v>29.180432107679124</v>
      </c>
      <c r="AL186" s="9">
        <v>29.180432107679124</v>
      </c>
      <c r="AM186" s="9">
        <v>27.568185247811478</v>
      </c>
      <c r="AN186" s="9">
        <v>21.003216018731589</v>
      </c>
      <c r="AO186" s="9">
        <v>21.860253954539377</v>
      </c>
      <c r="AP186" s="9">
        <v>40.309357246494969</v>
      </c>
      <c r="AQ186" s="9">
        <v>45.628522080290971</v>
      </c>
      <c r="AR186" s="9">
        <v>45.628522080290971</v>
      </c>
      <c r="AS186" s="9">
        <v>45.628522080290971</v>
      </c>
      <c r="AT186" s="9">
        <v>40.309357246494969</v>
      </c>
      <c r="AU186" s="9">
        <v>34.990192412698981</v>
      </c>
      <c r="AV186" s="9">
        <v>34.990192412698981</v>
      </c>
      <c r="AW186" s="9">
        <v>26.2598769163192</v>
      </c>
      <c r="AX186" s="9">
        <v>32.642874716874438</v>
      </c>
      <c r="AY186" s="9">
        <v>32.642874716874438</v>
      </c>
      <c r="AZ186" s="9">
        <v>26.2598769163192</v>
      </c>
    </row>
    <row r="187" spans="1:52">
      <c r="A187" s="3" t="s">
        <v>66</v>
      </c>
      <c r="B187" t="s">
        <v>14</v>
      </c>
      <c r="C187" t="s">
        <v>235</v>
      </c>
      <c r="D187" t="s">
        <v>76</v>
      </c>
      <c r="E187" t="s">
        <v>5186</v>
      </c>
      <c r="F187" s="91" t="s">
        <v>4973</v>
      </c>
      <c r="G187" t="s">
        <v>4983</v>
      </c>
      <c r="H187" s="3" t="s">
        <v>4984</v>
      </c>
      <c r="I187" s="3" t="s">
        <v>5200</v>
      </c>
      <c r="J187" s="124"/>
      <c r="K187" s="124"/>
      <c r="M187" s="124"/>
      <c r="R187" s="9">
        <v>308</v>
      </c>
      <c r="S187" s="9">
        <v>772</v>
      </c>
      <c r="T187" s="9">
        <v>0</v>
      </c>
      <c r="U187" s="9">
        <v>0</v>
      </c>
      <c r="V187" s="9">
        <v>1176</v>
      </c>
      <c r="W187" s="9">
        <v>0</v>
      </c>
      <c r="X187" s="10">
        <v>14.854739954301323</v>
      </c>
      <c r="Y187" s="9">
        <v>34.915535740528405</v>
      </c>
      <c r="Z187" s="9">
        <v>23.833659151905898</v>
      </c>
      <c r="AA187" s="9">
        <v>37.137761983043383</v>
      </c>
      <c r="AB187" s="9">
        <v>26.055885394420876</v>
      </c>
      <c r="AC187" s="9">
        <v>33.307766657465478</v>
      </c>
      <c r="AD187" s="9">
        <v>71.777173806306649</v>
      </c>
      <c r="AE187" s="9">
        <v>63.399099577564307</v>
      </c>
      <c r="AF187" s="9">
        <v>54.420180379959717</v>
      </c>
      <c r="AG187" s="9">
        <v>61.176873335049478</v>
      </c>
      <c r="AH187" s="9">
        <v>61.176873335049478</v>
      </c>
      <c r="AI187" s="9">
        <v>52.197954137444746</v>
      </c>
      <c r="AJ187" s="9">
        <v>52.197954137444746</v>
      </c>
      <c r="AK187" s="9">
        <v>49.257496286133332</v>
      </c>
      <c r="AL187" s="9">
        <v>49.257496286133332</v>
      </c>
      <c r="AM187" s="9">
        <v>46.535972375205304</v>
      </c>
      <c r="AN187" s="9">
        <v>35.454095786582648</v>
      </c>
      <c r="AO187" s="9">
        <v>36.900803045212243</v>
      </c>
      <c r="AP187" s="9">
        <v>68.043475420061853</v>
      </c>
      <c r="AQ187" s="9">
        <v>77.022394617666436</v>
      </c>
      <c r="AR187" s="9">
        <v>77.022394617666436</v>
      </c>
      <c r="AS187" s="9">
        <v>77.022394617666436</v>
      </c>
      <c r="AT187" s="9">
        <v>68.043475420061853</v>
      </c>
      <c r="AU187" s="9">
        <v>59.064556222457263</v>
      </c>
      <c r="AV187" s="9">
        <v>59.064556222457263</v>
      </c>
      <c r="AW187" s="9">
        <v>44.327506354490041</v>
      </c>
      <c r="AX187" s="9">
        <v>55.102209391615609</v>
      </c>
      <c r="AY187" s="9">
        <v>55.102209391615609</v>
      </c>
      <c r="AZ187" s="9">
        <v>44.327506354490041</v>
      </c>
    </row>
    <row r="188" spans="1:52">
      <c r="A188" s="3" t="s">
        <v>66</v>
      </c>
      <c r="B188" t="s">
        <v>14</v>
      </c>
      <c r="C188" t="s">
        <v>235</v>
      </c>
      <c r="D188" t="s">
        <v>5183</v>
      </c>
      <c r="E188" t="s">
        <v>5185</v>
      </c>
      <c r="F188" s="91" t="s">
        <v>4973</v>
      </c>
      <c r="G188" t="s">
        <v>4983</v>
      </c>
      <c r="H188" s="3" t="s">
        <v>4984</v>
      </c>
      <c r="I188" s="3" t="s">
        <v>5200</v>
      </c>
      <c r="J188" s="124"/>
      <c r="K188" s="124"/>
      <c r="M188" s="124"/>
      <c r="P188" s="9">
        <v>9522</v>
      </c>
      <c r="Q188" s="9">
        <v>11805</v>
      </c>
      <c r="R188" s="9">
        <v>2556</v>
      </c>
      <c r="S188" s="9">
        <v>0</v>
      </c>
      <c r="T188" s="9">
        <v>0</v>
      </c>
      <c r="U188" s="9">
        <v>1</v>
      </c>
      <c r="V188" s="9">
        <v>0</v>
      </c>
      <c r="W188" s="9">
        <v>76</v>
      </c>
      <c r="X188" s="10">
        <v>338.06513025030915</v>
      </c>
      <c r="Y188" s="9">
        <v>794.6100149981545</v>
      </c>
      <c r="Z188" s="9">
        <v>542.40795263450354</v>
      </c>
      <c r="AA188" s="9">
        <v>845.18358319474544</v>
      </c>
      <c r="AB188" s="9">
        <v>592.98152083109449</v>
      </c>
      <c r="AC188" s="9">
        <v>758.02030247877076</v>
      </c>
      <c r="AD188" s="9">
        <v>1633.5095522693334</v>
      </c>
      <c r="AE188" s="9">
        <v>1442.8407984506973</v>
      </c>
      <c r="AF188" s="9">
        <v>1238.4979760665026</v>
      </c>
      <c r="AG188" s="9">
        <v>1392.26723025411</v>
      </c>
      <c r="AH188" s="9">
        <v>1392.26723025411</v>
      </c>
      <c r="AI188" s="9">
        <v>1187.9244078699119</v>
      </c>
      <c r="AJ188" s="9">
        <v>1187.9244078699119</v>
      </c>
      <c r="AK188" s="9">
        <v>1121.0052783828087</v>
      </c>
      <c r="AL188" s="9">
        <v>1121.0052783828087</v>
      </c>
      <c r="AM188" s="9">
        <v>1059.0686616357207</v>
      </c>
      <c r="AN188" s="9">
        <v>806.86659927206642</v>
      </c>
      <c r="AO188" s="9">
        <v>839.79085639991081</v>
      </c>
      <c r="AP188" s="9">
        <v>1548.5378035114074</v>
      </c>
      <c r="AQ188" s="9">
        <v>1752.8806258956024</v>
      </c>
      <c r="AR188" s="9">
        <v>1752.8806258956024</v>
      </c>
      <c r="AS188" s="9">
        <v>1752.8806258956024</v>
      </c>
      <c r="AT188" s="9">
        <v>1548.5378035114074</v>
      </c>
      <c r="AU188" s="9">
        <v>1344.1949811272129</v>
      </c>
      <c r="AV188" s="9">
        <v>1344.1949811272129</v>
      </c>
      <c r="AW188" s="9">
        <v>1008.8082494546039</v>
      </c>
      <c r="AX188" s="9">
        <v>1254.019636315639</v>
      </c>
      <c r="AY188" s="9">
        <v>1254.019636315639</v>
      </c>
      <c r="AZ188" s="9">
        <v>1008.8082494546039</v>
      </c>
    </row>
    <row r="189" spans="1:52">
      <c r="A189" s="3" t="s">
        <v>66</v>
      </c>
      <c r="B189" t="s">
        <v>15</v>
      </c>
      <c r="C189" t="s">
        <v>240</v>
      </c>
      <c r="D189" t="s">
        <v>71</v>
      </c>
      <c r="E189" t="s">
        <v>4974</v>
      </c>
      <c r="F189" s="91" t="s">
        <v>4973</v>
      </c>
      <c r="G189" t="s">
        <v>4983</v>
      </c>
      <c r="H189" s="3" t="s">
        <v>4984</v>
      </c>
      <c r="I189" s="3" t="s">
        <v>5200</v>
      </c>
      <c r="J189" s="124"/>
      <c r="K189" s="124"/>
      <c r="M189" s="124"/>
      <c r="R189" s="9">
        <v>114</v>
      </c>
      <c r="S189" s="9">
        <v>426</v>
      </c>
      <c r="T189" s="9">
        <v>420</v>
      </c>
      <c r="U189" s="9">
        <v>-2</v>
      </c>
      <c r="V189" s="9">
        <v>0</v>
      </c>
      <c r="W189" s="9">
        <v>0</v>
      </c>
      <c r="X189" s="10">
        <v>27.767781708930865</v>
      </c>
      <c r="Y189" s="9">
        <v>65.267179208521341</v>
      </c>
      <c r="Z189" s="9">
        <v>44.55196433536711</v>
      </c>
      <c r="AA189" s="9">
        <v>69.421159244512893</v>
      </c>
      <c r="AB189" s="9">
        <v>48.705944371358648</v>
      </c>
      <c r="AC189" s="9">
        <v>62.261796342567351</v>
      </c>
      <c r="AD189" s="9">
        <v>134.17218342892602</v>
      </c>
      <c r="AE189" s="9">
        <v>118.51115287298059</v>
      </c>
      <c r="AF189" s="9">
        <v>101.72697024654433</v>
      </c>
      <c r="AG189" s="9">
        <v>114.35717283698933</v>
      </c>
      <c r="AH189" s="9">
        <v>114.35717283698933</v>
      </c>
      <c r="AI189" s="9">
        <v>97.572990210552803</v>
      </c>
      <c r="AJ189" s="9">
        <v>97.572990210552803</v>
      </c>
      <c r="AK189" s="9">
        <v>92.076428709596684</v>
      </c>
      <c r="AL189" s="9">
        <v>92.076428709596684</v>
      </c>
      <c r="AM189" s="9">
        <v>86.989117716151583</v>
      </c>
      <c r="AN189" s="9">
        <v>66.273902842997074</v>
      </c>
      <c r="AO189" s="9">
        <v>68.978214832162536</v>
      </c>
      <c r="AP189" s="9">
        <v>127.19282720490727</v>
      </c>
      <c r="AQ189" s="9">
        <v>143.97700983134354</v>
      </c>
      <c r="AR189" s="9">
        <v>143.97700983134354</v>
      </c>
      <c r="AS189" s="9">
        <v>143.97700983134354</v>
      </c>
      <c r="AT189" s="9">
        <v>127.19282720490727</v>
      </c>
      <c r="AU189" s="9">
        <v>110.40864457847103</v>
      </c>
      <c r="AV189" s="9">
        <v>110.40864457847103</v>
      </c>
      <c r="AW189" s="9">
        <v>82.860859492616967</v>
      </c>
      <c r="AX189" s="9">
        <v>103.00187864434061</v>
      </c>
      <c r="AY189" s="9">
        <v>103.00187864434061</v>
      </c>
      <c r="AZ189" s="9">
        <v>82.860859492616967</v>
      </c>
    </row>
    <row r="190" spans="1:52">
      <c r="A190" s="3" t="s">
        <v>66</v>
      </c>
      <c r="B190" t="s">
        <v>15</v>
      </c>
      <c r="C190" t="s">
        <v>240</v>
      </c>
      <c r="D190" t="s">
        <v>73</v>
      </c>
      <c r="E190" t="s">
        <v>4975</v>
      </c>
      <c r="F190" s="91" t="s">
        <v>4973</v>
      </c>
      <c r="G190" t="s">
        <v>4983</v>
      </c>
      <c r="H190" s="3" t="s">
        <v>4984</v>
      </c>
      <c r="I190" s="3" t="s">
        <v>5200</v>
      </c>
      <c r="J190" s="124"/>
      <c r="K190" s="124"/>
      <c r="M190" s="124"/>
      <c r="R190" s="9">
        <v>1215</v>
      </c>
      <c r="S190" s="9">
        <v>612</v>
      </c>
      <c r="T190" s="9">
        <v>84</v>
      </c>
      <c r="U190" s="9">
        <v>0</v>
      </c>
      <c r="V190" s="9">
        <v>184</v>
      </c>
      <c r="W190" s="9">
        <v>0</v>
      </c>
      <c r="X190" s="10">
        <v>2.3809512628366032</v>
      </c>
      <c r="Y190" s="9">
        <v>5.5963409100242103</v>
      </c>
      <c r="Z190" s="9">
        <v>3.8201127068074978</v>
      </c>
      <c r="AA190" s="9">
        <v>5.9525243501047358</v>
      </c>
      <c r="AB190" s="9">
        <v>4.1762961468880242</v>
      </c>
      <c r="AC190" s="9">
        <v>5.3386440509445672</v>
      </c>
      <c r="AD190" s="9">
        <v>11.504607495164068</v>
      </c>
      <c r="AE190" s="9">
        <v>10.161750839549118</v>
      </c>
      <c r="AF190" s="9">
        <v>8.7225893955782201</v>
      </c>
      <c r="AG190" s="9">
        <v>9.8055673994686163</v>
      </c>
      <c r="AH190" s="9">
        <v>9.8055673994686163</v>
      </c>
      <c r="AI190" s="9">
        <v>8.3664059554976955</v>
      </c>
      <c r="AJ190" s="9">
        <v>8.3664059554976955</v>
      </c>
      <c r="AK190" s="9">
        <v>7.8951027313459683</v>
      </c>
      <c r="AL190" s="9">
        <v>7.8951027313459683</v>
      </c>
      <c r="AM190" s="9">
        <v>7.458890733525851</v>
      </c>
      <c r="AN190" s="9">
        <v>5.6826625303091145</v>
      </c>
      <c r="AO190" s="9">
        <v>5.9145440364805912</v>
      </c>
      <c r="AP190" s="9">
        <v>10.906161886884913</v>
      </c>
      <c r="AQ190" s="9">
        <v>12.345323330855811</v>
      </c>
      <c r="AR190" s="9">
        <v>12.345323330855811</v>
      </c>
      <c r="AS190" s="9">
        <v>12.345323330855811</v>
      </c>
      <c r="AT190" s="9">
        <v>10.906161886884913</v>
      </c>
      <c r="AU190" s="9">
        <v>9.4670004429140171</v>
      </c>
      <c r="AV190" s="9">
        <v>9.4670004429140171</v>
      </c>
      <c r="AW190" s="9">
        <v>7.1049128128668508</v>
      </c>
      <c r="AX190" s="9">
        <v>8.8319065456319379</v>
      </c>
      <c r="AY190" s="9">
        <v>8.8319065456319379</v>
      </c>
      <c r="AZ190" s="9">
        <v>7.1049128128668508</v>
      </c>
    </row>
    <row r="191" spans="1:52">
      <c r="A191" s="3" t="s">
        <v>66</v>
      </c>
      <c r="B191" t="s">
        <v>15</v>
      </c>
      <c r="C191" t="s">
        <v>240</v>
      </c>
      <c r="D191" t="s">
        <v>76</v>
      </c>
      <c r="E191" t="s">
        <v>5186</v>
      </c>
      <c r="F191" s="91" t="s">
        <v>4973</v>
      </c>
      <c r="G191" t="s">
        <v>4983</v>
      </c>
      <c r="H191" s="3" t="s">
        <v>4984</v>
      </c>
      <c r="I191" s="3" t="s">
        <v>5200</v>
      </c>
      <c r="J191" s="124"/>
      <c r="K191" s="124"/>
      <c r="M191" s="124"/>
      <c r="R191" s="9">
        <v>148</v>
      </c>
      <c r="S191" s="9">
        <v>360</v>
      </c>
      <c r="T191" s="9">
        <v>472</v>
      </c>
      <c r="U191" s="9">
        <v>0</v>
      </c>
      <c r="V191" s="9">
        <v>0</v>
      </c>
      <c r="W191" s="9">
        <v>0</v>
      </c>
      <c r="X191" s="10">
        <v>27.593078786081222</v>
      </c>
      <c r="Y191" s="9">
        <v>64.856546227701955</v>
      </c>
      <c r="Z191" s="9">
        <v>44.271662564427352</v>
      </c>
      <c r="AA191" s="9">
        <v>68.984391210438119</v>
      </c>
      <c r="AB191" s="9">
        <v>48.399507547163516</v>
      </c>
      <c r="AC191" s="9">
        <v>61.870071936313558</v>
      </c>
      <c r="AD191" s="9">
        <v>133.3280298391341</v>
      </c>
      <c r="AE191" s="9">
        <v>117.76553174219606</v>
      </c>
      <c r="AF191" s="9">
        <v>101.08694796384989</v>
      </c>
      <c r="AG191" s="9">
        <v>113.63768675946019</v>
      </c>
      <c r="AH191" s="9">
        <v>113.63768675946019</v>
      </c>
      <c r="AI191" s="9">
        <v>96.959102981113759</v>
      </c>
      <c r="AJ191" s="9">
        <v>96.959102981113759</v>
      </c>
      <c r="AK191" s="9">
        <v>91.49712347773692</v>
      </c>
      <c r="AL191" s="9">
        <v>91.49712347773692</v>
      </c>
      <c r="AM191" s="9">
        <v>86.441819653943185</v>
      </c>
      <c r="AN191" s="9">
        <v>65.856935990668305</v>
      </c>
      <c r="AO191" s="9">
        <v>68.544233613552848</v>
      </c>
      <c r="AP191" s="9">
        <v>126.39258471844822</v>
      </c>
      <c r="AQ191" s="9">
        <v>143.07116849679437</v>
      </c>
      <c r="AR191" s="9">
        <v>143.07116849679437</v>
      </c>
      <c r="AS191" s="9">
        <v>143.07116849679437</v>
      </c>
      <c r="AT191" s="9">
        <v>126.39258471844822</v>
      </c>
      <c r="AU191" s="9">
        <v>109.71400094010207</v>
      </c>
      <c r="AV191" s="9">
        <v>109.71400094010207</v>
      </c>
      <c r="AW191" s="9">
        <v>82.339534653098426</v>
      </c>
      <c r="AX191" s="9">
        <v>102.35383518711394</v>
      </c>
      <c r="AY191" s="9">
        <v>102.35383518711394</v>
      </c>
      <c r="AZ191" s="9">
        <v>82.339534653098426</v>
      </c>
    </row>
    <row r="192" spans="1:52">
      <c r="A192" s="3" t="s">
        <v>66</v>
      </c>
      <c r="B192" t="s">
        <v>15</v>
      </c>
      <c r="C192" t="s">
        <v>240</v>
      </c>
      <c r="D192" t="s">
        <v>5183</v>
      </c>
      <c r="E192" t="s">
        <v>5185</v>
      </c>
      <c r="F192" s="91" t="s">
        <v>4973</v>
      </c>
      <c r="G192" t="s">
        <v>4983</v>
      </c>
      <c r="H192" s="3" t="s">
        <v>4984</v>
      </c>
      <c r="I192" s="3" t="s">
        <v>5200</v>
      </c>
      <c r="J192" s="124"/>
      <c r="K192" s="124"/>
      <c r="M192" s="124"/>
      <c r="P192" s="9">
        <v>2646</v>
      </c>
      <c r="Q192" s="9">
        <v>2550</v>
      </c>
      <c r="R192" s="9">
        <v>138</v>
      </c>
      <c r="S192" s="9">
        <v>0</v>
      </c>
      <c r="T192" s="9">
        <v>-170</v>
      </c>
      <c r="U192" s="9">
        <v>0</v>
      </c>
      <c r="V192" s="9">
        <v>0</v>
      </c>
      <c r="W192" s="9">
        <v>24</v>
      </c>
      <c r="X192" s="10">
        <v>92.522667941172486</v>
      </c>
      <c r="Y192" s="9">
        <v>217.47122664194708</v>
      </c>
      <c r="Z192" s="9">
        <v>148.44781788969345</v>
      </c>
      <c r="AA192" s="9">
        <v>231.31235084599871</v>
      </c>
      <c r="AB192" s="9">
        <v>162.28894209374511</v>
      </c>
      <c r="AC192" s="9">
        <v>207.45724555200943</v>
      </c>
      <c r="AD192" s="9">
        <v>447.06374115379703</v>
      </c>
      <c r="AE192" s="9">
        <v>394.88095086348522</v>
      </c>
      <c r="AF192" s="9">
        <v>338.95580091496413</v>
      </c>
      <c r="AG192" s="9">
        <v>381.03982665943454</v>
      </c>
      <c r="AH192" s="9">
        <v>381.03982665943454</v>
      </c>
      <c r="AI192" s="9">
        <v>325.11467671091259</v>
      </c>
      <c r="AJ192" s="9">
        <v>325.11467671091259</v>
      </c>
      <c r="AK192" s="9">
        <v>306.80005079293261</v>
      </c>
      <c r="AL192" s="9">
        <v>306.80005079293261</v>
      </c>
      <c r="AM192" s="9">
        <v>289.84905374556638</v>
      </c>
      <c r="AN192" s="9">
        <v>220.82564499331184</v>
      </c>
      <c r="AO192" s="9">
        <v>229.83645337569024</v>
      </c>
      <c r="AP192" s="9">
        <v>423.80842082871857</v>
      </c>
      <c r="AQ192" s="9">
        <v>479.73357077723961</v>
      </c>
      <c r="AR192" s="9">
        <v>479.73357077723961</v>
      </c>
      <c r="AS192" s="9">
        <v>479.73357077723961</v>
      </c>
      <c r="AT192" s="9">
        <v>423.80842082871857</v>
      </c>
      <c r="AU192" s="9">
        <v>367.88327088019753</v>
      </c>
      <c r="AV192" s="9">
        <v>367.88327088019753</v>
      </c>
      <c r="AW192" s="9">
        <v>276.09363500901458</v>
      </c>
      <c r="AX192" s="9">
        <v>343.20381494724023</v>
      </c>
      <c r="AY192" s="9">
        <v>343.20381494724023</v>
      </c>
      <c r="AZ192" s="9">
        <v>276.09363500901458</v>
      </c>
    </row>
    <row r="193" spans="1:52">
      <c r="A193" s="3" t="s">
        <v>66</v>
      </c>
      <c r="B193" t="s">
        <v>16</v>
      </c>
      <c r="C193" t="s">
        <v>308</v>
      </c>
      <c r="D193" t="s">
        <v>72</v>
      </c>
      <c r="E193" t="s">
        <v>4974</v>
      </c>
      <c r="F193" s="91" t="s">
        <v>4973</v>
      </c>
      <c r="G193" t="s">
        <v>4983</v>
      </c>
      <c r="H193" s="3" t="s">
        <v>4984</v>
      </c>
      <c r="I193" s="3" t="s">
        <v>5200</v>
      </c>
      <c r="J193" s="124"/>
      <c r="K193" s="124"/>
      <c r="M193" s="124"/>
      <c r="R193" s="9">
        <v>0</v>
      </c>
      <c r="S193" s="9">
        <v>0</v>
      </c>
      <c r="T193" s="9">
        <v>1353.0989999999999</v>
      </c>
      <c r="U193" s="9">
        <v>5832.6714000000029</v>
      </c>
      <c r="V193" s="9">
        <v>5603.6745999999948</v>
      </c>
      <c r="W193" s="9">
        <v>8092.3069999999989</v>
      </c>
      <c r="X193" s="10">
        <v>10065.887901103761</v>
      </c>
      <c r="Y193" s="9">
        <v>15817.823844591621</v>
      </c>
      <c r="Z193" s="9">
        <v>14559.587856953636</v>
      </c>
      <c r="AA193" s="9">
        <v>7908.9119222957988</v>
      </c>
      <c r="AB193" s="9">
        <v>7908.9119222957988</v>
      </c>
      <c r="AC193" s="9">
        <v>7908.9119222957988</v>
      </c>
      <c r="AD193" s="9">
        <v>7908.9119222957988</v>
      </c>
      <c r="AE193" s="9">
        <v>7908.9119222957988</v>
      </c>
      <c r="AF193" s="9">
        <v>5931.6839417218498</v>
      </c>
      <c r="AG193" s="9">
        <v>7908.9119222957988</v>
      </c>
      <c r="AH193" s="9">
        <v>5931.6839417218498</v>
      </c>
      <c r="AI193" s="9">
        <v>7908.9119222957988</v>
      </c>
      <c r="AJ193" s="9">
        <v>7908.9119222957988</v>
      </c>
      <c r="AK193" s="9">
        <v>7908.9119222957988</v>
      </c>
      <c r="AL193" s="9">
        <v>7908.9119222957988</v>
      </c>
      <c r="AM193" s="9">
        <v>7908.9119222957988</v>
      </c>
      <c r="AN193" s="9">
        <v>7908.9119222957988</v>
      </c>
      <c r="AO193" s="9">
        <v>7908.9119222957988</v>
      </c>
      <c r="AP193" s="9">
        <v>7908.9119222957988</v>
      </c>
      <c r="AQ193" s="9">
        <v>5931.6839417218498</v>
      </c>
      <c r="AR193" s="9">
        <v>7010.1719311258212</v>
      </c>
      <c r="AS193" s="9">
        <v>4313.9519576159037</v>
      </c>
      <c r="AT193" s="9">
        <v>3235.4639682119123</v>
      </c>
      <c r="AU193" s="9">
        <v>4313.9519576159037</v>
      </c>
      <c r="AV193" s="9">
        <v>4313.9519576159037</v>
      </c>
      <c r="AW193" s="9">
        <v>4313.9519576159037</v>
      </c>
      <c r="AX193" s="9">
        <v>4313.9519576159037</v>
      </c>
      <c r="AY193" s="9">
        <v>2786.093972626923</v>
      </c>
      <c r="AZ193" s="9">
        <v>0</v>
      </c>
    </row>
    <row r="194" spans="1:52">
      <c r="A194" s="3" t="s">
        <v>66</v>
      </c>
      <c r="B194" t="s">
        <v>16</v>
      </c>
      <c r="C194" t="s">
        <v>308</v>
      </c>
      <c r="D194" t="s">
        <v>74</v>
      </c>
      <c r="E194" t="s">
        <v>4975</v>
      </c>
      <c r="F194" s="91" t="s">
        <v>4973</v>
      </c>
      <c r="G194" t="s">
        <v>4983</v>
      </c>
      <c r="H194" s="3" t="s">
        <v>4984</v>
      </c>
      <c r="I194" s="3" t="s">
        <v>5200</v>
      </c>
      <c r="J194" s="124"/>
      <c r="K194" s="124"/>
      <c r="M194" s="124"/>
      <c r="R194" s="9">
        <v>1124.54</v>
      </c>
      <c r="S194" s="9">
        <v>6547.55</v>
      </c>
      <c r="T194" s="9">
        <v>5140.7640000000001</v>
      </c>
      <c r="U194" s="9">
        <v>10127.77</v>
      </c>
      <c r="V194" s="9">
        <v>12070.26</v>
      </c>
      <c r="W194" s="9">
        <v>9680.1299999999992</v>
      </c>
      <c r="X194" s="10">
        <v>21420.035402414516</v>
      </c>
      <c r="Y194" s="9">
        <v>23756.766537223393</v>
      </c>
      <c r="Z194" s="9">
        <v>15058.933979879217</v>
      </c>
      <c r="AA194" s="9">
        <v>15058.933979879217</v>
      </c>
      <c r="AB194" s="9">
        <v>16486.936340040302</v>
      </c>
      <c r="AC194" s="9">
        <v>12722.202845070417</v>
      </c>
      <c r="AD194" s="9">
        <v>10515.290106639846</v>
      </c>
      <c r="AE194" s="9">
        <v>10515.290106639846</v>
      </c>
      <c r="AF194" s="9">
        <v>3505.0967022132772</v>
      </c>
    </row>
    <row r="195" spans="1:52">
      <c r="A195" s="3" t="s">
        <v>66</v>
      </c>
      <c r="B195" t="s">
        <v>16</v>
      </c>
      <c r="C195" t="s">
        <v>308</v>
      </c>
      <c r="D195" t="s">
        <v>5184</v>
      </c>
      <c r="E195" t="s">
        <v>5185</v>
      </c>
      <c r="F195" s="91" t="s">
        <v>4973</v>
      </c>
      <c r="G195" t="s">
        <v>4983</v>
      </c>
      <c r="H195" s="3" t="s">
        <v>4984</v>
      </c>
      <c r="I195" s="3" t="s">
        <v>5200</v>
      </c>
      <c r="J195" s="124"/>
      <c r="K195" s="124"/>
      <c r="M195" s="124"/>
      <c r="P195" s="9">
        <v>0</v>
      </c>
      <c r="Q195" s="9">
        <v>0</v>
      </c>
      <c r="R195" s="9">
        <v>0</v>
      </c>
      <c r="S195" s="9">
        <v>0</v>
      </c>
      <c r="T195" s="9">
        <v>0</v>
      </c>
      <c r="U195" s="9">
        <v>1400.3529016666666</v>
      </c>
      <c r="V195" s="9">
        <v>834.56409833333328</v>
      </c>
      <c r="W195" s="9">
        <v>3012.3340000000003</v>
      </c>
      <c r="X195" s="10">
        <v>5725.4771146496832</v>
      </c>
      <c r="Y195" s="9">
        <v>5725.4771146496832</v>
      </c>
      <c r="Z195" s="9">
        <v>5725.4771146496832</v>
      </c>
      <c r="AA195" s="9">
        <v>5725.4771146496832</v>
      </c>
      <c r="AB195" s="9">
        <v>5725.4771146496832</v>
      </c>
      <c r="AC195" s="9">
        <v>10918.351707006368</v>
      </c>
      <c r="AD195" s="9">
        <v>10918.351707006368</v>
      </c>
      <c r="AE195" s="9">
        <v>13581.364318471329</v>
      </c>
      <c r="AF195" s="9">
        <v>13581.364318471329</v>
      </c>
      <c r="AG195" s="9">
        <v>7190.134050955412</v>
      </c>
      <c r="AH195" s="9">
        <v>9853.1466624203877</v>
      </c>
      <c r="AI195" s="9">
        <v>9853.1466624203877</v>
      </c>
      <c r="AJ195" s="9">
        <v>9586.8454012738894</v>
      </c>
      <c r="AK195" s="9">
        <v>9586.8454012738894</v>
      </c>
      <c r="AL195" s="9">
        <v>1730.9581974522284</v>
      </c>
    </row>
    <row r="196" spans="1:52">
      <c r="A196" s="3" t="s">
        <v>66</v>
      </c>
      <c r="B196" t="s">
        <v>17</v>
      </c>
      <c r="C196" t="s">
        <v>312</v>
      </c>
      <c r="D196" t="s">
        <v>72</v>
      </c>
      <c r="E196" t="s">
        <v>4974</v>
      </c>
      <c r="F196" s="91" t="s">
        <v>4973</v>
      </c>
      <c r="G196" t="s">
        <v>4983</v>
      </c>
      <c r="H196" s="3" t="s">
        <v>4984</v>
      </c>
      <c r="I196" s="3" t="s">
        <v>5200</v>
      </c>
      <c r="J196" s="124"/>
      <c r="K196" s="124"/>
      <c r="M196" s="124"/>
      <c r="R196" s="9">
        <v>0</v>
      </c>
      <c r="S196" s="9">
        <v>0</v>
      </c>
      <c r="T196" s="9">
        <v>12.093</v>
      </c>
      <c r="U196" s="9">
        <v>86.115600499999942</v>
      </c>
      <c r="V196" s="9">
        <v>66.574017000000012</v>
      </c>
      <c r="W196" s="9">
        <v>108.56200000000001</v>
      </c>
      <c r="X196" s="10">
        <v>22.655418472406204</v>
      </c>
      <c r="Y196" s="9">
        <v>35.601371885209737</v>
      </c>
      <c r="Z196" s="9">
        <v>32.769444576158932</v>
      </c>
      <c r="AA196" s="9">
        <v>17.800685942604844</v>
      </c>
      <c r="AB196" s="9">
        <v>17.800685942604844</v>
      </c>
      <c r="AC196" s="9">
        <v>17.800685942604844</v>
      </c>
      <c r="AD196" s="9">
        <v>17.800685942604844</v>
      </c>
      <c r="AE196" s="9">
        <v>17.800685942604844</v>
      </c>
      <c r="AF196" s="9">
        <v>13.350514456953634</v>
      </c>
      <c r="AG196" s="9">
        <v>17.800685942604844</v>
      </c>
      <c r="AH196" s="9">
        <v>13.350514456953634</v>
      </c>
      <c r="AI196" s="9">
        <v>17.800685942604844</v>
      </c>
      <c r="AJ196" s="9">
        <v>17.800685942604844</v>
      </c>
      <c r="AK196" s="9">
        <v>17.800685942604844</v>
      </c>
      <c r="AL196" s="9">
        <v>17.800685942604844</v>
      </c>
      <c r="AM196" s="9">
        <v>17.800685942604844</v>
      </c>
      <c r="AN196" s="9">
        <v>17.800685942604844</v>
      </c>
      <c r="AO196" s="9">
        <v>17.800685942604844</v>
      </c>
      <c r="AP196" s="9">
        <v>17.800685942604844</v>
      </c>
      <c r="AQ196" s="9">
        <v>13.350514456953634</v>
      </c>
      <c r="AR196" s="9">
        <v>15.777880721854292</v>
      </c>
      <c r="AS196" s="9">
        <v>9.709465059602671</v>
      </c>
      <c r="AT196" s="9">
        <v>7.2820987947019695</v>
      </c>
      <c r="AU196" s="9">
        <v>9.709465059602671</v>
      </c>
      <c r="AV196" s="9">
        <v>9.709465059602671</v>
      </c>
      <c r="AW196" s="9">
        <v>9.709465059602671</v>
      </c>
      <c r="AX196" s="9">
        <v>9.709465059602671</v>
      </c>
      <c r="AY196" s="9">
        <v>6.2706961843266926</v>
      </c>
      <c r="AZ196" s="9">
        <v>0</v>
      </c>
    </row>
    <row r="197" spans="1:52">
      <c r="A197" s="3" t="s">
        <v>66</v>
      </c>
      <c r="B197" t="s">
        <v>17</v>
      </c>
      <c r="C197" t="s">
        <v>312</v>
      </c>
      <c r="D197" t="s">
        <v>74</v>
      </c>
      <c r="E197" t="s">
        <v>4975</v>
      </c>
      <c r="F197" s="91" t="s">
        <v>4973</v>
      </c>
      <c r="G197" t="s">
        <v>4983</v>
      </c>
      <c r="H197" s="3" t="s">
        <v>4984</v>
      </c>
      <c r="I197" s="3" t="s">
        <v>5200</v>
      </c>
      <c r="J197" s="124"/>
      <c r="K197" s="124"/>
      <c r="M197" s="124"/>
      <c r="R197" s="9">
        <v>9.6999999999999993</v>
      </c>
      <c r="S197" s="9">
        <v>56.86</v>
      </c>
      <c r="T197" s="9">
        <v>33.866</v>
      </c>
      <c r="U197" s="9">
        <v>87.11</v>
      </c>
      <c r="V197" s="9">
        <v>104.61</v>
      </c>
      <c r="W197" s="9">
        <v>70.8</v>
      </c>
      <c r="X197" s="10">
        <v>112.3185211267607</v>
      </c>
      <c r="Y197" s="9">
        <v>124.57145070422561</v>
      </c>
      <c r="Z197" s="9">
        <v>78.963323943661649</v>
      </c>
      <c r="AA197" s="9">
        <v>78.963323943661649</v>
      </c>
      <c r="AB197" s="9">
        <v>86.451225352112985</v>
      </c>
      <c r="AC197" s="9">
        <v>66.710394366197136</v>
      </c>
      <c r="AD197" s="9">
        <v>55.138183098591576</v>
      </c>
      <c r="AE197" s="9">
        <v>55.138183098591576</v>
      </c>
      <c r="AF197" s="9">
        <v>18.379394366197168</v>
      </c>
    </row>
    <row r="198" spans="1:52">
      <c r="A198" s="3" t="s">
        <v>66</v>
      </c>
      <c r="B198" t="s">
        <v>17</v>
      </c>
      <c r="C198" t="s">
        <v>312</v>
      </c>
      <c r="D198" t="s">
        <v>5184</v>
      </c>
      <c r="E198" t="s">
        <v>5185</v>
      </c>
      <c r="F198" s="91" t="s">
        <v>4973</v>
      </c>
      <c r="G198" t="s">
        <v>4983</v>
      </c>
      <c r="H198" s="3" t="s">
        <v>4984</v>
      </c>
      <c r="I198" s="3" t="s">
        <v>5200</v>
      </c>
      <c r="J198" s="124"/>
      <c r="K198" s="124"/>
      <c r="M198" s="124"/>
      <c r="P198" s="9">
        <v>0</v>
      </c>
      <c r="Q198" s="9">
        <v>0</v>
      </c>
      <c r="R198" s="9">
        <v>0</v>
      </c>
      <c r="S198" s="9">
        <v>0</v>
      </c>
      <c r="T198" s="9">
        <v>0</v>
      </c>
      <c r="U198" s="9">
        <v>25.864328999999991</v>
      </c>
      <c r="V198" s="9">
        <v>29.069671000000007</v>
      </c>
      <c r="W198" s="9">
        <v>63.734999999999999</v>
      </c>
      <c r="X198" s="10">
        <v>34.429351380042476</v>
      </c>
      <c r="Y198" s="9">
        <v>34.429351380042476</v>
      </c>
      <c r="Z198" s="9">
        <v>34.429351380042476</v>
      </c>
      <c r="AA198" s="9">
        <v>34.429351380042476</v>
      </c>
      <c r="AB198" s="9">
        <v>34.429351380042476</v>
      </c>
      <c r="AC198" s="9">
        <v>65.655972399150741</v>
      </c>
      <c r="AD198" s="9">
        <v>65.655972399150741</v>
      </c>
      <c r="AE198" s="9">
        <v>81.669624203821613</v>
      </c>
      <c r="AF198" s="9">
        <v>81.669624203821613</v>
      </c>
      <c r="AG198" s="9">
        <v>43.236859872611461</v>
      </c>
      <c r="AH198" s="9">
        <v>59.250511677282411</v>
      </c>
      <c r="AI198" s="9">
        <v>59.250511677282411</v>
      </c>
      <c r="AJ198" s="9">
        <v>57.649146496815312</v>
      </c>
      <c r="AK198" s="9">
        <v>57.649146496815312</v>
      </c>
      <c r="AL198" s="9">
        <v>10.408873673036089</v>
      </c>
    </row>
    <row r="199" spans="1:52">
      <c r="A199" s="3" t="s">
        <v>66</v>
      </c>
      <c r="B199" t="s">
        <v>18</v>
      </c>
      <c r="C199" t="s">
        <v>316</v>
      </c>
      <c r="D199" t="s">
        <v>72</v>
      </c>
      <c r="E199" t="s">
        <v>4974</v>
      </c>
      <c r="F199" s="91" t="s">
        <v>4973</v>
      </c>
      <c r="G199" t="s">
        <v>4983</v>
      </c>
      <c r="H199" s="3" t="s">
        <v>4984</v>
      </c>
      <c r="I199" s="3" t="s">
        <v>5200</v>
      </c>
      <c r="J199" s="124"/>
      <c r="K199" s="124"/>
      <c r="M199" s="124"/>
      <c r="R199" s="9">
        <v>0</v>
      </c>
      <c r="S199" s="9">
        <v>0</v>
      </c>
      <c r="T199" s="9">
        <v>3366</v>
      </c>
      <c r="U199" s="9">
        <v>10332</v>
      </c>
      <c r="V199" s="9">
        <v>9411</v>
      </c>
      <c r="W199" s="9">
        <v>14580</v>
      </c>
      <c r="X199" s="10">
        <v>608.75584988962532</v>
      </c>
      <c r="Y199" s="9">
        <v>956.61633554083949</v>
      </c>
      <c r="Z199" s="9">
        <v>880.52185430463544</v>
      </c>
      <c r="AA199" s="9">
        <v>478.30816777041906</v>
      </c>
      <c r="AB199" s="9">
        <v>478.30816777041906</v>
      </c>
      <c r="AC199" s="9">
        <v>478.30816777041906</v>
      </c>
      <c r="AD199" s="9">
        <v>478.30816777041906</v>
      </c>
      <c r="AE199" s="9">
        <v>478.30816777041906</v>
      </c>
      <c r="AF199" s="9">
        <v>358.73112582781431</v>
      </c>
      <c r="AG199" s="9">
        <v>478.30816777041906</v>
      </c>
      <c r="AH199" s="9">
        <v>358.73112582781431</v>
      </c>
      <c r="AI199" s="9">
        <v>478.30816777041906</v>
      </c>
      <c r="AJ199" s="9">
        <v>478.30816777041906</v>
      </c>
      <c r="AK199" s="9">
        <v>478.30816777041906</v>
      </c>
      <c r="AL199" s="9">
        <v>478.30816777041906</v>
      </c>
      <c r="AM199" s="9">
        <v>478.30816777041906</v>
      </c>
      <c r="AN199" s="9">
        <v>478.30816777041906</v>
      </c>
      <c r="AO199" s="9">
        <v>478.30816777041906</v>
      </c>
      <c r="AP199" s="9">
        <v>478.30816777041906</v>
      </c>
      <c r="AQ199" s="9">
        <v>358.73112582781431</v>
      </c>
      <c r="AR199" s="9">
        <v>423.95496688741684</v>
      </c>
      <c r="AS199" s="9">
        <v>260.89536423841122</v>
      </c>
      <c r="AT199" s="9">
        <v>195.67152317880749</v>
      </c>
      <c r="AU199" s="9">
        <v>260.89536423841122</v>
      </c>
      <c r="AV199" s="9">
        <v>260.89536423841122</v>
      </c>
      <c r="AW199" s="9">
        <v>260.89536423841122</v>
      </c>
      <c r="AX199" s="9">
        <v>260.89536423841122</v>
      </c>
      <c r="AY199" s="9">
        <v>168.49492273730635</v>
      </c>
      <c r="AZ199" s="9">
        <v>0</v>
      </c>
    </row>
    <row r="200" spans="1:52">
      <c r="A200" s="3" t="s">
        <v>66</v>
      </c>
      <c r="B200" t="s">
        <v>18</v>
      </c>
      <c r="C200" t="s">
        <v>316</v>
      </c>
      <c r="D200" t="s">
        <v>74</v>
      </c>
      <c r="E200" t="s">
        <v>4975</v>
      </c>
      <c r="F200" s="91" t="s">
        <v>4973</v>
      </c>
      <c r="G200" t="s">
        <v>4983</v>
      </c>
      <c r="H200" s="3" t="s">
        <v>4984</v>
      </c>
      <c r="I200" s="3" t="s">
        <v>5200</v>
      </c>
      <c r="J200" s="124"/>
      <c r="K200" s="124"/>
      <c r="M200" s="124"/>
      <c r="S200" s="9">
        <v>1878</v>
      </c>
      <c r="T200" s="9">
        <v>360</v>
      </c>
      <c r="U200" s="9">
        <v>1200</v>
      </c>
      <c r="V200" s="9">
        <v>3534</v>
      </c>
      <c r="W200" s="9">
        <v>3303</v>
      </c>
      <c r="X200" s="10">
        <v>784.33098591549401</v>
      </c>
      <c r="Y200" s="9">
        <v>869.89436619718504</v>
      </c>
      <c r="Z200" s="9">
        <v>551.40845070422324</v>
      </c>
      <c r="AA200" s="9">
        <v>551.40845070422324</v>
      </c>
      <c r="AB200" s="9">
        <v>603.69718309859377</v>
      </c>
      <c r="AC200" s="9">
        <v>465.845070422535</v>
      </c>
      <c r="AD200" s="9">
        <v>385.03521126760586</v>
      </c>
      <c r="AE200" s="9">
        <v>385.03521126760586</v>
      </c>
      <c r="AF200" s="9">
        <v>128.34507042253512</v>
      </c>
    </row>
    <row r="201" spans="1:52">
      <c r="A201" s="3" t="s">
        <v>66</v>
      </c>
      <c r="B201" t="s">
        <v>18</v>
      </c>
      <c r="C201" t="s">
        <v>316</v>
      </c>
      <c r="D201" t="s">
        <v>5184</v>
      </c>
      <c r="E201" t="s">
        <v>5185</v>
      </c>
      <c r="F201" s="91" t="s">
        <v>4973</v>
      </c>
      <c r="G201" t="s">
        <v>4983</v>
      </c>
      <c r="H201" s="3" t="s">
        <v>4984</v>
      </c>
      <c r="I201" s="3" t="s">
        <v>5200</v>
      </c>
      <c r="J201" s="124"/>
      <c r="K201" s="124"/>
      <c r="M201" s="124"/>
      <c r="P201" s="9">
        <v>0</v>
      </c>
      <c r="Q201" s="9">
        <v>0</v>
      </c>
      <c r="R201" s="9">
        <v>0</v>
      </c>
      <c r="S201" s="9">
        <v>0</v>
      </c>
      <c r="T201" s="9">
        <v>0</v>
      </c>
      <c r="U201" s="9">
        <v>3330</v>
      </c>
      <c r="V201" s="9">
        <v>2880</v>
      </c>
      <c r="W201" s="9">
        <v>11205</v>
      </c>
      <c r="X201" s="10">
        <v>2034.1008492569008</v>
      </c>
      <c r="Y201" s="9">
        <v>2034.1008492569008</v>
      </c>
      <c r="Z201" s="9">
        <v>2034.1008492569008</v>
      </c>
      <c r="AA201" s="9">
        <v>2034.1008492569008</v>
      </c>
      <c r="AB201" s="9">
        <v>2034.1008492569008</v>
      </c>
      <c r="AC201" s="9">
        <v>3878.9830148619953</v>
      </c>
      <c r="AD201" s="9">
        <v>3878.9830148619953</v>
      </c>
      <c r="AE201" s="9">
        <v>4825.0764331210166</v>
      </c>
      <c r="AF201" s="9">
        <v>4825.0764331210166</v>
      </c>
      <c r="AG201" s="9">
        <v>2554.4522292993624</v>
      </c>
      <c r="AH201" s="9">
        <v>3500.5456475583883</v>
      </c>
      <c r="AI201" s="9">
        <v>3500.5456475583883</v>
      </c>
      <c r="AJ201" s="9">
        <v>3405.9363057324854</v>
      </c>
      <c r="AK201" s="9">
        <v>3405.9363057324854</v>
      </c>
      <c r="AL201" s="9">
        <v>614.96072186836489</v>
      </c>
    </row>
    <row r="202" spans="1:52">
      <c r="A202" s="3" t="s">
        <v>66</v>
      </c>
      <c r="B202" t="s">
        <v>19</v>
      </c>
      <c r="C202" t="s">
        <v>320</v>
      </c>
      <c r="D202" t="s">
        <v>72</v>
      </c>
      <c r="E202" t="s">
        <v>4974</v>
      </c>
      <c r="F202" s="91" t="s">
        <v>4973</v>
      </c>
      <c r="G202" t="s">
        <v>4983</v>
      </c>
      <c r="H202" s="3" t="s">
        <v>4984</v>
      </c>
      <c r="I202" s="3" t="s">
        <v>5200</v>
      </c>
      <c r="J202" s="124"/>
      <c r="K202" s="124"/>
      <c r="M202" s="124"/>
      <c r="R202" s="9">
        <v>0</v>
      </c>
      <c r="S202" s="9">
        <v>0</v>
      </c>
      <c r="T202" s="9">
        <v>0</v>
      </c>
      <c r="U202" s="9">
        <v>0</v>
      </c>
      <c r="V202" s="9">
        <v>0</v>
      </c>
      <c r="W202" s="9">
        <v>0</v>
      </c>
      <c r="X202" s="10">
        <v>4845.3776247240667</v>
      </c>
      <c r="Y202" s="9">
        <v>7614.1648388521025</v>
      </c>
      <c r="Z202" s="9">
        <v>7008.4926357615868</v>
      </c>
      <c r="AA202" s="9">
        <v>3807.0824194260458</v>
      </c>
      <c r="AB202" s="9">
        <v>3807.0824194260458</v>
      </c>
      <c r="AC202" s="9">
        <v>3807.0824194260458</v>
      </c>
      <c r="AD202" s="9">
        <v>3807.0824194260458</v>
      </c>
      <c r="AE202" s="9">
        <v>3807.0824194260458</v>
      </c>
      <c r="AF202" s="9">
        <v>2855.3118145695344</v>
      </c>
      <c r="AG202" s="9">
        <v>3807.0824194260458</v>
      </c>
      <c r="AH202" s="9">
        <v>2855.3118145695344</v>
      </c>
      <c r="AI202" s="9">
        <v>3807.0824194260458</v>
      </c>
      <c r="AJ202" s="9">
        <v>3807.0824194260458</v>
      </c>
      <c r="AK202" s="9">
        <v>3807.0824194260458</v>
      </c>
      <c r="AL202" s="9">
        <v>3807.0824194260458</v>
      </c>
      <c r="AM202" s="9">
        <v>3807.0824194260458</v>
      </c>
      <c r="AN202" s="9">
        <v>3807.0824194260458</v>
      </c>
      <c r="AO202" s="9">
        <v>3807.0824194260458</v>
      </c>
      <c r="AP202" s="9">
        <v>3807.0824194260458</v>
      </c>
      <c r="AQ202" s="9">
        <v>2855.3118145695344</v>
      </c>
      <c r="AR202" s="9">
        <v>3374.4594172185402</v>
      </c>
      <c r="AS202" s="9">
        <v>2076.5904105960312</v>
      </c>
      <c r="AT202" s="9">
        <v>1557.442807947016</v>
      </c>
      <c r="AU202" s="9">
        <v>2076.5904105960312</v>
      </c>
      <c r="AV202" s="9">
        <v>2076.5904105960312</v>
      </c>
      <c r="AW202" s="9">
        <v>2076.5904105960312</v>
      </c>
      <c r="AX202" s="9">
        <v>2076.5904105960312</v>
      </c>
      <c r="AY202" s="9">
        <v>1341.131306843263</v>
      </c>
      <c r="AZ202" s="9">
        <v>0</v>
      </c>
    </row>
    <row r="203" spans="1:52">
      <c r="A203" s="3" t="s">
        <v>66</v>
      </c>
      <c r="B203" t="s">
        <v>19</v>
      </c>
      <c r="C203" t="s">
        <v>320</v>
      </c>
      <c r="D203" t="s">
        <v>74</v>
      </c>
      <c r="E203" t="s">
        <v>4975</v>
      </c>
      <c r="F203" s="91" t="s">
        <v>4973</v>
      </c>
      <c r="G203" t="s">
        <v>4983</v>
      </c>
      <c r="H203" s="3" t="s">
        <v>4984</v>
      </c>
      <c r="I203" s="3" t="s">
        <v>5200</v>
      </c>
      <c r="J203" s="124"/>
      <c r="K203" s="124"/>
      <c r="M203" s="124"/>
      <c r="R203" s="9">
        <v>1852</v>
      </c>
      <c r="S203" s="9">
        <v>5608</v>
      </c>
      <c r="T203" s="9">
        <v>4276</v>
      </c>
      <c r="U203" s="9">
        <v>3316</v>
      </c>
      <c r="V203" s="9">
        <v>3260</v>
      </c>
      <c r="W203" s="9">
        <v>5576</v>
      </c>
      <c r="X203" s="10">
        <v>11063.248340040256</v>
      </c>
      <c r="Y203" s="9">
        <v>12270.148158953749</v>
      </c>
      <c r="Z203" s="9">
        <v>7777.798832997958</v>
      </c>
      <c r="AA203" s="9">
        <v>7777.798832997958</v>
      </c>
      <c r="AB203" s="9">
        <v>8515.3487223340362</v>
      </c>
      <c r="AC203" s="9">
        <v>6570.8990140845044</v>
      </c>
      <c r="AD203" s="9">
        <v>5431.0491851106672</v>
      </c>
      <c r="AE203" s="9">
        <v>5431.0491851106672</v>
      </c>
      <c r="AF203" s="9">
        <v>1810.34972837022</v>
      </c>
    </row>
    <row r="204" spans="1:52">
      <c r="A204" s="3" t="s">
        <v>66</v>
      </c>
      <c r="B204" t="s">
        <v>19</v>
      </c>
      <c r="C204" t="s">
        <v>320</v>
      </c>
      <c r="D204" t="s">
        <v>5184</v>
      </c>
      <c r="E204" t="s">
        <v>5185</v>
      </c>
      <c r="F204" s="91" t="s">
        <v>4973</v>
      </c>
      <c r="G204" t="s">
        <v>4983</v>
      </c>
      <c r="H204" s="3" t="s">
        <v>4984</v>
      </c>
      <c r="I204" s="3" t="s">
        <v>5200</v>
      </c>
      <c r="J204" s="124"/>
      <c r="K204" s="124"/>
      <c r="M204" s="124"/>
      <c r="P204" s="9">
        <v>0</v>
      </c>
      <c r="Q204" s="9">
        <v>0</v>
      </c>
      <c r="R204" s="9">
        <v>0</v>
      </c>
      <c r="S204" s="9">
        <v>0</v>
      </c>
      <c r="T204" s="9">
        <v>0</v>
      </c>
      <c r="U204" s="9">
        <v>0</v>
      </c>
      <c r="V204" s="9">
        <v>0</v>
      </c>
      <c r="W204" s="9">
        <v>0</v>
      </c>
      <c r="X204" s="10">
        <v>1790.2607218683654</v>
      </c>
      <c r="Y204" s="9">
        <v>1790.2607218683654</v>
      </c>
      <c r="Z204" s="9">
        <v>1790.2607218683654</v>
      </c>
      <c r="AA204" s="9">
        <v>1790.2607218683654</v>
      </c>
      <c r="AB204" s="9">
        <v>1790.2607218683654</v>
      </c>
      <c r="AC204" s="9">
        <v>3413.9855626326957</v>
      </c>
      <c r="AD204" s="9">
        <v>3413.9855626326957</v>
      </c>
      <c r="AE204" s="9">
        <v>4246.6649681528634</v>
      </c>
      <c r="AF204" s="9">
        <v>4246.6649681528634</v>
      </c>
      <c r="AG204" s="9">
        <v>2248.234394904458</v>
      </c>
      <c r="AH204" s="9">
        <v>3080.9138004246297</v>
      </c>
      <c r="AI204" s="9">
        <v>3080.9138004246297</v>
      </c>
      <c r="AJ204" s="9">
        <v>2997.6458598726122</v>
      </c>
      <c r="AK204" s="9">
        <v>2997.6458598726122</v>
      </c>
      <c r="AL204" s="9">
        <v>541.24161358811011</v>
      </c>
    </row>
    <row r="205" spans="1:52">
      <c r="A205" s="3" t="s">
        <v>66</v>
      </c>
      <c r="B205" t="s">
        <v>20</v>
      </c>
      <c r="C205" t="s">
        <v>324</v>
      </c>
      <c r="D205" t="s">
        <v>72</v>
      </c>
      <c r="E205" t="s">
        <v>4974</v>
      </c>
      <c r="F205" s="91" t="s">
        <v>4973</v>
      </c>
      <c r="G205" t="s">
        <v>4983</v>
      </c>
      <c r="H205" s="3" t="s">
        <v>4984</v>
      </c>
      <c r="I205" s="3" t="s">
        <v>5200</v>
      </c>
      <c r="J205" s="124"/>
      <c r="K205" s="124"/>
      <c r="M205" s="124"/>
      <c r="R205" s="9">
        <v>0</v>
      </c>
      <c r="S205" s="9">
        <v>0</v>
      </c>
      <c r="T205" s="9">
        <v>8.7449999999999992</v>
      </c>
      <c r="U205" s="9">
        <v>51.804544899999982</v>
      </c>
      <c r="V205" s="9">
        <v>166.05698710000007</v>
      </c>
      <c r="W205" s="9">
        <v>-59.632317</v>
      </c>
      <c r="X205" s="10">
        <v>90.212453827814656</v>
      </c>
      <c r="Y205" s="9">
        <v>141.7624274437087</v>
      </c>
      <c r="Z205" s="9">
        <v>130.48587071523173</v>
      </c>
      <c r="AA205" s="9">
        <v>70.881213721854252</v>
      </c>
      <c r="AB205" s="9">
        <v>70.881213721854252</v>
      </c>
      <c r="AC205" s="9">
        <v>70.881213721854252</v>
      </c>
      <c r="AD205" s="9">
        <v>70.881213721854252</v>
      </c>
      <c r="AE205" s="9">
        <v>70.881213721854252</v>
      </c>
      <c r="AF205" s="9">
        <v>53.160910291390692</v>
      </c>
      <c r="AG205" s="9">
        <v>70.881213721854252</v>
      </c>
      <c r="AH205" s="9">
        <v>53.160910291390692</v>
      </c>
      <c r="AI205" s="9">
        <v>70.881213721854252</v>
      </c>
      <c r="AJ205" s="9">
        <v>70.881213721854252</v>
      </c>
      <c r="AK205" s="9">
        <v>70.881213721854252</v>
      </c>
      <c r="AL205" s="9">
        <v>70.881213721854252</v>
      </c>
      <c r="AM205" s="9">
        <v>70.881213721854252</v>
      </c>
      <c r="AN205" s="9">
        <v>70.881213721854252</v>
      </c>
      <c r="AO205" s="9">
        <v>70.881213721854252</v>
      </c>
      <c r="AP205" s="9">
        <v>70.881213721854252</v>
      </c>
      <c r="AQ205" s="9">
        <v>53.160910291390692</v>
      </c>
      <c r="AR205" s="9">
        <v>62.826530344370802</v>
      </c>
      <c r="AS205" s="9">
        <v>38.662480211920617</v>
      </c>
      <c r="AT205" s="9">
        <v>28.996860158940326</v>
      </c>
      <c r="AU205" s="9">
        <v>38.662480211920617</v>
      </c>
      <c r="AV205" s="9">
        <v>38.662480211920617</v>
      </c>
      <c r="AW205" s="9">
        <v>38.662480211920617</v>
      </c>
      <c r="AX205" s="9">
        <v>38.662480211920617</v>
      </c>
      <c r="AY205" s="9">
        <v>24.969518470198601</v>
      </c>
      <c r="AZ205" s="9">
        <v>0</v>
      </c>
    </row>
    <row r="206" spans="1:52">
      <c r="A206" s="3" t="s">
        <v>66</v>
      </c>
      <c r="B206" t="s">
        <v>20</v>
      </c>
      <c r="C206" t="s">
        <v>324</v>
      </c>
      <c r="D206" t="s">
        <v>74</v>
      </c>
      <c r="E206" t="s">
        <v>4975</v>
      </c>
      <c r="F206" s="91" t="s">
        <v>4973</v>
      </c>
      <c r="G206" t="s">
        <v>4983</v>
      </c>
      <c r="H206" s="3" t="s">
        <v>4984</v>
      </c>
      <c r="I206" s="3" t="s">
        <v>5200</v>
      </c>
      <c r="J206" s="124"/>
      <c r="K206" s="124"/>
      <c r="M206" s="124"/>
      <c r="S206" s="9">
        <v>41.09</v>
      </c>
      <c r="T206" s="9">
        <v>19.128</v>
      </c>
      <c r="U206" s="9">
        <v>64.319999999999993</v>
      </c>
      <c r="V206" s="9">
        <v>71.31</v>
      </c>
      <c r="W206" s="9">
        <v>45.31</v>
      </c>
      <c r="X206" s="10">
        <v>189.58599597585541</v>
      </c>
      <c r="Y206" s="9">
        <v>210.26810462776706</v>
      </c>
      <c r="Z206" s="9">
        <v>133.28470020120673</v>
      </c>
      <c r="AA206" s="9">
        <v>133.28470020120673</v>
      </c>
      <c r="AB206" s="9">
        <v>145.92376659959814</v>
      </c>
      <c r="AC206" s="9">
        <v>112.60259154929572</v>
      </c>
      <c r="AD206" s="9">
        <v>93.069488933601676</v>
      </c>
      <c r="AE206" s="9">
        <v>93.069488933601676</v>
      </c>
      <c r="AF206" s="9">
        <v>31.023162977867184</v>
      </c>
    </row>
    <row r="207" spans="1:52">
      <c r="A207" s="3" t="s">
        <v>66</v>
      </c>
      <c r="B207" t="s">
        <v>20</v>
      </c>
      <c r="C207" t="s">
        <v>324</v>
      </c>
      <c r="D207" t="s">
        <v>5184</v>
      </c>
      <c r="E207" t="s">
        <v>5185</v>
      </c>
      <c r="F207" s="91" t="s">
        <v>4973</v>
      </c>
      <c r="G207" t="s">
        <v>4983</v>
      </c>
      <c r="H207" s="3" t="s">
        <v>4984</v>
      </c>
      <c r="I207" s="3" t="s">
        <v>5200</v>
      </c>
      <c r="J207" s="124"/>
      <c r="K207" s="124"/>
      <c r="M207" s="124"/>
      <c r="P207" s="9">
        <v>0</v>
      </c>
      <c r="Q207" s="9">
        <v>0</v>
      </c>
      <c r="R207" s="9">
        <v>0</v>
      </c>
      <c r="S207" s="9">
        <v>0</v>
      </c>
      <c r="T207" s="9">
        <v>0</v>
      </c>
      <c r="U207" s="9">
        <v>9.2039115666666635</v>
      </c>
      <c r="V207" s="9">
        <v>12.943472433333342</v>
      </c>
      <c r="W207" s="9">
        <v>26.397615999999996</v>
      </c>
      <c r="X207" s="10">
        <v>46.917884288747352</v>
      </c>
      <c r="Y207" s="9">
        <v>46.917884288747352</v>
      </c>
      <c r="Z207" s="9">
        <v>46.917884288747352</v>
      </c>
      <c r="AA207" s="9">
        <v>46.917884288747352</v>
      </c>
      <c r="AB207" s="9">
        <v>46.917884288747352</v>
      </c>
      <c r="AC207" s="9">
        <v>89.471314225053064</v>
      </c>
      <c r="AD207" s="9">
        <v>89.471314225053064</v>
      </c>
      <c r="AE207" s="9">
        <v>111.29358598726107</v>
      </c>
      <c r="AF207" s="9">
        <v>111.29358598726107</v>
      </c>
      <c r="AG207" s="9">
        <v>58.920133757961764</v>
      </c>
      <c r="AH207" s="9">
        <v>80.742405520169882</v>
      </c>
      <c r="AI207" s="9">
        <v>80.742405520169882</v>
      </c>
      <c r="AJ207" s="9">
        <v>78.560178343949062</v>
      </c>
      <c r="AK207" s="9">
        <v>78.560178343949062</v>
      </c>
      <c r="AL207" s="9">
        <v>14.184476645435236</v>
      </c>
    </row>
    <row r="208" spans="1:52">
      <c r="A208" s="3" t="s">
        <v>66</v>
      </c>
      <c r="B208" t="s">
        <v>21</v>
      </c>
      <c r="C208" t="s">
        <v>328</v>
      </c>
      <c r="D208" t="s">
        <v>72</v>
      </c>
      <c r="E208" t="s">
        <v>4974</v>
      </c>
      <c r="F208" s="91" t="s">
        <v>4973</v>
      </c>
      <c r="G208" t="s">
        <v>4983</v>
      </c>
      <c r="H208" s="3" t="s">
        <v>4984</v>
      </c>
      <c r="I208" s="3" t="s">
        <v>5200</v>
      </c>
      <c r="J208" s="124"/>
      <c r="K208" s="124"/>
      <c r="M208" s="124"/>
      <c r="R208" s="9">
        <v>0</v>
      </c>
      <c r="S208" s="9">
        <v>0</v>
      </c>
      <c r="T208" s="9">
        <v>230.51300000000001</v>
      </c>
      <c r="U208" s="9">
        <v>683.12693500724981</v>
      </c>
      <c r="V208" s="9">
        <v>1350.4244649927509</v>
      </c>
      <c r="W208" s="9">
        <v>1018.4710000000005</v>
      </c>
      <c r="X208" s="10">
        <v>651.90797139072902</v>
      </c>
      <c r="Y208" s="9">
        <v>1024.4268121854311</v>
      </c>
      <c r="Z208" s="9">
        <v>942.93831576158891</v>
      </c>
      <c r="AA208" s="9">
        <v>512.21340609271476</v>
      </c>
      <c r="AB208" s="9">
        <v>512.21340609271476</v>
      </c>
      <c r="AC208" s="9">
        <v>512.21340609271476</v>
      </c>
      <c r="AD208" s="9">
        <v>512.21340609271476</v>
      </c>
      <c r="AE208" s="9">
        <v>512.21340609271476</v>
      </c>
      <c r="AF208" s="9">
        <v>384.1600545695361</v>
      </c>
      <c r="AG208" s="9">
        <v>512.21340609271476</v>
      </c>
      <c r="AH208" s="9">
        <v>384.1600545695361</v>
      </c>
      <c r="AI208" s="9">
        <v>512.21340609271476</v>
      </c>
      <c r="AJ208" s="9">
        <v>512.21340609271476</v>
      </c>
      <c r="AK208" s="9">
        <v>512.21340609271476</v>
      </c>
      <c r="AL208" s="9">
        <v>512.21340609271476</v>
      </c>
      <c r="AM208" s="9">
        <v>512.21340609271476</v>
      </c>
      <c r="AN208" s="9">
        <v>512.21340609271476</v>
      </c>
      <c r="AO208" s="9">
        <v>512.21340609271476</v>
      </c>
      <c r="AP208" s="9">
        <v>512.21340609271476</v>
      </c>
      <c r="AQ208" s="9">
        <v>384.1600545695361</v>
      </c>
      <c r="AR208" s="9">
        <v>454.0073372185426</v>
      </c>
      <c r="AS208" s="9">
        <v>279.38913059602709</v>
      </c>
      <c r="AT208" s="9">
        <v>209.54184794701933</v>
      </c>
      <c r="AU208" s="9">
        <v>279.38913059602709</v>
      </c>
      <c r="AV208" s="9">
        <v>279.38913059602709</v>
      </c>
      <c r="AW208" s="9">
        <v>279.38913059602709</v>
      </c>
      <c r="AX208" s="9">
        <v>279.38913059602709</v>
      </c>
      <c r="AY208" s="9">
        <v>180.43881350993323</v>
      </c>
      <c r="AZ208" s="9">
        <v>0</v>
      </c>
    </row>
    <row r="209" spans="1:52">
      <c r="A209" s="3" t="s">
        <v>66</v>
      </c>
      <c r="B209" t="s">
        <v>21</v>
      </c>
      <c r="C209" t="s">
        <v>328</v>
      </c>
      <c r="D209" t="s">
        <v>74</v>
      </c>
      <c r="E209" t="s">
        <v>4975</v>
      </c>
      <c r="F209" s="91" t="s">
        <v>4973</v>
      </c>
      <c r="G209" t="s">
        <v>4983</v>
      </c>
      <c r="H209" s="3" t="s">
        <v>4984</v>
      </c>
      <c r="I209" s="3" t="s">
        <v>5200</v>
      </c>
      <c r="J209" s="124"/>
      <c r="K209" s="124"/>
      <c r="M209" s="124"/>
      <c r="R209" s="9">
        <v>102.85</v>
      </c>
      <c r="S209" s="9">
        <v>746.83</v>
      </c>
      <c r="T209" s="9">
        <v>640.82600000000002</v>
      </c>
      <c r="U209" s="9">
        <v>1400.69</v>
      </c>
      <c r="V209" s="9">
        <v>839.01</v>
      </c>
      <c r="W209" s="9">
        <v>2143.7600000000002</v>
      </c>
      <c r="X209" s="10">
        <v>1740.0485010060386</v>
      </c>
      <c r="Y209" s="9">
        <v>1929.8719738430625</v>
      </c>
      <c r="Z209" s="9">
        <v>1223.3068249496935</v>
      </c>
      <c r="AA209" s="9">
        <v>1223.3068249496935</v>
      </c>
      <c r="AB209" s="9">
        <v>1339.3100583501057</v>
      </c>
      <c r="AC209" s="9">
        <v>1033.4833521126757</v>
      </c>
      <c r="AD209" s="9">
        <v>854.20562776660006</v>
      </c>
      <c r="AE209" s="9">
        <v>854.20562776660006</v>
      </c>
      <c r="AF209" s="9">
        <v>284.73520925553299</v>
      </c>
    </row>
    <row r="210" spans="1:52">
      <c r="A210" s="3" t="s">
        <v>66</v>
      </c>
      <c r="B210" t="s">
        <v>21</v>
      </c>
      <c r="C210" t="s">
        <v>328</v>
      </c>
      <c r="D210" t="s">
        <v>5184</v>
      </c>
      <c r="E210" t="s">
        <v>5185</v>
      </c>
      <c r="F210" s="91" t="s">
        <v>4973</v>
      </c>
      <c r="G210" t="s">
        <v>4983</v>
      </c>
      <c r="H210" s="3" t="s">
        <v>4984</v>
      </c>
      <c r="I210" s="3" t="s">
        <v>5200</v>
      </c>
      <c r="J210" s="124"/>
      <c r="K210" s="124"/>
      <c r="M210" s="124"/>
      <c r="P210" s="9">
        <v>0</v>
      </c>
      <c r="Q210" s="9">
        <v>0</v>
      </c>
      <c r="R210" s="9">
        <v>0</v>
      </c>
      <c r="S210" s="9">
        <v>0</v>
      </c>
      <c r="T210" s="9">
        <v>0</v>
      </c>
      <c r="U210" s="9">
        <v>131.13061500000006</v>
      </c>
      <c r="V210" s="9">
        <v>312.64838499999985</v>
      </c>
      <c r="W210" s="9">
        <v>540.61000000000013</v>
      </c>
      <c r="X210" s="10">
        <v>427.94394267515935</v>
      </c>
      <c r="Y210" s="9">
        <v>427.94394267515935</v>
      </c>
      <c r="Z210" s="9">
        <v>427.94394267515935</v>
      </c>
      <c r="AA210" s="9">
        <v>427.94394267515935</v>
      </c>
      <c r="AB210" s="9">
        <v>427.94394267515935</v>
      </c>
      <c r="AC210" s="9">
        <v>816.07914649681527</v>
      </c>
      <c r="AD210" s="9">
        <v>816.07914649681527</v>
      </c>
      <c r="AE210" s="9">
        <v>1015.1228407643307</v>
      </c>
      <c r="AF210" s="9">
        <v>1015.1228407643307</v>
      </c>
      <c r="AG210" s="9">
        <v>537.41797452229287</v>
      </c>
      <c r="AH210" s="9">
        <v>736.46166878980932</v>
      </c>
      <c r="AI210" s="9">
        <v>736.46166878980932</v>
      </c>
      <c r="AJ210" s="9">
        <v>716.55729936305761</v>
      </c>
      <c r="AK210" s="9">
        <v>716.55729936305761</v>
      </c>
      <c r="AL210" s="9">
        <v>129.37840127388529</v>
      </c>
    </row>
    <row r="211" spans="1:52">
      <c r="A211" s="3" t="s">
        <v>66</v>
      </c>
      <c r="B211" t="s">
        <v>22</v>
      </c>
      <c r="C211" t="s">
        <v>332</v>
      </c>
      <c r="D211" t="s">
        <v>72</v>
      </c>
      <c r="E211" t="s">
        <v>4974</v>
      </c>
      <c r="F211" s="91" t="s">
        <v>4973</v>
      </c>
      <c r="G211" t="s">
        <v>4983</v>
      </c>
      <c r="H211" s="3" t="s">
        <v>4984</v>
      </c>
      <c r="I211" s="3" t="s">
        <v>5200</v>
      </c>
      <c r="J211" s="124"/>
      <c r="K211" s="124"/>
      <c r="M211" s="124"/>
      <c r="R211" s="9">
        <v>0</v>
      </c>
      <c r="S211" s="9">
        <v>0</v>
      </c>
      <c r="T211" s="9">
        <v>0</v>
      </c>
      <c r="U211" s="9">
        <v>0</v>
      </c>
      <c r="V211" s="9">
        <v>0</v>
      </c>
      <c r="W211" s="9">
        <v>0</v>
      </c>
      <c r="X211" s="10">
        <v>6208.0368741721923</v>
      </c>
      <c r="Y211" s="9">
        <v>9755.4865165562987</v>
      </c>
      <c r="Z211" s="9">
        <v>8979.4819072847658</v>
      </c>
      <c r="AA211" s="9">
        <v>4877.7432582781421</v>
      </c>
      <c r="AB211" s="9">
        <v>4877.7432582781421</v>
      </c>
      <c r="AC211" s="9">
        <v>4877.7432582781421</v>
      </c>
      <c r="AD211" s="9">
        <v>4877.7432582781421</v>
      </c>
      <c r="AE211" s="9">
        <v>4877.7432582781421</v>
      </c>
      <c r="AF211" s="9">
        <v>3658.307443708607</v>
      </c>
      <c r="AG211" s="9">
        <v>4877.7432582781421</v>
      </c>
      <c r="AH211" s="9">
        <v>3658.307443708607</v>
      </c>
      <c r="AI211" s="9">
        <v>4877.7432582781421</v>
      </c>
      <c r="AJ211" s="9">
        <v>4877.7432582781421</v>
      </c>
      <c r="AK211" s="9">
        <v>4877.7432582781421</v>
      </c>
      <c r="AL211" s="9">
        <v>4877.7432582781421</v>
      </c>
      <c r="AM211" s="9">
        <v>4877.7432582781421</v>
      </c>
      <c r="AN211" s="9">
        <v>4877.7432582781421</v>
      </c>
      <c r="AO211" s="9">
        <v>4877.7432582781421</v>
      </c>
      <c r="AP211" s="9">
        <v>4877.7432582781421</v>
      </c>
      <c r="AQ211" s="9">
        <v>3658.307443708607</v>
      </c>
      <c r="AR211" s="9">
        <v>4323.4542516556257</v>
      </c>
      <c r="AS211" s="9">
        <v>2660.5872317880858</v>
      </c>
      <c r="AT211" s="9">
        <v>1995.440423841055</v>
      </c>
      <c r="AU211" s="9">
        <v>2660.5872317880858</v>
      </c>
      <c r="AV211" s="9">
        <v>2660.5872317880858</v>
      </c>
      <c r="AW211" s="9">
        <v>2660.5872317880858</v>
      </c>
      <c r="AX211" s="9">
        <v>2660.5872317880858</v>
      </c>
      <c r="AY211" s="9">
        <v>1718.2959205297964</v>
      </c>
      <c r="AZ211" s="9">
        <v>0</v>
      </c>
    </row>
    <row r="212" spans="1:52">
      <c r="A212" s="3" t="s">
        <v>66</v>
      </c>
      <c r="B212" t="s">
        <v>22</v>
      </c>
      <c r="C212" t="s">
        <v>332</v>
      </c>
      <c r="D212" t="s">
        <v>74</v>
      </c>
      <c r="E212" t="s">
        <v>4975</v>
      </c>
      <c r="F212" s="91" t="s">
        <v>4973</v>
      </c>
      <c r="G212" t="s">
        <v>4983</v>
      </c>
      <c r="H212" s="3" t="s">
        <v>4984</v>
      </c>
      <c r="I212" s="3" t="s">
        <v>5200</v>
      </c>
      <c r="J212" s="124"/>
      <c r="K212" s="124"/>
      <c r="M212" s="124"/>
      <c r="R212" s="9">
        <v>486</v>
      </c>
      <c r="S212" s="9">
        <v>2350</v>
      </c>
      <c r="T212" s="9">
        <v>2280</v>
      </c>
      <c r="U212" s="9">
        <v>1298</v>
      </c>
      <c r="V212" s="9">
        <v>2118</v>
      </c>
      <c r="W212" s="9">
        <v>4314</v>
      </c>
      <c r="X212" s="10">
        <v>18953.144969818939</v>
      </c>
      <c r="Y212" s="9">
        <v>21020.760784708295</v>
      </c>
      <c r="Z212" s="9">
        <v>13324.635251509002</v>
      </c>
      <c r="AA212" s="9">
        <v>13324.635251509002</v>
      </c>
      <c r="AB212" s="9">
        <v>14588.178249497036</v>
      </c>
      <c r="AC212" s="9">
        <v>11257.019436619712</v>
      </c>
      <c r="AD212" s="9">
        <v>9304.271167002018</v>
      </c>
      <c r="AE212" s="9">
        <v>9304.271167002018</v>
      </c>
      <c r="AF212" s="9">
        <v>3101.4237223340015</v>
      </c>
    </row>
    <row r="213" spans="1:52">
      <c r="A213" s="3" t="s">
        <v>66</v>
      </c>
      <c r="B213" t="s">
        <v>22</v>
      </c>
      <c r="C213" t="s">
        <v>332</v>
      </c>
      <c r="D213" t="s">
        <v>5184</v>
      </c>
      <c r="E213" t="s">
        <v>5185</v>
      </c>
      <c r="F213" s="91" t="s">
        <v>4973</v>
      </c>
      <c r="G213" t="s">
        <v>4983</v>
      </c>
      <c r="H213" s="3" t="s">
        <v>4984</v>
      </c>
      <c r="I213" s="3" t="s">
        <v>5200</v>
      </c>
      <c r="J213" s="124"/>
      <c r="K213" s="124"/>
      <c r="M213" s="124"/>
      <c r="P213" s="9">
        <v>0</v>
      </c>
      <c r="Q213" s="9">
        <v>0</v>
      </c>
      <c r="R213" s="9">
        <v>0</v>
      </c>
      <c r="S213" s="9">
        <v>0</v>
      </c>
      <c r="T213" s="9">
        <v>0</v>
      </c>
      <c r="U213" s="9">
        <v>0</v>
      </c>
      <c r="V213" s="9">
        <v>31318</v>
      </c>
      <c r="W213" s="9">
        <v>0</v>
      </c>
      <c r="X213" s="10">
        <v>640.39872611464966</v>
      </c>
      <c r="Y213" s="9">
        <v>640.39872611464966</v>
      </c>
      <c r="Z213" s="9">
        <v>640.39872611464966</v>
      </c>
      <c r="AA213" s="9">
        <v>640.39872611464966</v>
      </c>
      <c r="AB213" s="9">
        <v>640.39872611464966</v>
      </c>
      <c r="AC213" s="9">
        <v>1221.2254777070061</v>
      </c>
      <c r="AD213" s="9">
        <v>1221.2254777070061</v>
      </c>
      <c r="AE213" s="9">
        <v>1519.0853503184701</v>
      </c>
      <c r="AF213" s="9">
        <v>1519.0853503184701</v>
      </c>
      <c r="AG213" s="9">
        <v>804.22165605095506</v>
      </c>
      <c r="AH213" s="9">
        <v>1102.0815286624206</v>
      </c>
      <c r="AI213" s="9">
        <v>1102.0815286624206</v>
      </c>
      <c r="AJ213" s="9">
        <v>1072.295541401274</v>
      </c>
      <c r="AK213" s="9">
        <v>1072.295541401274</v>
      </c>
      <c r="AL213" s="9">
        <v>193.60891719745209</v>
      </c>
    </row>
    <row r="214" spans="1:52">
      <c r="A214" s="3" t="s">
        <v>66</v>
      </c>
      <c r="B214" t="s">
        <v>23</v>
      </c>
      <c r="C214" t="s">
        <v>336</v>
      </c>
      <c r="D214" t="s">
        <v>72</v>
      </c>
      <c r="E214" t="s">
        <v>4974</v>
      </c>
      <c r="F214" s="91" t="s">
        <v>4973</v>
      </c>
      <c r="G214" t="s">
        <v>4983</v>
      </c>
      <c r="H214" s="3" t="s">
        <v>4984</v>
      </c>
      <c r="I214" s="3" t="s">
        <v>5200</v>
      </c>
      <c r="J214" s="124"/>
      <c r="K214" s="124"/>
      <c r="M214" s="124"/>
      <c r="R214" s="9">
        <v>252</v>
      </c>
      <c r="S214" s="9">
        <v>5652</v>
      </c>
      <c r="T214" s="9">
        <v>7524</v>
      </c>
      <c r="U214" s="9">
        <v>14649</v>
      </c>
      <c r="V214" s="9">
        <v>21549</v>
      </c>
      <c r="W214" s="9">
        <v>24461</v>
      </c>
      <c r="X214" s="10">
        <v>1281.3492273730697</v>
      </c>
      <c r="Y214" s="9">
        <v>2013.5487858719662</v>
      </c>
      <c r="Z214" s="9">
        <v>1853.3801324503304</v>
      </c>
      <c r="AA214" s="9">
        <v>1006.7743929359816</v>
      </c>
      <c r="AB214" s="9">
        <v>1006.7743929359816</v>
      </c>
      <c r="AC214" s="9">
        <v>1006.7743929359816</v>
      </c>
      <c r="AD214" s="9">
        <v>1006.7743929359816</v>
      </c>
      <c r="AE214" s="9">
        <v>1006.7743929359816</v>
      </c>
      <c r="AF214" s="9">
        <v>755.08079470198629</v>
      </c>
      <c r="AG214" s="9">
        <v>1006.7743929359816</v>
      </c>
      <c r="AH214" s="9">
        <v>755.08079470198629</v>
      </c>
      <c r="AI214" s="9">
        <v>1006.7743929359816</v>
      </c>
      <c r="AJ214" s="9">
        <v>1006.7743929359816</v>
      </c>
      <c r="AK214" s="9">
        <v>1006.7743929359816</v>
      </c>
      <c r="AL214" s="9">
        <v>1006.7743929359816</v>
      </c>
      <c r="AM214" s="9">
        <v>1006.7743929359816</v>
      </c>
      <c r="AN214" s="9">
        <v>1006.7743929359816</v>
      </c>
      <c r="AO214" s="9">
        <v>1006.7743929359816</v>
      </c>
      <c r="AP214" s="9">
        <v>1006.7743929359816</v>
      </c>
      <c r="AQ214" s="9">
        <v>755.08079470198629</v>
      </c>
      <c r="AR214" s="9">
        <v>892.36821192052901</v>
      </c>
      <c r="AS214" s="9">
        <v>549.14966887417347</v>
      </c>
      <c r="AT214" s="9">
        <v>411.86225165562814</v>
      </c>
      <c r="AU214" s="9">
        <v>549.14966887417347</v>
      </c>
      <c r="AV214" s="9">
        <v>549.14966887417347</v>
      </c>
      <c r="AW214" s="9">
        <v>549.14966887417347</v>
      </c>
      <c r="AX214" s="9">
        <v>549.14966887417347</v>
      </c>
      <c r="AY214" s="9">
        <v>354.65916114790184</v>
      </c>
      <c r="AZ214" s="9">
        <v>0</v>
      </c>
    </row>
    <row r="215" spans="1:52">
      <c r="A215" s="3" t="s">
        <v>66</v>
      </c>
      <c r="B215" t="s">
        <v>23</v>
      </c>
      <c r="C215" t="s">
        <v>336</v>
      </c>
      <c r="D215" t="s">
        <v>74</v>
      </c>
      <c r="E215" t="s">
        <v>4975</v>
      </c>
      <c r="F215" s="91" t="s">
        <v>4973</v>
      </c>
      <c r="G215" t="s">
        <v>4983</v>
      </c>
      <c r="H215" s="3" t="s">
        <v>4984</v>
      </c>
      <c r="I215" s="3" t="s">
        <v>5200</v>
      </c>
      <c r="J215" s="124"/>
      <c r="K215" s="124"/>
      <c r="M215" s="124"/>
      <c r="R215" s="9">
        <v>1182</v>
      </c>
      <c r="S215" s="9">
        <v>3500</v>
      </c>
      <c r="T215" s="9">
        <v>5703</v>
      </c>
      <c r="U215" s="9">
        <v>14781</v>
      </c>
      <c r="V215" s="9">
        <v>7458</v>
      </c>
      <c r="W215" s="9">
        <v>12675</v>
      </c>
      <c r="X215" s="10">
        <v>4930.2464788732459</v>
      </c>
      <c r="Y215" s="9">
        <v>5468.0915492957865</v>
      </c>
      <c r="Z215" s="9">
        <v>3466.1126760563243</v>
      </c>
      <c r="AA215" s="9">
        <v>3466.1126760563243</v>
      </c>
      <c r="AB215" s="9">
        <v>3794.7957746479015</v>
      </c>
      <c r="AC215" s="9">
        <v>2928.2676056338014</v>
      </c>
      <c r="AD215" s="9">
        <v>2420.3028169014101</v>
      </c>
      <c r="AE215" s="9">
        <v>2420.3028169014101</v>
      </c>
      <c r="AF215" s="9">
        <v>806.76760563380219</v>
      </c>
    </row>
    <row r="216" spans="1:52">
      <c r="A216" s="3" t="s">
        <v>66</v>
      </c>
      <c r="B216" t="s">
        <v>23</v>
      </c>
      <c r="C216" t="s">
        <v>336</v>
      </c>
      <c r="D216" t="s">
        <v>5184</v>
      </c>
      <c r="E216" t="s">
        <v>5185</v>
      </c>
      <c r="F216" s="91" t="s">
        <v>4973</v>
      </c>
      <c r="G216" t="s">
        <v>4983</v>
      </c>
      <c r="H216" s="3" t="s">
        <v>4984</v>
      </c>
      <c r="I216" s="3" t="s">
        <v>5200</v>
      </c>
      <c r="J216" s="124"/>
      <c r="K216" s="124"/>
      <c r="M216" s="124"/>
      <c r="P216" s="9">
        <v>0</v>
      </c>
      <c r="Q216" s="9">
        <v>0</v>
      </c>
      <c r="R216" s="9">
        <v>0</v>
      </c>
      <c r="S216" s="9">
        <v>0</v>
      </c>
      <c r="T216" s="9">
        <v>3336</v>
      </c>
      <c r="U216" s="9">
        <v>2826</v>
      </c>
      <c r="V216" s="9">
        <v>3735</v>
      </c>
      <c r="W216" s="9">
        <v>10878</v>
      </c>
      <c r="X216" s="10">
        <v>3409.7356687898096</v>
      </c>
      <c r="Y216" s="9">
        <v>3409.7356687898096</v>
      </c>
      <c r="Z216" s="9">
        <v>3409.7356687898096</v>
      </c>
      <c r="AA216" s="9">
        <v>3409.7356687898096</v>
      </c>
      <c r="AB216" s="9">
        <v>3409.7356687898096</v>
      </c>
      <c r="AC216" s="9">
        <v>6502.2866242038217</v>
      </c>
      <c r="AD216" s="9">
        <v>6502.2866242038217</v>
      </c>
      <c r="AE216" s="9">
        <v>8088.2101910827978</v>
      </c>
      <c r="AF216" s="9">
        <v>8088.2101910827978</v>
      </c>
      <c r="AG216" s="9">
        <v>4281.9936305732472</v>
      </c>
      <c r="AH216" s="9">
        <v>5867.9171974522324</v>
      </c>
      <c r="AI216" s="9">
        <v>5867.9171974522324</v>
      </c>
      <c r="AJ216" s="9">
        <v>5709.3248407643332</v>
      </c>
      <c r="AK216" s="9">
        <v>5709.3248407643332</v>
      </c>
      <c r="AL216" s="9">
        <v>1030.850318471337</v>
      </c>
    </row>
    <row r="217" spans="1:52">
      <c r="A217" s="3" t="s">
        <v>66</v>
      </c>
      <c r="B217" t="s">
        <v>24</v>
      </c>
      <c r="C217" t="s">
        <v>340</v>
      </c>
      <c r="D217" t="s">
        <v>72</v>
      </c>
      <c r="E217" t="s">
        <v>4974</v>
      </c>
      <c r="F217" s="91" t="s">
        <v>4973</v>
      </c>
      <c r="G217" t="s">
        <v>4983</v>
      </c>
      <c r="H217" s="3" t="s">
        <v>4984</v>
      </c>
      <c r="I217" s="3" t="s">
        <v>5200</v>
      </c>
      <c r="J217" s="124"/>
      <c r="K217" s="124"/>
      <c r="M217" s="124"/>
      <c r="R217" s="9">
        <v>0</v>
      </c>
      <c r="S217" s="9">
        <v>0</v>
      </c>
      <c r="T217" s="9">
        <v>0</v>
      </c>
      <c r="U217" s="9">
        <v>0</v>
      </c>
      <c r="V217" s="9">
        <v>0</v>
      </c>
      <c r="W217" s="9">
        <v>0</v>
      </c>
      <c r="X217" s="10">
        <v>0</v>
      </c>
      <c r="Y217" s="9">
        <v>0</v>
      </c>
      <c r="Z217" s="9">
        <v>0</v>
      </c>
      <c r="AA217" s="9">
        <v>2344.7498054474722</v>
      </c>
      <c r="AB217" s="9">
        <v>4220.549649805449</v>
      </c>
      <c r="AC217" s="9">
        <v>1172.3749027237332</v>
      </c>
      <c r="AD217" s="9">
        <v>0</v>
      </c>
      <c r="AE217" s="9">
        <v>0</v>
      </c>
      <c r="AF217" s="9">
        <v>0</v>
      </c>
      <c r="AG217" s="9">
        <v>0</v>
      </c>
      <c r="AH217" s="9">
        <v>0</v>
      </c>
      <c r="AI217" s="9">
        <v>0</v>
      </c>
      <c r="AJ217" s="9">
        <v>0</v>
      </c>
      <c r="AK217" s="9">
        <v>0</v>
      </c>
      <c r="AL217" s="9">
        <v>0</v>
      </c>
      <c r="AM217" s="9">
        <v>0</v>
      </c>
      <c r="AN217" s="9">
        <v>0</v>
      </c>
      <c r="AO217" s="9">
        <v>0</v>
      </c>
      <c r="AP217" s="9">
        <v>0</v>
      </c>
      <c r="AQ217" s="9">
        <v>0</v>
      </c>
      <c r="AR217" s="9">
        <v>0</v>
      </c>
      <c r="AS217" s="9">
        <v>2813.6997665369681</v>
      </c>
      <c r="AT217" s="9">
        <v>3915.7321750972756</v>
      </c>
      <c r="AU217" s="9">
        <v>8487.9942957198637</v>
      </c>
      <c r="AV217" s="9">
        <v>8487.9942957198637</v>
      </c>
      <c r="AW217" s="9">
        <v>8487.9942957198637</v>
      </c>
      <c r="AX217" s="9">
        <v>8487.9942957198637</v>
      </c>
      <c r="AY217" s="9">
        <v>8487.9942957198637</v>
      </c>
      <c r="AZ217" s="9">
        <v>3352.9922217898829</v>
      </c>
    </row>
    <row r="218" spans="1:52">
      <c r="A218" s="3" t="s">
        <v>66</v>
      </c>
      <c r="B218" t="s">
        <v>24</v>
      </c>
      <c r="C218" t="s">
        <v>340</v>
      </c>
      <c r="D218" t="s">
        <v>74</v>
      </c>
      <c r="E218" t="s">
        <v>4975</v>
      </c>
      <c r="F218" s="91" t="s">
        <v>4973</v>
      </c>
      <c r="G218" t="s">
        <v>4983</v>
      </c>
      <c r="H218" s="3" t="s">
        <v>4984</v>
      </c>
      <c r="I218" s="3" t="s">
        <v>5200</v>
      </c>
      <c r="J218" s="124"/>
      <c r="K218" s="124"/>
      <c r="M218" s="124"/>
      <c r="T218" s="9">
        <v>0</v>
      </c>
      <c r="U218" s="9">
        <v>0</v>
      </c>
      <c r="V218" s="9">
        <v>0</v>
      </c>
      <c r="W218" s="9">
        <v>0</v>
      </c>
      <c r="X218" s="10">
        <v>0</v>
      </c>
      <c r="Y218" s="9">
        <v>0</v>
      </c>
      <c r="Z218" s="9">
        <v>0</v>
      </c>
      <c r="AA218" s="9">
        <v>0</v>
      </c>
      <c r="AB218" s="9">
        <v>0</v>
      </c>
      <c r="AC218" s="9">
        <v>5667.0758480000004</v>
      </c>
      <c r="AD218" s="9">
        <v>5460.0593786666795</v>
      </c>
      <c r="AE218" s="9">
        <v>5434.1823200000008</v>
      </c>
      <c r="AF218" s="9">
        <v>6624.5270186666803</v>
      </c>
      <c r="AG218" s="9">
        <v>7788.9946586666802</v>
      </c>
      <c r="AH218" s="9">
        <v>6676.2811359999996</v>
      </c>
      <c r="AI218" s="9">
        <v>1164.4676400000001</v>
      </c>
    </row>
    <row r="219" spans="1:52">
      <c r="A219" s="3" t="s">
        <v>66</v>
      </c>
      <c r="B219" t="s">
        <v>24</v>
      </c>
      <c r="C219" t="s">
        <v>340</v>
      </c>
      <c r="D219" t="s">
        <v>5184</v>
      </c>
      <c r="E219" t="s">
        <v>5185</v>
      </c>
      <c r="F219" s="91" t="s">
        <v>4973</v>
      </c>
      <c r="G219" t="s">
        <v>4983</v>
      </c>
      <c r="H219" s="3" t="s">
        <v>4984</v>
      </c>
      <c r="I219" s="3" t="s">
        <v>5200</v>
      </c>
      <c r="J219" s="124"/>
      <c r="K219" s="124"/>
      <c r="M219" s="124"/>
      <c r="P219" s="9">
        <v>0</v>
      </c>
      <c r="Q219" s="9">
        <v>0</v>
      </c>
      <c r="R219" s="9">
        <v>0</v>
      </c>
      <c r="S219" s="9">
        <v>0</v>
      </c>
      <c r="T219" s="9">
        <v>0</v>
      </c>
      <c r="U219" s="9">
        <v>0</v>
      </c>
      <c r="V219" s="9">
        <v>0</v>
      </c>
      <c r="W219" s="9">
        <v>0</v>
      </c>
      <c r="X219" s="10">
        <v>0</v>
      </c>
      <c r="Y219" s="9">
        <v>0</v>
      </c>
      <c r="Z219" s="9">
        <v>0</v>
      </c>
      <c r="AA219" s="9">
        <v>0</v>
      </c>
      <c r="AB219" s="9">
        <v>0</v>
      </c>
      <c r="AC219" s="9">
        <v>0</v>
      </c>
      <c r="AD219" s="9">
        <v>0</v>
      </c>
      <c r="AE219" s="9">
        <v>0</v>
      </c>
      <c r="AF219" s="9">
        <v>0</v>
      </c>
      <c r="AG219" s="9">
        <v>0</v>
      </c>
      <c r="AH219" s="9">
        <v>0</v>
      </c>
      <c r="AI219" s="9">
        <v>0</v>
      </c>
      <c r="AJ219" s="9">
        <v>0</v>
      </c>
      <c r="AK219" s="9">
        <v>0</v>
      </c>
      <c r="AL219" s="9">
        <v>10340.94423529411</v>
      </c>
      <c r="AM219" s="9">
        <v>10340.94423529411</v>
      </c>
      <c r="AN219" s="9">
        <v>8617.4535294117777</v>
      </c>
    </row>
    <row r="220" spans="1:52">
      <c r="A220" s="3" t="s">
        <v>66</v>
      </c>
      <c r="B220" t="s">
        <v>25</v>
      </c>
      <c r="C220" t="s">
        <v>344</v>
      </c>
      <c r="D220" t="s">
        <v>72</v>
      </c>
      <c r="E220" t="s">
        <v>4974</v>
      </c>
      <c r="F220" s="91" t="s">
        <v>4973</v>
      </c>
      <c r="G220" t="s">
        <v>4983</v>
      </c>
      <c r="H220" s="3" t="s">
        <v>4984</v>
      </c>
      <c r="I220" s="3" t="s">
        <v>5200</v>
      </c>
      <c r="J220" s="124"/>
      <c r="K220" s="124"/>
      <c r="M220" s="124"/>
      <c r="R220" s="9">
        <v>0</v>
      </c>
      <c r="S220" s="9">
        <v>0</v>
      </c>
      <c r="T220" s="9">
        <v>0</v>
      </c>
      <c r="U220" s="9">
        <v>0</v>
      </c>
      <c r="V220" s="9">
        <v>0</v>
      </c>
      <c r="W220" s="9">
        <v>0</v>
      </c>
      <c r="X220" s="10">
        <v>0</v>
      </c>
      <c r="Y220" s="9">
        <v>0</v>
      </c>
      <c r="Z220" s="9">
        <v>0</v>
      </c>
      <c r="AA220" s="9">
        <v>1516.6217898832692</v>
      </c>
      <c r="AB220" s="9">
        <v>2729.9192217898844</v>
      </c>
      <c r="AC220" s="9">
        <v>758.3108949416328</v>
      </c>
      <c r="AD220" s="9">
        <v>0</v>
      </c>
      <c r="AE220" s="9">
        <v>0</v>
      </c>
      <c r="AF220" s="9">
        <v>0</v>
      </c>
      <c r="AG220" s="9">
        <v>0</v>
      </c>
      <c r="AH220" s="9">
        <v>0</v>
      </c>
      <c r="AI220" s="9">
        <v>0</v>
      </c>
      <c r="AJ220" s="9">
        <v>0</v>
      </c>
      <c r="AK220" s="9">
        <v>0</v>
      </c>
      <c r="AL220" s="9">
        <v>0</v>
      </c>
      <c r="AM220" s="9">
        <v>0</v>
      </c>
      <c r="AN220" s="9">
        <v>0</v>
      </c>
      <c r="AO220" s="9">
        <v>0</v>
      </c>
      <c r="AP220" s="9">
        <v>0</v>
      </c>
      <c r="AQ220" s="9">
        <v>0</v>
      </c>
      <c r="AR220" s="9">
        <v>0</v>
      </c>
      <c r="AS220" s="9">
        <v>1819.9461478599242</v>
      </c>
      <c r="AT220" s="9">
        <v>2532.7583891050581</v>
      </c>
      <c r="AU220" s="9">
        <v>5490.1708793774451</v>
      </c>
      <c r="AV220" s="9">
        <v>5490.1708793774451</v>
      </c>
      <c r="AW220" s="9">
        <v>5490.1708793774451</v>
      </c>
      <c r="AX220" s="9">
        <v>5490.1708793774451</v>
      </c>
      <c r="AY220" s="9">
        <v>5490.1708793774451</v>
      </c>
      <c r="AZ220" s="9">
        <v>2168.7691595330739</v>
      </c>
    </row>
    <row r="221" spans="1:52">
      <c r="A221" s="3" t="s">
        <v>66</v>
      </c>
      <c r="B221" t="s">
        <v>25</v>
      </c>
      <c r="C221" t="s">
        <v>344</v>
      </c>
      <c r="D221" t="s">
        <v>74</v>
      </c>
      <c r="E221" t="s">
        <v>4975</v>
      </c>
      <c r="F221" s="91" t="s">
        <v>4973</v>
      </c>
      <c r="G221" t="s">
        <v>4983</v>
      </c>
      <c r="H221" s="3" t="s">
        <v>4984</v>
      </c>
      <c r="I221" s="3" t="s">
        <v>5200</v>
      </c>
      <c r="J221" s="124"/>
      <c r="K221" s="124"/>
      <c r="M221" s="124"/>
      <c r="T221" s="9">
        <v>0</v>
      </c>
      <c r="U221" s="9">
        <v>0</v>
      </c>
      <c r="V221" s="9">
        <v>0</v>
      </c>
      <c r="W221" s="9">
        <v>0</v>
      </c>
      <c r="X221" s="10">
        <v>0</v>
      </c>
      <c r="Y221" s="9">
        <v>0</v>
      </c>
      <c r="Z221" s="9">
        <v>0</v>
      </c>
      <c r="AA221" s="9">
        <v>0</v>
      </c>
      <c r="AB221" s="9">
        <v>0</v>
      </c>
      <c r="AC221" s="9">
        <v>3930.4417639999997</v>
      </c>
      <c r="AD221" s="9">
        <v>3786.8639826666754</v>
      </c>
      <c r="AE221" s="9">
        <v>3768.9167600000001</v>
      </c>
      <c r="AF221" s="9">
        <v>4594.4890026666753</v>
      </c>
      <c r="AG221" s="9">
        <v>5402.1140226666748</v>
      </c>
      <c r="AH221" s="9">
        <v>4630.3834479999996</v>
      </c>
      <c r="AI221" s="9">
        <v>807.62501999999995</v>
      </c>
    </row>
    <row r="222" spans="1:52">
      <c r="A222" s="3" t="s">
        <v>66</v>
      </c>
      <c r="B222" t="s">
        <v>25</v>
      </c>
      <c r="C222" t="s">
        <v>344</v>
      </c>
      <c r="D222" t="s">
        <v>5184</v>
      </c>
      <c r="E222" t="s">
        <v>5185</v>
      </c>
      <c r="F222" s="91" t="s">
        <v>4973</v>
      </c>
      <c r="G222" t="s">
        <v>4983</v>
      </c>
      <c r="H222" s="3" t="s">
        <v>4984</v>
      </c>
      <c r="I222" s="3" t="s">
        <v>5200</v>
      </c>
      <c r="J222" s="124"/>
      <c r="K222" s="124"/>
      <c r="M222" s="124"/>
      <c r="P222" s="9">
        <v>0</v>
      </c>
      <c r="Q222" s="9">
        <v>0</v>
      </c>
      <c r="R222" s="9">
        <v>0</v>
      </c>
      <c r="S222" s="9">
        <v>0</v>
      </c>
      <c r="T222" s="9">
        <v>0</v>
      </c>
      <c r="U222" s="9">
        <v>0</v>
      </c>
      <c r="V222" s="9">
        <v>0</v>
      </c>
      <c r="W222" s="9">
        <v>0</v>
      </c>
      <c r="X222" s="10">
        <v>0</v>
      </c>
      <c r="Y222" s="9">
        <v>0</v>
      </c>
      <c r="Z222" s="9">
        <v>0</v>
      </c>
      <c r="AA222" s="9">
        <v>0</v>
      </c>
      <c r="AB222" s="9">
        <v>0</v>
      </c>
      <c r="AC222" s="9">
        <v>0</v>
      </c>
      <c r="AD222" s="9">
        <v>0</v>
      </c>
      <c r="AE222" s="9">
        <v>0</v>
      </c>
      <c r="AF222" s="9">
        <v>0</v>
      </c>
      <c r="AG222" s="9">
        <v>0</v>
      </c>
      <c r="AH222" s="9">
        <v>0</v>
      </c>
      <c r="AI222" s="9">
        <v>0</v>
      </c>
      <c r="AJ222" s="9">
        <v>0</v>
      </c>
      <c r="AK222" s="9">
        <v>0</v>
      </c>
      <c r="AL222" s="9">
        <v>8241.5244705882287</v>
      </c>
      <c r="AM222" s="9">
        <v>8241.5244705882287</v>
      </c>
      <c r="AN222" s="9">
        <v>6867.9370588235406</v>
      </c>
    </row>
    <row r="223" spans="1:52">
      <c r="A223" s="3" t="s">
        <v>66</v>
      </c>
      <c r="B223" t="s">
        <v>26</v>
      </c>
      <c r="C223" t="s">
        <v>348</v>
      </c>
      <c r="D223" t="s">
        <v>72</v>
      </c>
      <c r="E223" t="s">
        <v>4974</v>
      </c>
      <c r="F223" s="91" t="s">
        <v>4973</v>
      </c>
      <c r="G223" t="s">
        <v>4983</v>
      </c>
      <c r="H223" s="3" t="s">
        <v>4984</v>
      </c>
      <c r="I223" s="3" t="s">
        <v>5200</v>
      </c>
      <c r="J223" s="124"/>
      <c r="K223" s="124"/>
      <c r="M223" s="124"/>
      <c r="R223" s="9">
        <v>0</v>
      </c>
      <c r="S223" s="9">
        <v>0</v>
      </c>
      <c r="T223" s="9">
        <v>0</v>
      </c>
      <c r="U223" s="9">
        <v>0</v>
      </c>
      <c r="V223" s="9">
        <v>0</v>
      </c>
      <c r="W223" s="9">
        <v>0</v>
      </c>
      <c r="X223" s="10">
        <v>163.17880794702003</v>
      </c>
      <c r="Y223" s="9">
        <v>256.42384105960281</v>
      </c>
      <c r="Z223" s="9">
        <v>236.02649006622508</v>
      </c>
      <c r="AA223" s="9">
        <v>128.21192052980123</v>
      </c>
      <c r="AB223" s="9">
        <v>128.21192052980123</v>
      </c>
      <c r="AC223" s="9">
        <v>128.21192052980123</v>
      </c>
      <c r="AD223" s="9">
        <v>128.21192052980123</v>
      </c>
      <c r="AE223" s="9">
        <v>128.21192052980123</v>
      </c>
      <c r="AF223" s="9">
        <v>96.158940397350932</v>
      </c>
      <c r="AG223" s="9">
        <v>128.21192052980123</v>
      </c>
      <c r="AH223" s="9">
        <v>96.158940397350932</v>
      </c>
      <c r="AI223" s="9">
        <v>128.21192052980123</v>
      </c>
      <c r="AJ223" s="9">
        <v>128.21192052980123</v>
      </c>
      <c r="AK223" s="9">
        <v>128.21192052980123</v>
      </c>
      <c r="AL223" s="9">
        <v>128.21192052980123</v>
      </c>
      <c r="AM223" s="9">
        <v>128.21192052980123</v>
      </c>
      <c r="AN223" s="9">
        <v>128.21192052980123</v>
      </c>
      <c r="AO223" s="9">
        <v>128.21192052980123</v>
      </c>
      <c r="AP223" s="9">
        <v>128.21192052980123</v>
      </c>
      <c r="AQ223" s="9">
        <v>96.158940397350932</v>
      </c>
      <c r="AR223" s="9">
        <v>113.64238410596016</v>
      </c>
      <c r="AS223" s="9">
        <v>69.933774834437244</v>
      </c>
      <c r="AT223" s="9">
        <v>52.450331125827688</v>
      </c>
      <c r="AU223" s="9">
        <v>69.933774834437244</v>
      </c>
      <c r="AV223" s="9">
        <v>69.933774834437244</v>
      </c>
      <c r="AW223" s="9">
        <v>69.933774834437244</v>
      </c>
      <c r="AX223" s="9">
        <v>69.933774834437244</v>
      </c>
      <c r="AY223" s="9">
        <v>45.165562913907152</v>
      </c>
      <c r="AZ223" s="9">
        <v>0</v>
      </c>
    </row>
    <row r="224" spans="1:52">
      <c r="A224" s="3" t="s">
        <v>66</v>
      </c>
      <c r="B224" t="s">
        <v>26</v>
      </c>
      <c r="C224" t="s">
        <v>348</v>
      </c>
      <c r="D224" t="s">
        <v>74</v>
      </c>
      <c r="E224" t="s">
        <v>4975</v>
      </c>
      <c r="F224" s="91" t="s">
        <v>4973</v>
      </c>
      <c r="G224" t="s">
        <v>4983</v>
      </c>
      <c r="H224" s="3" t="s">
        <v>4984</v>
      </c>
      <c r="I224" s="3" t="s">
        <v>5200</v>
      </c>
      <c r="J224" s="124"/>
      <c r="K224" s="124"/>
      <c r="M224" s="124"/>
      <c r="T224" s="9">
        <v>0</v>
      </c>
      <c r="U224" s="9">
        <v>0</v>
      </c>
      <c r="V224" s="9">
        <v>0</v>
      </c>
      <c r="W224" s="9">
        <v>0</v>
      </c>
      <c r="X224" s="10">
        <v>438.22937625754588</v>
      </c>
      <c r="Y224" s="9">
        <v>486.036217303824</v>
      </c>
      <c r="Z224" s="9">
        <v>308.08853118712153</v>
      </c>
      <c r="AA224" s="9">
        <v>308.08853118712153</v>
      </c>
      <c r="AB224" s="9">
        <v>337.30382293762699</v>
      </c>
      <c r="AC224" s="9">
        <v>260.28169014084494</v>
      </c>
      <c r="AD224" s="9">
        <v>215.13078470824962</v>
      </c>
      <c r="AE224" s="9">
        <v>215.13078470824962</v>
      </c>
      <c r="AF224" s="9">
        <v>71.710261569416446</v>
      </c>
    </row>
    <row r="225" spans="1:76">
      <c r="A225" s="3" t="s">
        <v>66</v>
      </c>
      <c r="B225" t="s">
        <v>26</v>
      </c>
      <c r="C225" t="s">
        <v>348</v>
      </c>
      <c r="D225" t="s">
        <v>5184</v>
      </c>
      <c r="E225" t="s">
        <v>5185</v>
      </c>
      <c r="F225" s="91" t="s">
        <v>4973</v>
      </c>
      <c r="G225" t="s">
        <v>4983</v>
      </c>
      <c r="H225" s="3" t="s">
        <v>4984</v>
      </c>
      <c r="I225" s="3" t="s">
        <v>5200</v>
      </c>
      <c r="J225" s="124"/>
      <c r="K225" s="124"/>
      <c r="M225" s="124"/>
      <c r="P225" s="9">
        <v>0</v>
      </c>
      <c r="Q225" s="9">
        <v>0</v>
      </c>
      <c r="R225" s="9">
        <v>0</v>
      </c>
      <c r="S225" s="9">
        <v>0</v>
      </c>
      <c r="T225" s="9">
        <v>0</v>
      </c>
      <c r="U225" s="9">
        <v>0</v>
      </c>
      <c r="V225" s="9">
        <v>0</v>
      </c>
      <c r="W225" s="9">
        <v>0</v>
      </c>
      <c r="X225" s="10">
        <v>93.121019108280279</v>
      </c>
      <c r="Y225" s="9">
        <v>93.121019108280279</v>
      </c>
      <c r="Z225" s="9">
        <v>93.121019108280279</v>
      </c>
      <c r="AA225" s="9">
        <v>93.121019108280279</v>
      </c>
      <c r="AB225" s="9">
        <v>93.121019108280279</v>
      </c>
      <c r="AC225" s="9">
        <v>177.5796178343949</v>
      </c>
      <c r="AD225" s="9">
        <v>177.5796178343949</v>
      </c>
      <c r="AE225" s="9">
        <v>220.89171974522279</v>
      </c>
      <c r="AF225" s="9">
        <v>220.89171974522279</v>
      </c>
      <c r="AG225" s="9">
        <v>116.94267515923565</v>
      </c>
      <c r="AH225" s="9">
        <v>160.25477707006377</v>
      </c>
      <c r="AI225" s="9">
        <v>160.25477707006377</v>
      </c>
      <c r="AJ225" s="9">
        <v>155.92356687898095</v>
      </c>
      <c r="AK225" s="9">
        <v>155.92356687898095</v>
      </c>
      <c r="AL225" s="9">
        <v>28.152866242038204</v>
      </c>
    </row>
    <row r="226" spans="1:76">
      <c r="A226" s="3" t="s">
        <v>66</v>
      </c>
      <c r="B226" t="s">
        <v>27</v>
      </c>
      <c r="C226" t="s">
        <v>352</v>
      </c>
      <c r="D226" t="s">
        <v>72</v>
      </c>
      <c r="E226" t="s">
        <v>4974</v>
      </c>
      <c r="F226" s="91" t="s">
        <v>4973</v>
      </c>
      <c r="G226" t="s">
        <v>4983</v>
      </c>
      <c r="H226" s="3" t="s">
        <v>4984</v>
      </c>
      <c r="I226" s="3" t="s">
        <v>5200</v>
      </c>
      <c r="J226" s="124"/>
      <c r="K226" s="124"/>
      <c r="M226" s="124"/>
      <c r="R226" s="9">
        <v>0</v>
      </c>
      <c r="S226" s="9">
        <v>0</v>
      </c>
      <c r="T226" s="9">
        <v>0</v>
      </c>
      <c r="U226" s="9">
        <v>0</v>
      </c>
      <c r="V226" s="9">
        <v>0</v>
      </c>
      <c r="W226" s="9">
        <v>0</v>
      </c>
      <c r="X226" s="10">
        <v>10.483002207505528</v>
      </c>
      <c r="Y226" s="9">
        <v>16.47328918322297</v>
      </c>
      <c r="Z226" s="9">
        <v>15.162913907284763</v>
      </c>
      <c r="AA226" s="9">
        <v>8.2366445916114728</v>
      </c>
      <c r="AB226" s="9">
        <v>8.2366445916114728</v>
      </c>
      <c r="AC226" s="9">
        <v>8.2366445916114728</v>
      </c>
      <c r="AD226" s="9">
        <v>8.2366445916114728</v>
      </c>
      <c r="AE226" s="9">
        <v>8.2366445916114728</v>
      </c>
      <c r="AF226" s="9">
        <v>6.1774834437086055</v>
      </c>
      <c r="AG226" s="9">
        <v>8.2366445916114728</v>
      </c>
      <c r="AH226" s="9">
        <v>6.1774834437086055</v>
      </c>
      <c r="AI226" s="9">
        <v>8.2366445916114728</v>
      </c>
      <c r="AJ226" s="9">
        <v>8.2366445916114728</v>
      </c>
      <c r="AK226" s="9">
        <v>8.2366445916114728</v>
      </c>
      <c r="AL226" s="9">
        <v>8.2366445916114728</v>
      </c>
      <c r="AM226" s="9">
        <v>8.2366445916114728</v>
      </c>
      <c r="AN226" s="9">
        <v>8.2366445916114728</v>
      </c>
      <c r="AO226" s="9">
        <v>8.2366445916114728</v>
      </c>
      <c r="AP226" s="9">
        <v>8.2366445916114728</v>
      </c>
      <c r="AQ226" s="9">
        <v>6.1774834437086055</v>
      </c>
      <c r="AR226" s="9">
        <v>7.3006622516556225</v>
      </c>
      <c r="AS226" s="9">
        <v>4.4927152317880896</v>
      </c>
      <c r="AT226" s="9">
        <v>3.3695364238410517</v>
      </c>
      <c r="AU226" s="9">
        <v>4.4927152317880896</v>
      </c>
      <c r="AV226" s="9">
        <v>4.4927152317880896</v>
      </c>
      <c r="AW226" s="9">
        <v>4.4927152317880896</v>
      </c>
      <c r="AX226" s="9">
        <v>4.4927152317880896</v>
      </c>
      <c r="AY226" s="9">
        <v>2.9015452538631261</v>
      </c>
      <c r="AZ226" s="9">
        <v>0</v>
      </c>
    </row>
    <row r="227" spans="1:76">
      <c r="A227" s="3" t="s">
        <v>66</v>
      </c>
      <c r="B227" t="s">
        <v>27</v>
      </c>
      <c r="C227" t="s">
        <v>352</v>
      </c>
      <c r="D227" t="s">
        <v>74</v>
      </c>
      <c r="E227" t="s">
        <v>4975</v>
      </c>
      <c r="F227" s="91" t="s">
        <v>4973</v>
      </c>
      <c r="G227" t="s">
        <v>4983</v>
      </c>
      <c r="H227" s="3" t="s">
        <v>4984</v>
      </c>
      <c r="I227" s="3" t="s">
        <v>5200</v>
      </c>
      <c r="J227" s="124"/>
      <c r="K227" s="124"/>
      <c r="M227" s="124"/>
      <c r="T227" s="9">
        <v>0</v>
      </c>
      <c r="U227" s="9">
        <v>0</v>
      </c>
      <c r="V227" s="9">
        <v>0</v>
      </c>
      <c r="W227" s="9">
        <v>0</v>
      </c>
      <c r="X227" s="10">
        <v>35.191146881287771</v>
      </c>
      <c r="Y227" s="9">
        <v>39.0301810865192</v>
      </c>
      <c r="Z227" s="9">
        <v>24.740442655935517</v>
      </c>
      <c r="AA227" s="9">
        <v>24.740442655935517</v>
      </c>
      <c r="AB227" s="9">
        <v>27.08651911468823</v>
      </c>
      <c r="AC227" s="9">
        <v>20.901408450704213</v>
      </c>
      <c r="AD227" s="9">
        <v>17.275653923541256</v>
      </c>
      <c r="AE227" s="9">
        <v>17.275653923541256</v>
      </c>
      <c r="AF227" s="9">
        <v>5.7585513078470782</v>
      </c>
    </row>
    <row r="228" spans="1:76">
      <c r="A228" s="3" t="s">
        <v>66</v>
      </c>
      <c r="B228" t="s">
        <v>27</v>
      </c>
      <c r="C228" t="s">
        <v>352</v>
      </c>
      <c r="D228" t="s">
        <v>5184</v>
      </c>
      <c r="E228" t="s">
        <v>5185</v>
      </c>
      <c r="F228" s="91" t="s">
        <v>4973</v>
      </c>
      <c r="G228" t="s">
        <v>4983</v>
      </c>
      <c r="H228" s="3" t="s">
        <v>4984</v>
      </c>
      <c r="I228" s="3" t="s">
        <v>5200</v>
      </c>
      <c r="J228" s="124"/>
      <c r="K228" s="124"/>
      <c r="M228" s="124"/>
      <c r="P228" s="9">
        <v>0</v>
      </c>
      <c r="Q228" s="9">
        <v>0</v>
      </c>
      <c r="R228" s="9">
        <v>0</v>
      </c>
      <c r="S228" s="9">
        <v>0</v>
      </c>
      <c r="T228" s="9">
        <v>0</v>
      </c>
      <c r="U228" s="9">
        <v>0</v>
      </c>
      <c r="V228" s="9">
        <v>0</v>
      </c>
      <c r="W228" s="9">
        <v>0</v>
      </c>
      <c r="X228" s="10">
        <v>0</v>
      </c>
      <c r="Y228" s="9">
        <v>0</v>
      </c>
      <c r="Z228" s="9">
        <v>0</v>
      </c>
      <c r="AA228" s="9">
        <v>0</v>
      </c>
      <c r="AB228" s="9">
        <v>0</v>
      </c>
      <c r="AC228" s="9">
        <v>0</v>
      </c>
      <c r="AD228" s="9">
        <v>0</v>
      </c>
      <c r="AE228" s="9">
        <v>0</v>
      </c>
      <c r="AF228" s="9">
        <v>0</v>
      </c>
      <c r="AG228" s="9">
        <v>0</v>
      </c>
      <c r="AH228" s="9">
        <v>0</v>
      </c>
      <c r="AI228" s="9">
        <v>0</v>
      </c>
      <c r="AJ228" s="9">
        <v>0</v>
      </c>
      <c r="AK228" s="9">
        <v>0</v>
      </c>
      <c r="AL228" s="9">
        <v>0</v>
      </c>
    </row>
    <row r="229" spans="1:76">
      <c r="A229" s="3" t="s">
        <v>66</v>
      </c>
      <c r="B229" t="s">
        <v>29</v>
      </c>
      <c r="C229" t="s">
        <v>360</v>
      </c>
      <c r="D229" t="s">
        <v>72</v>
      </c>
      <c r="E229" t="s">
        <v>4974</v>
      </c>
      <c r="F229" s="91" t="s">
        <v>4973</v>
      </c>
      <c r="G229" t="s">
        <v>4983</v>
      </c>
      <c r="H229" s="3" t="s">
        <v>4984</v>
      </c>
      <c r="I229" s="3" t="s">
        <v>5200</v>
      </c>
      <c r="J229" s="124"/>
      <c r="K229" s="124"/>
      <c r="M229" s="124"/>
      <c r="R229" s="9">
        <v>0</v>
      </c>
      <c r="S229" s="9">
        <v>0</v>
      </c>
      <c r="T229" s="9">
        <v>0</v>
      </c>
      <c r="U229" s="9">
        <v>0</v>
      </c>
      <c r="V229" s="9">
        <v>0</v>
      </c>
      <c r="W229" s="9">
        <v>0</v>
      </c>
      <c r="X229" s="10">
        <v>8.5209006622516643</v>
      </c>
      <c r="Y229" s="9">
        <v>13.389986754966896</v>
      </c>
      <c r="Z229" s="9">
        <v>12.324874172185426</v>
      </c>
      <c r="AA229" s="9">
        <v>6.6949933774834385</v>
      </c>
      <c r="AB229" s="9">
        <v>6.6949933774834385</v>
      </c>
      <c r="AC229" s="9">
        <v>6.6949933774834385</v>
      </c>
      <c r="AD229" s="9">
        <v>6.6949933774834385</v>
      </c>
      <c r="AE229" s="9">
        <v>6.6949933774834385</v>
      </c>
      <c r="AF229" s="9">
        <v>5.0212450331125789</v>
      </c>
      <c r="AG229" s="9">
        <v>6.6949933774834385</v>
      </c>
      <c r="AH229" s="9">
        <v>5.0212450331125789</v>
      </c>
      <c r="AI229" s="9">
        <v>6.6949933774834385</v>
      </c>
      <c r="AJ229" s="9">
        <v>6.6949933774834385</v>
      </c>
      <c r="AK229" s="9">
        <v>6.6949933774834385</v>
      </c>
      <c r="AL229" s="9">
        <v>6.6949933774834385</v>
      </c>
      <c r="AM229" s="9">
        <v>6.6949933774834385</v>
      </c>
      <c r="AN229" s="9">
        <v>6.6949933774834385</v>
      </c>
      <c r="AO229" s="9">
        <v>6.6949933774834385</v>
      </c>
      <c r="AP229" s="9">
        <v>6.6949933774834385</v>
      </c>
      <c r="AQ229" s="9">
        <v>5.0212450331125789</v>
      </c>
      <c r="AR229" s="9">
        <v>5.9341986754966838</v>
      </c>
      <c r="AS229" s="9">
        <v>3.6518145695364321</v>
      </c>
      <c r="AT229" s="9">
        <v>2.7388609271523112</v>
      </c>
      <c r="AU229" s="9">
        <v>3.6518145695364321</v>
      </c>
      <c r="AV229" s="9">
        <v>3.6518145695364321</v>
      </c>
      <c r="AW229" s="9">
        <v>3.6518145695364321</v>
      </c>
      <c r="AX229" s="9">
        <v>3.6518145695364321</v>
      </c>
      <c r="AY229" s="9">
        <v>2.3584635761589334</v>
      </c>
      <c r="AZ229" s="9">
        <v>0</v>
      </c>
    </row>
    <row r="230" spans="1:76">
      <c r="A230" s="3" t="s">
        <v>66</v>
      </c>
      <c r="B230" t="s">
        <v>29</v>
      </c>
      <c r="C230" t="s">
        <v>360</v>
      </c>
      <c r="D230" t="s">
        <v>74</v>
      </c>
      <c r="E230" t="s">
        <v>4975</v>
      </c>
      <c r="F230" s="91" t="s">
        <v>4973</v>
      </c>
      <c r="G230" t="s">
        <v>4983</v>
      </c>
      <c r="H230" s="3" t="s">
        <v>4984</v>
      </c>
      <c r="I230" s="3" t="s">
        <v>5200</v>
      </c>
      <c r="J230" s="124"/>
      <c r="K230" s="124"/>
      <c r="M230" s="124"/>
      <c r="T230" s="9">
        <v>0</v>
      </c>
      <c r="U230" s="9">
        <v>0</v>
      </c>
      <c r="V230" s="9">
        <v>0</v>
      </c>
      <c r="W230" s="9">
        <v>0</v>
      </c>
      <c r="X230" s="10">
        <v>35.383038229376304</v>
      </c>
      <c r="Y230" s="9">
        <v>39.243006036217388</v>
      </c>
      <c r="Z230" s="9">
        <v>24.875348088531091</v>
      </c>
      <c r="AA230" s="9">
        <v>24.875348088531091</v>
      </c>
      <c r="AB230" s="9">
        <v>27.234217303823041</v>
      </c>
      <c r="AC230" s="9">
        <v>21.015380281690131</v>
      </c>
      <c r="AD230" s="9">
        <v>17.369855130784718</v>
      </c>
      <c r="AE230" s="9">
        <v>17.369855130784718</v>
      </c>
      <c r="AF230" s="9">
        <v>5.7899517102615654</v>
      </c>
    </row>
    <row r="231" spans="1:76">
      <c r="A231" s="3" t="s">
        <v>66</v>
      </c>
      <c r="B231" t="s">
        <v>29</v>
      </c>
      <c r="C231" t="s">
        <v>360</v>
      </c>
      <c r="D231" t="s">
        <v>5184</v>
      </c>
      <c r="E231" t="s">
        <v>5185</v>
      </c>
      <c r="F231" s="91" t="s">
        <v>4973</v>
      </c>
      <c r="G231" t="s">
        <v>4983</v>
      </c>
      <c r="H231" s="3" t="s">
        <v>4984</v>
      </c>
      <c r="I231" s="3" t="s">
        <v>5200</v>
      </c>
      <c r="J231" s="124"/>
      <c r="K231" s="124"/>
      <c r="M231" s="124"/>
      <c r="P231" s="9">
        <v>0</v>
      </c>
      <c r="Q231" s="9">
        <v>0</v>
      </c>
      <c r="R231" s="9">
        <v>0</v>
      </c>
      <c r="S231" s="9">
        <v>0</v>
      </c>
      <c r="T231" s="9">
        <v>0</v>
      </c>
      <c r="U231" s="9">
        <v>0</v>
      </c>
      <c r="V231" s="9">
        <v>0</v>
      </c>
      <c r="W231" s="9">
        <v>0</v>
      </c>
      <c r="X231" s="10">
        <v>4.9995031847133768</v>
      </c>
      <c r="Y231" s="9">
        <v>4.9995031847133768</v>
      </c>
      <c r="Z231" s="9">
        <v>4.9995031847133768</v>
      </c>
      <c r="AA231" s="9">
        <v>4.9995031847133768</v>
      </c>
      <c r="AB231" s="9">
        <v>4.9995031847133768</v>
      </c>
      <c r="AC231" s="9">
        <v>9.5339363057324835</v>
      </c>
      <c r="AD231" s="9">
        <v>9.5339363057324835</v>
      </c>
      <c r="AE231" s="9">
        <v>11.859286624203815</v>
      </c>
      <c r="AF231" s="9">
        <v>11.859286624203815</v>
      </c>
      <c r="AG231" s="9">
        <v>6.2784458598726101</v>
      </c>
      <c r="AH231" s="9">
        <v>8.6037961783439538</v>
      </c>
      <c r="AI231" s="9">
        <v>8.6037961783439538</v>
      </c>
      <c r="AJ231" s="9">
        <v>8.3712611464968187</v>
      </c>
      <c r="AK231" s="9">
        <v>8.3712611464968187</v>
      </c>
      <c r="AL231" s="9">
        <v>1.5114777070063687</v>
      </c>
    </row>
    <row r="232" spans="1:76">
      <c r="A232" s="3" t="s">
        <v>66</v>
      </c>
      <c r="B232" s="125" t="s">
        <v>4873</v>
      </c>
      <c r="C232" t="s">
        <v>4874</v>
      </c>
      <c r="D232" t="s">
        <v>4967</v>
      </c>
      <c r="E232" t="s">
        <v>4968</v>
      </c>
      <c r="F232" s="91" t="s">
        <v>4973</v>
      </c>
      <c r="G232" t="s">
        <v>4983</v>
      </c>
      <c r="H232" s="3" t="s">
        <v>4993</v>
      </c>
      <c r="I232" s="3" t="s">
        <v>4874</v>
      </c>
      <c r="J232" s="124"/>
      <c r="K232" s="124"/>
      <c r="M232" s="124"/>
      <c r="W232" s="9">
        <v>0</v>
      </c>
      <c r="X232" s="10">
        <v>0.41191526840623383</v>
      </c>
      <c r="Y232" s="9">
        <v>9.4309305970598778E-3</v>
      </c>
      <c r="Z232" s="9">
        <v>1.787802113614519E-2</v>
      </c>
      <c r="AA232" s="9">
        <v>0.42086306999727635</v>
      </c>
      <c r="AB232" s="9">
        <v>2.0752086137769018E-2</v>
      </c>
      <c r="AC232" s="9">
        <v>1.6075717143939093E-2</v>
      </c>
      <c r="AD232" s="9">
        <v>1.7282665365882122E-2</v>
      </c>
      <c r="AE232" s="9">
        <v>1.8949782145562925E-2</v>
      </c>
      <c r="AF232" s="9">
        <v>1.1858429138435564E-2</v>
      </c>
      <c r="AG232" s="9">
        <v>1.4020352879699207E-2</v>
      </c>
      <c r="AH232" s="9">
        <v>1.4252819514879755E-2</v>
      </c>
      <c r="AI232" s="9">
        <v>8.2542043975715462E-3</v>
      </c>
      <c r="AJ232" s="9">
        <v>8.9478015910425656E-3</v>
      </c>
      <c r="AK232" s="9">
        <v>9.5188515485030434E-3</v>
      </c>
      <c r="AL232" s="9">
        <v>0</v>
      </c>
    </row>
    <row r="233" spans="1:76">
      <c r="A233" s="3" t="s">
        <v>66</v>
      </c>
      <c r="B233" s="125" t="s">
        <v>4907</v>
      </c>
      <c r="C233" t="s">
        <v>4908</v>
      </c>
      <c r="D233" t="s">
        <v>4967</v>
      </c>
      <c r="E233" t="s">
        <v>4968</v>
      </c>
      <c r="F233" s="91" t="s">
        <v>4973</v>
      </c>
      <c r="G233" t="s">
        <v>4983</v>
      </c>
      <c r="H233" s="3" t="s">
        <v>4993</v>
      </c>
      <c r="I233" s="3" t="s">
        <v>4908</v>
      </c>
      <c r="J233" s="124"/>
      <c r="K233" s="124"/>
      <c r="M233" s="124"/>
      <c r="W233" s="9">
        <v>0</v>
      </c>
      <c r="X233" s="10">
        <v>9.9999999999999992E-2</v>
      </c>
      <c r="Y233" s="9">
        <v>0</v>
      </c>
      <c r="Z233" s="9">
        <v>0</v>
      </c>
      <c r="AA233" s="9">
        <v>0</v>
      </c>
      <c r="AB233" s="9">
        <v>9.9999999999999992E-2</v>
      </c>
      <c r="AC233" s="9">
        <v>0</v>
      </c>
      <c r="AD233" s="9">
        <v>0</v>
      </c>
      <c r="AE233" s="9">
        <v>0</v>
      </c>
      <c r="AF233" s="9">
        <v>9.9999999999999992E-2</v>
      </c>
      <c r="AG233" s="9">
        <v>0</v>
      </c>
      <c r="AH233" s="9">
        <v>0</v>
      </c>
      <c r="AI233" s="9">
        <v>0</v>
      </c>
      <c r="AJ233" s="9">
        <v>9.9999999999999992E-2</v>
      </c>
      <c r="AK233" s="9">
        <v>0</v>
      </c>
      <c r="AL233" s="9">
        <v>0</v>
      </c>
      <c r="AM233" s="9">
        <v>0</v>
      </c>
      <c r="AN233" s="9">
        <v>9.9999999999999992E-2</v>
      </c>
      <c r="AO233" s="9">
        <v>0</v>
      </c>
      <c r="AP233" s="9">
        <v>0</v>
      </c>
      <c r="AQ233" s="9">
        <v>0</v>
      </c>
      <c r="AR233" s="9">
        <v>9.9999999999999992E-2</v>
      </c>
      <c r="AS233" s="9">
        <v>0</v>
      </c>
      <c r="AT233" s="9">
        <v>0</v>
      </c>
      <c r="AU233" s="9">
        <v>0</v>
      </c>
      <c r="AV233" s="9">
        <v>9.9999999999999992E-2</v>
      </c>
      <c r="AW233" s="9">
        <v>0</v>
      </c>
      <c r="AX233" s="9">
        <v>0</v>
      </c>
      <c r="AY233" s="9">
        <v>0</v>
      </c>
      <c r="AZ233" s="9">
        <v>9.9999999999999992E-2</v>
      </c>
      <c r="BA233" s="9">
        <v>0</v>
      </c>
      <c r="BB233" s="9">
        <v>0</v>
      </c>
      <c r="BC233" s="9">
        <v>0</v>
      </c>
      <c r="BD233" s="9">
        <v>9.9999999999999992E-2</v>
      </c>
      <c r="BE233" s="9">
        <v>0</v>
      </c>
      <c r="BF233" s="9">
        <v>0</v>
      </c>
      <c r="BG233" s="9">
        <v>0</v>
      </c>
      <c r="BH233" s="9">
        <v>0</v>
      </c>
      <c r="BI233" s="9">
        <v>0</v>
      </c>
      <c r="BJ233" s="9">
        <v>0</v>
      </c>
      <c r="BK233" s="9">
        <v>0</v>
      </c>
      <c r="BL233" s="9">
        <v>0</v>
      </c>
      <c r="BM233" s="9">
        <v>0</v>
      </c>
      <c r="BN233" s="9">
        <v>0</v>
      </c>
      <c r="BO233" s="9">
        <v>0</v>
      </c>
      <c r="BP233" s="9">
        <v>9.9999999999999992E-2</v>
      </c>
      <c r="BQ233" s="9">
        <v>0</v>
      </c>
      <c r="BR233" s="9">
        <v>0</v>
      </c>
      <c r="BS233" s="9">
        <v>0</v>
      </c>
    </row>
    <row r="234" spans="1:76">
      <c r="A234" s="3" t="s">
        <v>66</v>
      </c>
      <c r="B234" s="125" t="s">
        <v>4913</v>
      </c>
      <c r="C234" t="s">
        <v>4914</v>
      </c>
      <c r="D234" t="s">
        <v>4967</v>
      </c>
      <c r="E234" t="s">
        <v>4968</v>
      </c>
      <c r="F234" s="91" t="s">
        <v>4973</v>
      </c>
      <c r="G234" t="s">
        <v>4983</v>
      </c>
      <c r="H234" s="3" t="s">
        <v>4993</v>
      </c>
      <c r="I234" s="3" t="s">
        <v>4914</v>
      </c>
      <c r="J234" s="124"/>
      <c r="K234" s="124"/>
      <c r="M234" s="124"/>
      <c r="W234" s="9">
        <v>0</v>
      </c>
      <c r="X234" s="10">
        <v>0</v>
      </c>
      <c r="Y234" s="9">
        <v>5.0756161067110908E-2</v>
      </c>
      <c r="Z234" s="9">
        <v>3.848222132057625E-2</v>
      </c>
      <c r="AA234" s="9">
        <v>3.5272107563637536E-2</v>
      </c>
      <c r="AB234" s="9">
        <v>8.0818181835268024E-3</v>
      </c>
      <c r="AC234" s="9">
        <v>2.8216418381832292E-3</v>
      </c>
      <c r="AD234" s="9">
        <v>1.5494230518075351E-4</v>
      </c>
      <c r="AE234" s="9">
        <v>1.6785416394581628E-4</v>
      </c>
      <c r="AF234" s="9">
        <v>8.5970219392894134E-3</v>
      </c>
      <c r="AG234" s="9">
        <v>3.9216002737358618E-2</v>
      </c>
      <c r="AH234" s="9">
        <v>3.6489209190405707E-2</v>
      </c>
      <c r="AI234" s="9">
        <v>2.9961019690785063E-2</v>
      </c>
      <c r="AJ234" s="9">
        <v>0</v>
      </c>
      <c r="AK234" s="9">
        <v>5.0756161067110908E-2</v>
      </c>
      <c r="AL234" s="9">
        <v>3.848222132057625E-2</v>
      </c>
      <c r="AM234" s="9">
        <v>3.5272107563637536E-2</v>
      </c>
      <c r="AN234" s="9">
        <v>8.0818181835268024E-3</v>
      </c>
      <c r="AO234" s="9">
        <v>2.8216418381832292E-3</v>
      </c>
      <c r="AP234" s="9">
        <v>1.5494230518075351E-4</v>
      </c>
      <c r="AQ234" s="9">
        <v>1.6785416394581628E-4</v>
      </c>
      <c r="AR234" s="9">
        <v>8.5970219392894134E-3</v>
      </c>
      <c r="AS234" s="9">
        <v>3.9216002737358618E-2</v>
      </c>
      <c r="AT234" s="9">
        <v>3.6489209190405707E-2</v>
      </c>
      <c r="AU234" s="9">
        <v>2.9961019690785063E-2</v>
      </c>
      <c r="AV234" s="9">
        <v>0</v>
      </c>
      <c r="AW234" s="9">
        <v>5.0756161067110908E-2</v>
      </c>
      <c r="AX234" s="9">
        <v>3.848222132057625E-2</v>
      </c>
      <c r="AY234" s="9">
        <v>3.5272107563637536E-2</v>
      </c>
      <c r="AZ234" s="9">
        <v>8.0818181835268024E-3</v>
      </c>
      <c r="BA234" s="9">
        <v>2.8216418381832292E-3</v>
      </c>
      <c r="BB234" s="9">
        <v>1.5494230518075351E-4</v>
      </c>
      <c r="BC234" s="9">
        <v>1.6785416394581628E-4</v>
      </c>
      <c r="BD234" s="9">
        <v>8.5970219392894134E-3</v>
      </c>
      <c r="BE234" s="9">
        <v>3.9216002737358618E-2</v>
      </c>
      <c r="BF234" s="9">
        <v>3.6489209190405707E-2</v>
      </c>
      <c r="BG234" s="9">
        <v>2.9961019690785063E-2</v>
      </c>
      <c r="BH234" s="9">
        <v>0</v>
      </c>
      <c r="BI234" s="9">
        <v>5.0756161067110908E-2</v>
      </c>
      <c r="BJ234" s="9">
        <v>3.848222132057625E-2</v>
      </c>
      <c r="BK234" s="9">
        <v>3.5272107563637536E-2</v>
      </c>
      <c r="BL234" s="9">
        <v>8.0818181835268024E-3</v>
      </c>
      <c r="BM234" s="9">
        <v>2.8216418381832292E-3</v>
      </c>
      <c r="BN234" s="9">
        <v>1.5494230518075351E-4</v>
      </c>
      <c r="BO234" s="9">
        <v>1.6785416394581628E-4</v>
      </c>
      <c r="BP234" s="9">
        <v>8.5970219392894134E-3</v>
      </c>
      <c r="BQ234" s="9">
        <v>3.9216002737358618E-2</v>
      </c>
      <c r="BR234" s="9">
        <v>3.6489209190405707E-2</v>
      </c>
      <c r="BS234" s="9">
        <v>2.9961019690785063E-2</v>
      </c>
    </row>
    <row r="235" spans="1:76">
      <c r="A235" s="3" t="s">
        <v>66</v>
      </c>
      <c r="B235" s="125" t="s">
        <v>4193</v>
      </c>
      <c r="C235" t="s">
        <v>4194</v>
      </c>
      <c r="D235" t="s">
        <v>4967</v>
      </c>
      <c r="E235" t="s">
        <v>4968</v>
      </c>
      <c r="F235" s="91" t="s">
        <v>4973</v>
      </c>
      <c r="G235" t="s">
        <v>4983</v>
      </c>
      <c r="H235" t="s">
        <v>4993</v>
      </c>
      <c r="I235" t="s">
        <v>4194</v>
      </c>
      <c r="W235" s="11">
        <v>0</v>
      </c>
      <c r="X235" s="10">
        <v>0</v>
      </c>
      <c r="Y235" s="9">
        <v>6.25E-2</v>
      </c>
      <c r="Z235" s="9">
        <v>0</v>
      </c>
      <c r="AA235" s="9">
        <v>0</v>
      </c>
      <c r="AB235" s="9">
        <v>6.25E-2</v>
      </c>
      <c r="AC235" s="9">
        <v>0</v>
      </c>
      <c r="AD235" s="9">
        <v>0</v>
      </c>
      <c r="AE235" s="9">
        <v>6.25E-2</v>
      </c>
      <c r="AF235" s="9">
        <v>0</v>
      </c>
      <c r="AG235" s="9">
        <v>0</v>
      </c>
      <c r="AH235" s="9">
        <v>6.25E-2</v>
      </c>
      <c r="AI235" s="9">
        <v>0</v>
      </c>
      <c r="AJ235" s="9">
        <v>0</v>
      </c>
      <c r="AK235" s="9">
        <v>6.25E-2</v>
      </c>
      <c r="AL235" s="9">
        <v>0</v>
      </c>
      <c r="AM235" s="9">
        <v>0</v>
      </c>
      <c r="AN235" s="9">
        <v>6.25E-2</v>
      </c>
      <c r="AO235" s="9">
        <v>0</v>
      </c>
      <c r="AP235" s="9">
        <v>0</v>
      </c>
      <c r="AQ235" s="9">
        <v>6.25E-2</v>
      </c>
      <c r="AR235" s="9">
        <v>0</v>
      </c>
      <c r="AS235" s="9">
        <v>0</v>
      </c>
      <c r="AT235" s="9">
        <v>6.25E-2</v>
      </c>
      <c r="AU235" s="9">
        <v>0</v>
      </c>
      <c r="AV235" s="9">
        <v>0</v>
      </c>
      <c r="AW235" s="9">
        <v>6.25E-2</v>
      </c>
      <c r="AX235" s="9">
        <v>0</v>
      </c>
      <c r="AY235" s="9">
        <v>0</v>
      </c>
      <c r="AZ235" s="9">
        <v>6.25E-2</v>
      </c>
      <c r="BA235" s="9">
        <v>0</v>
      </c>
      <c r="BB235" s="9">
        <v>0</v>
      </c>
      <c r="BC235" s="9">
        <v>6.25E-2</v>
      </c>
      <c r="BD235" s="9">
        <v>0</v>
      </c>
      <c r="BE235" s="9">
        <v>0</v>
      </c>
      <c r="BF235" s="9">
        <v>6.25E-2</v>
      </c>
      <c r="BG235" s="9">
        <v>0</v>
      </c>
      <c r="BH235" s="9">
        <v>0</v>
      </c>
      <c r="BI235" s="9">
        <v>6.25E-2</v>
      </c>
      <c r="BJ235" s="9">
        <v>0</v>
      </c>
      <c r="BK235" s="9">
        <v>0</v>
      </c>
      <c r="BL235" s="9">
        <v>6.25E-2</v>
      </c>
      <c r="BM235" s="9">
        <v>0</v>
      </c>
      <c r="BN235" s="9">
        <v>0</v>
      </c>
      <c r="BO235" s="9">
        <v>6.25E-2</v>
      </c>
      <c r="BP235" s="9">
        <v>0</v>
      </c>
      <c r="BQ235" s="9">
        <v>0</v>
      </c>
      <c r="BR235" s="9">
        <v>6.25E-2</v>
      </c>
      <c r="BS235" s="9">
        <v>0</v>
      </c>
    </row>
    <row r="236" spans="1:76">
      <c r="A236" s="134" t="s">
        <v>66</v>
      </c>
      <c r="B236" s="133" t="s">
        <v>5272</v>
      </c>
      <c r="C236" s="133"/>
      <c r="D236" s="133" t="s">
        <v>4967</v>
      </c>
      <c r="E236" s="133" t="s">
        <v>4968</v>
      </c>
      <c r="F236" s="135" t="s">
        <v>4973</v>
      </c>
      <c r="G236" s="133" t="s">
        <v>4983</v>
      </c>
      <c r="H236" s="133" t="s">
        <v>4984</v>
      </c>
      <c r="I236" s="133"/>
      <c r="J236" s="136"/>
      <c r="K236" s="136"/>
      <c r="L236" s="137"/>
      <c r="M236" s="136"/>
      <c r="N236" s="88">
        <v>0</v>
      </c>
      <c r="O236" s="88">
        <v>0</v>
      </c>
      <c r="P236" s="88">
        <v>15729.012752505398</v>
      </c>
      <c r="Q236" s="88">
        <v>23395.977099889933</v>
      </c>
      <c r="R236" s="88">
        <v>32133.654403171669</v>
      </c>
      <c r="S236" s="88">
        <v>48602.124820861485</v>
      </c>
      <c r="T236" s="88">
        <v>44456.735060565778</v>
      </c>
      <c r="U236" s="88">
        <v>43364.563994685341</v>
      </c>
      <c r="V236" s="88">
        <v>43064.739869144352</v>
      </c>
      <c r="W236" s="88">
        <v>38342.549862292341</v>
      </c>
      <c r="X236" s="138">
        <v>62143.601094225727</v>
      </c>
      <c r="Y236" s="88">
        <v>157310.97464066811</v>
      </c>
      <c r="Z236" s="88">
        <v>156521.80758756437</v>
      </c>
      <c r="AA236" s="88">
        <v>145261.27899169459</v>
      </c>
      <c r="AB236" s="88">
        <v>145358.21764806507</v>
      </c>
      <c r="AC236" s="88">
        <v>157313.00295431091</v>
      </c>
      <c r="AD236" s="88">
        <v>204951.09675538837</v>
      </c>
      <c r="AE236" s="88">
        <v>235213.21888185904</v>
      </c>
      <c r="AF236" s="88">
        <v>304519.48037634837</v>
      </c>
      <c r="AG236" s="88">
        <v>320256.52203040797</v>
      </c>
      <c r="AH236" s="88">
        <v>355138.31734687363</v>
      </c>
      <c r="AI236" s="88">
        <v>353235.91563796805</v>
      </c>
      <c r="AJ236" s="88">
        <v>352898.71320275462</v>
      </c>
      <c r="AK236" s="88">
        <v>322613.69128603017</v>
      </c>
      <c r="AL236" s="88">
        <v>319483.36828838027</v>
      </c>
      <c r="AM236" s="88">
        <v>222399.96519195463</v>
      </c>
      <c r="AN236" s="88">
        <v>161868.02230086588</v>
      </c>
      <c r="AO236" s="88">
        <v>161120.24902592626</v>
      </c>
      <c r="AP236" s="88">
        <v>135484.07561353894</v>
      </c>
      <c r="AQ236" s="88">
        <v>188003.73299065049</v>
      </c>
      <c r="AR236" s="88">
        <v>231611.49938141691</v>
      </c>
      <c r="AS236" s="88">
        <v>306840.21528159082</v>
      </c>
      <c r="AT236" s="88">
        <v>305942.48288999876</v>
      </c>
      <c r="AU236" s="88">
        <v>306077.83390067262</v>
      </c>
      <c r="AV236" s="88">
        <v>303198.30046217097</v>
      </c>
      <c r="AW236" s="88">
        <v>299357.78160053329</v>
      </c>
      <c r="AX236" s="88">
        <v>235883.23305806716</v>
      </c>
      <c r="AY236" s="88">
        <v>140861.98745466204</v>
      </c>
      <c r="AZ236" s="88">
        <v>47267.599913317965</v>
      </c>
      <c r="BA236" s="88">
        <v>5890.6994622669299</v>
      </c>
      <c r="BB236" s="88">
        <v>5358.1379546747557</v>
      </c>
      <c r="BC236" s="88">
        <v>6784.6163490569925</v>
      </c>
      <c r="BD236" s="88">
        <v>7399.6629930569925</v>
      </c>
      <c r="BE236" s="88">
        <v>7104.735518151243</v>
      </c>
      <c r="BF236" s="88">
        <v>6307.3555200000001</v>
      </c>
      <c r="BG236" s="88">
        <v>6321.5280000000002</v>
      </c>
      <c r="BH236" s="88">
        <v>6215.0433360000006</v>
      </c>
      <c r="BI236" s="88">
        <v>6140.1175200000007</v>
      </c>
      <c r="BJ236" s="88">
        <v>5047.5807359999999</v>
      </c>
      <c r="BK236" s="88">
        <v>4041.4447800000003</v>
      </c>
      <c r="BL236" s="88">
        <v>1441.4889599999999</v>
      </c>
      <c r="BM236" s="88">
        <v>0</v>
      </c>
      <c r="BN236" s="88">
        <v>0</v>
      </c>
      <c r="BO236" s="88">
        <v>0</v>
      </c>
      <c r="BP236" s="88">
        <v>0</v>
      </c>
      <c r="BQ236" s="88">
        <v>0</v>
      </c>
      <c r="BR236" s="88">
        <v>0</v>
      </c>
      <c r="BS236" s="88">
        <v>0</v>
      </c>
      <c r="BT236" s="88">
        <v>0</v>
      </c>
      <c r="BU236" s="88">
        <v>0</v>
      </c>
      <c r="BV236" s="88">
        <v>0</v>
      </c>
      <c r="BW236" s="88">
        <v>0</v>
      </c>
      <c r="BX236" s="88">
        <v>0</v>
      </c>
    </row>
    <row r="237" spans="1:76">
      <c r="A237" s="134" t="s">
        <v>66</v>
      </c>
      <c r="B237" s="133" t="s">
        <v>5336</v>
      </c>
      <c r="C237" s="133"/>
      <c r="D237" s="133" t="s">
        <v>4967</v>
      </c>
      <c r="E237" s="133" t="s">
        <v>4968</v>
      </c>
      <c r="F237" s="135" t="s">
        <v>4973</v>
      </c>
      <c r="G237" s="133" t="s">
        <v>4983</v>
      </c>
      <c r="H237" s="133" t="s">
        <v>4984</v>
      </c>
      <c r="I237" s="133"/>
      <c r="J237" s="136"/>
      <c r="K237" s="136"/>
      <c r="L237" s="137"/>
      <c r="M237" s="136"/>
      <c r="N237" s="88">
        <v>0</v>
      </c>
      <c r="O237" s="88">
        <v>0</v>
      </c>
      <c r="P237" s="88">
        <v>0</v>
      </c>
      <c r="Q237" s="88">
        <v>0</v>
      </c>
      <c r="R237" s="88">
        <v>381.82765360042424</v>
      </c>
      <c r="S237" s="88">
        <v>449.48667465143171</v>
      </c>
      <c r="T237" s="88">
        <v>511.37632174814394</v>
      </c>
      <c r="U237" s="88">
        <v>0</v>
      </c>
      <c r="V237" s="88">
        <v>1522.8580500000003</v>
      </c>
      <c r="W237" s="88">
        <v>0</v>
      </c>
      <c r="X237" s="138">
        <v>23053.985170871492</v>
      </c>
      <c r="Y237" s="88">
        <v>54584.279756526557</v>
      </c>
      <c r="Z237" s="88">
        <v>54584.279756526557</v>
      </c>
      <c r="AA237" s="88">
        <v>54584.279756526557</v>
      </c>
      <c r="AB237" s="88">
        <v>54584.279756526557</v>
      </c>
      <c r="AC237" s="88">
        <v>54584.279756526557</v>
      </c>
      <c r="AD237" s="88">
        <v>80859.525244572447</v>
      </c>
      <c r="AE237" s="88">
        <v>81973.275244572447</v>
      </c>
      <c r="AF237" s="88">
        <v>134523.76622066423</v>
      </c>
      <c r="AG237" s="88">
        <v>134523.76622066423</v>
      </c>
      <c r="AH237" s="88">
        <v>160799.01170871011</v>
      </c>
      <c r="AI237" s="88">
        <v>160799.01170871011</v>
      </c>
      <c r="AJ237" s="88">
        <v>160799.01170871011</v>
      </c>
      <c r="AK237" s="88">
        <v>134523.76622066423</v>
      </c>
      <c r="AL237" s="88">
        <v>134523.76622066423</v>
      </c>
      <c r="AM237" s="88">
        <v>78825.736464137663</v>
      </c>
      <c r="AN237" s="88">
        <v>52550.490976091773</v>
      </c>
      <c r="AO237" s="88">
        <v>63060.58917131013</v>
      </c>
      <c r="AP237" s="88">
        <v>63060.58917131013</v>
      </c>
      <c r="AQ237" s="88">
        <v>91369.623439790797</v>
      </c>
      <c r="AR237" s="88">
        <v>117644.86892783668</v>
      </c>
      <c r="AS237" s="88">
        <v>170195.35990392845</v>
      </c>
      <c r="AT237" s="88">
        <v>170195.35990392845</v>
      </c>
      <c r="AU237" s="88">
        <v>170195.35990392845</v>
      </c>
      <c r="AV237" s="88">
        <v>170195.35990392845</v>
      </c>
      <c r="AW237" s="88">
        <v>170195.35990392845</v>
      </c>
      <c r="AX237" s="88">
        <v>143920.11441588259</v>
      </c>
      <c r="AY237" s="88">
        <v>79096.89699757428</v>
      </c>
      <c r="AZ237" s="88">
        <v>18314.897114987507</v>
      </c>
      <c r="BA237" s="88">
        <v>0</v>
      </c>
      <c r="BB237" s="88">
        <v>0</v>
      </c>
      <c r="BC237" s="88">
        <v>0</v>
      </c>
      <c r="BD237" s="88">
        <v>0</v>
      </c>
      <c r="BE237" s="88">
        <v>0</v>
      </c>
      <c r="BF237" s="88">
        <v>0</v>
      </c>
      <c r="BG237" s="88">
        <v>0</v>
      </c>
      <c r="BH237" s="88">
        <v>0</v>
      </c>
      <c r="BI237" s="88">
        <v>0</v>
      </c>
      <c r="BJ237" s="88">
        <v>0</v>
      </c>
      <c r="BK237" s="88">
        <v>0</v>
      </c>
      <c r="BL237" s="88">
        <v>0</v>
      </c>
      <c r="BM237" s="88">
        <v>0</v>
      </c>
      <c r="BN237" s="88">
        <v>0</v>
      </c>
      <c r="BO237" s="88">
        <v>0</v>
      </c>
      <c r="BP237" s="88">
        <v>0</v>
      </c>
      <c r="BQ237" s="88">
        <v>0</v>
      </c>
      <c r="BR237" s="88">
        <v>0</v>
      </c>
      <c r="BS237" s="88">
        <v>0</v>
      </c>
      <c r="BT237" s="88">
        <v>0</v>
      </c>
      <c r="BU237" s="88">
        <v>0</v>
      </c>
      <c r="BV237" s="88">
        <v>0</v>
      </c>
      <c r="BW237" s="88">
        <v>0</v>
      </c>
      <c r="BX237" s="88">
        <v>0</v>
      </c>
    </row>
    <row r="238" spans="1:76">
      <c r="A238" s="134" t="s">
        <v>66</v>
      </c>
      <c r="B238" s="133" t="s">
        <v>5337</v>
      </c>
      <c r="C238" s="133"/>
      <c r="D238" s="133" t="s">
        <v>4967</v>
      </c>
      <c r="E238" s="133" t="s">
        <v>4968</v>
      </c>
      <c r="F238" s="135" t="s">
        <v>4973</v>
      </c>
      <c r="G238" s="133" t="s">
        <v>4983</v>
      </c>
      <c r="H238" s="133" t="s">
        <v>4984</v>
      </c>
      <c r="I238" s="133"/>
      <c r="J238" s="136"/>
      <c r="K238" s="136"/>
      <c r="L238" s="137"/>
      <c r="M238" s="136"/>
      <c r="N238" s="88">
        <v>0</v>
      </c>
      <c r="O238" s="88">
        <v>0</v>
      </c>
      <c r="P238" s="88">
        <v>6492.2884999207572</v>
      </c>
      <c r="Q238" s="88">
        <v>15363.015215887754</v>
      </c>
      <c r="R238" s="88">
        <v>6150.3931309662839</v>
      </c>
      <c r="S238" s="88">
        <v>8387.6076405287931</v>
      </c>
      <c r="T238" s="88">
        <v>9894.648920277923</v>
      </c>
      <c r="U238" s="88">
        <v>15234.02297629072</v>
      </c>
      <c r="V238" s="88">
        <v>15270.54681720151</v>
      </c>
      <c r="W238" s="88">
        <v>15182.828273826384</v>
      </c>
      <c r="X238" s="138">
        <v>24537.123599654151</v>
      </c>
      <c r="Y238" s="88">
        <v>110281.80583767014</v>
      </c>
      <c r="Z238" s="88">
        <v>102919.88983589882</v>
      </c>
      <c r="AA238" s="88">
        <v>106371.02584924822</v>
      </c>
      <c r="AB238" s="88">
        <v>115128.734091155</v>
      </c>
      <c r="AC238" s="88">
        <v>99178.567459973652</v>
      </c>
      <c r="AD238" s="88">
        <v>133890.60657852606</v>
      </c>
      <c r="AE238" s="88">
        <v>172894.33676221155</v>
      </c>
      <c r="AF238" s="88">
        <v>240895.68835998158</v>
      </c>
      <c r="AG238" s="88">
        <v>246220.78671074484</v>
      </c>
      <c r="AH238" s="88">
        <v>281318.47419081</v>
      </c>
      <c r="AI238" s="88">
        <v>269724.20386171574</v>
      </c>
      <c r="AJ238" s="88">
        <v>267519.1829394839</v>
      </c>
      <c r="AK238" s="88">
        <v>258909.72636953695</v>
      </c>
      <c r="AL238" s="88">
        <v>226365.89342586853</v>
      </c>
      <c r="AM238" s="88">
        <v>113914.17042558629</v>
      </c>
      <c r="AN238" s="88">
        <v>75916.924212108293</v>
      </c>
      <c r="AO238" s="88">
        <v>67646.306744537098</v>
      </c>
      <c r="AP238" s="88">
        <v>79943.349885332835</v>
      </c>
      <c r="AQ238" s="88">
        <v>162574.29097228427</v>
      </c>
      <c r="AR238" s="88">
        <v>167054.87266762852</v>
      </c>
      <c r="AS238" s="88">
        <v>239780.01469131827</v>
      </c>
      <c r="AT238" s="88">
        <v>238010.79922018503</v>
      </c>
      <c r="AU238" s="88">
        <v>239293.96177984925</v>
      </c>
      <c r="AV238" s="88">
        <v>234485.53735673829</v>
      </c>
      <c r="AW238" s="88">
        <v>219128.81934894662</v>
      </c>
      <c r="AX238" s="88">
        <v>192252.86607207745</v>
      </c>
      <c r="AY238" s="88">
        <v>137904.70049687583</v>
      </c>
      <c r="AZ238" s="88">
        <v>56262.1647725937</v>
      </c>
      <c r="BA238" s="88">
        <v>34496.157316991354</v>
      </c>
      <c r="BB238" s="88">
        <v>31995.383538565402</v>
      </c>
      <c r="BC238" s="88">
        <v>41996.366404729684</v>
      </c>
      <c r="BD238" s="88">
        <v>45913.242400729687</v>
      </c>
      <c r="BE238" s="88">
        <v>44308.920257517006</v>
      </c>
      <c r="BF238" s="88">
        <v>40167.895680000001</v>
      </c>
      <c r="BG238" s="88">
        <v>40258.152000000002</v>
      </c>
      <c r="BH238" s="88">
        <v>39580.012824000005</v>
      </c>
      <c r="BI238" s="88">
        <v>39102.853680000007</v>
      </c>
      <c r="BJ238" s="88">
        <v>32145.119424000004</v>
      </c>
      <c r="BK238" s="88">
        <v>25737.622020000003</v>
      </c>
      <c r="BL238" s="88">
        <v>9180.00864</v>
      </c>
      <c r="BM238" s="88">
        <v>0</v>
      </c>
      <c r="BN238" s="88">
        <v>0</v>
      </c>
      <c r="BO238" s="88">
        <v>0</v>
      </c>
      <c r="BP238" s="88">
        <v>0</v>
      </c>
      <c r="BQ238" s="88">
        <v>0</v>
      </c>
      <c r="BR238" s="88">
        <v>0</v>
      </c>
      <c r="BS238" s="88">
        <v>0</v>
      </c>
      <c r="BT238" s="88">
        <v>0</v>
      </c>
      <c r="BU238" s="88">
        <v>0</v>
      </c>
      <c r="BV238" s="88">
        <v>0</v>
      </c>
      <c r="BW238" s="88">
        <v>0</v>
      </c>
      <c r="BX238" s="88">
        <v>0</v>
      </c>
    </row>
    <row r="239" spans="1:76">
      <c r="A239" s="134" t="s">
        <v>66</v>
      </c>
      <c r="B239" s="133" t="s">
        <v>5338</v>
      </c>
      <c r="C239" s="133"/>
      <c r="D239" s="133" t="s">
        <v>4967</v>
      </c>
      <c r="E239" s="133" t="s">
        <v>4968</v>
      </c>
      <c r="F239" s="135" t="s">
        <v>4973</v>
      </c>
      <c r="G239" s="133" t="s">
        <v>4983</v>
      </c>
      <c r="H239" s="133" t="s">
        <v>4984</v>
      </c>
      <c r="I239" s="133"/>
      <c r="J239" s="136"/>
      <c r="K239" s="136"/>
      <c r="L239" s="137"/>
      <c r="M239" s="136"/>
      <c r="N239" s="88">
        <v>0</v>
      </c>
      <c r="O239" s="88">
        <v>0</v>
      </c>
      <c r="P239" s="88">
        <v>5234.0988400295028</v>
      </c>
      <c r="Q239" s="88">
        <v>12373.759459970497</v>
      </c>
      <c r="R239" s="88">
        <v>4945.8277700159042</v>
      </c>
      <c r="S239" s="88">
        <v>6771.8689701106114</v>
      </c>
      <c r="T239" s="88">
        <v>7987.2942480047614</v>
      </c>
      <c r="U239" s="88">
        <v>12356.825751740002</v>
      </c>
      <c r="V239" s="88">
        <v>12435.196756249999</v>
      </c>
      <c r="W239" s="88">
        <v>12379.658750000006</v>
      </c>
      <c r="X239" s="138">
        <v>20047.609030381343</v>
      </c>
      <c r="Y239" s="88">
        <v>25799.997685749426</v>
      </c>
      <c r="Z239" s="88">
        <v>41086.050000841482</v>
      </c>
      <c r="AA239" s="88">
        <v>44013.597565170465</v>
      </c>
      <c r="AB239" s="88">
        <v>51236.251524883482</v>
      </c>
      <c r="AC239" s="88">
        <v>59833.34656380758</v>
      </c>
      <c r="AD239" s="88">
        <v>66560.086274482979</v>
      </c>
      <c r="AE239" s="88">
        <v>73539.821427957009</v>
      </c>
      <c r="AF239" s="88">
        <v>72376.413122752361</v>
      </c>
      <c r="AG239" s="88">
        <v>76639.854731553511</v>
      </c>
      <c r="AH239" s="88">
        <v>83750.813524876401</v>
      </c>
      <c r="AI239" s="88">
        <v>74350.877323153327</v>
      </c>
      <c r="AJ239" s="88">
        <v>72531.899075753739</v>
      </c>
      <c r="AK239" s="88">
        <v>65506.654211756555</v>
      </c>
      <c r="AL239" s="88">
        <v>58684.793969411847</v>
      </c>
      <c r="AM239" s="88">
        <v>50385.577653093642</v>
      </c>
      <c r="AN239" s="88">
        <v>45033.651907438449</v>
      </c>
      <c r="AO239" s="88">
        <v>38190.275985011751</v>
      </c>
      <c r="AP239" s="88">
        <v>48347.742564359869</v>
      </c>
      <c r="AQ239" s="88">
        <v>58081.292383230721</v>
      </c>
      <c r="AR239" s="88">
        <v>61773.481932877403</v>
      </c>
      <c r="AS239" s="88">
        <v>69800.742945257647</v>
      </c>
      <c r="AT239" s="88">
        <v>70158.126518316407</v>
      </c>
      <c r="AU239" s="88">
        <v>71223.155472149825</v>
      </c>
      <c r="AV239" s="88">
        <v>67262.884308671637</v>
      </c>
      <c r="AW239" s="88">
        <v>54470.77902003764</v>
      </c>
      <c r="AX239" s="88">
        <v>44828.97890406278</v>
      </c>
      <c r="AY239" s="88">
        <v>55925.639913261883</v>
      </c>
      <c r="AZ239" s="88">
        <v>46387.59117305102</v>
      </c>
      <c r="BA239" s="88">
        <v>28476.289985560306</v>
      </c>
      <c r="BB239" s="88">
        <v>26419.151454116753</v>
      </c>
      <c r="BC239" s="88">
        <v>34694.063376919657</v>
      </c>
      <c r="BD239" s="88">
        <v>37931.150976919656</v>
      </c>
      <c r="BE239" s="88">
        <v>36608.358617854501</v>
      </c>
      <c r="BF239" s="88">
        <v>33196.608</v>
      </c>
      <c r="BG239" s="88">
        <v>33271.200000000004</v>
      </c>
      <c r="BH239" s="88">
        <v>32710.754400000002</v>
      </c>
      <c r="BI239" s="88">
        <v>32316.408000000003</v>
      </c>
      <c r="BJ239" s="88">
        <v>26566.214400000001</v>
      </c>
      <c r="BK239" s="88">
        <v>21270.762000000002</v>
      </c>
      <c r="BL239" s="88">
        <v>7586.7840000000006</v>
      </c>
      <c r="BM239" s="88">
        <v>0</v>
      </c>
      <c r="BN239" s="88">
        <v>0</v>
      </c>
      <c r="BO239" s="88">
        <v>0</v>
      </c>
      <c r="BP239" s="88">
        <v>0</v>
      </c>
      <c r="BQ239" s="88">
        <v>0</v>
      </c>
      <c r="BR239" s="88">
        <v>0</v>
      </c>
      <c r="BS239" s="88">
        <v>0</v>
      </c>
      <c r="BT239" s="88">
        <v>0</v>
      </c>
      <c r="BU239" s="88">
        <v>0</v>
      </c>
      <c r="BV239" s="88">
        <v>0</v>
      </c>
      <c r="BW239" s="88">
        <v>0</v>
      </c>
      <c r="BX239" s="88">
        <v>0</v>
      </c>
    </row>
    <row r="240" spans="1:76">
      <c r="A240" s="134" t="s">
        <v>66</v>
      </c>
      <c r="B240" s="133" t="s">
        <v>5339</v>
      </c>
      <c r="C240" s="133"/>
      <c r="D240" s="133" t="s">
        <v>4967</v>
      </c>
      <c r="E240" s="133" t="s">
        <v>4968</v>
      </c>
      <c r="F240" s="135" t="s">
        <v>4973</v>
      </c>
      <c r="G240" s="133" t="s">
        <v>4983</v>
      </c>
      <c r="H240" s="133" t="s">
        <v>4984</v>
      </c>
      <c r="I240" s="133"/>
      <c r="J240" s="136"/>
      <c r="K240" s="136"/>
      <c r="L240" s="137"/>
      <c r="M240" s="136"/>
      <c r="N240" s="88">
        <v>0</v>
      </c>
      <c r="O240" s="88">
        <v>0</v>
      </c>
      <c r="P240" s="88">
        <v>5234.0988400295028</v>
      </c>
      <c r="Q240" s="88">
        <v>12373.759459970497</v>
      </c>
      <c r="R240" s="88">
        <v>4945.8277700159042</v>
      </c>
      <c r="S240" s="88">
        <v>6771.8689701106114</v>
      </c>
      <c r="T240" s="88">
        <v>7987.2942480047614</v>
      </c>
      <c r="U240" s="88">
        <v>12356.825751740002</v>
      </c>
      <c r="V240" s="88">
        <v>12435.196756249999</v>
      </c>
      <c r="W240" s="88">
        <v>12379.658750000006</v>
      </c>
      <c r="X240" s="138">
        <v>20047.609030381343</v>
      </c>
      <c r="Y240" s="88">
        <v>25799.997685749426</v>
      </c>
      <c r="Z240" s="88">
        <v>41086.050000841482</v>
      </c>
      <c r="AA240" s="88">
        <v>44013.597565170465</v>
      </c>
      <c r="AB240" s="88">
        <v>51236.251524883482</v>
      </c>
      <c r="AC240" s="88">
        <v>59833.34656380758</v>
      </c>
      <c r="AD240" s="88">
        <v>66560.086274482979</v>
      </c>
      <c r="AE240" s="88">
        <v>63039.821427957009</v>
      </c>
      <c r="AF240" s="88">
        <v>61876.413122752369</v>
      </c>
      <c r="AG240" s="88">
        <v>66139.854731553511</v>
      </c>
      <c r="AH240" s="88">
        <v>73250.813524876372</v>
      </c>
      <c r="AI240" s="88">
        <v>63850.877323153356</v>
      </c>
      <c r="AJ240" s="88">
        <v>62031.899075753754</v>
      </c>
      <c r="AK240" s="88">
        <v>55006.654211756555</v>
      </c>
      <c r="AL240" s="88">
        <v>58684.793969411847</v>
      </c>
      <c r="AM240" s="88">
        <v>50385.577653093642</v>
      </c>
      <c r="AN240" s="88">
        <v>45033.651907438449</v>
      </c>
      <c r="AO240" s="88">
        <v>38190.275985011751</v>
      </c>
      <c r="AP240" s="88">
        <v>48347.742564359869</v>
      </c>
      <c r="AQ240" s="88">
        <v>58081.292383230721</v>
      </c>
      <c r="AR240" s="88">
        <v>61773.481932877403</v>
      </c>
      <c r="AS240" s="88">
        <v>69800.742945257647</v>
      </c>
      <c r="AT240" s="88">
        <v>59658.126518316407</v>
      </c>
      <c r="AU240" s="88">
        <v>60723.155472149825</v>
      </c>
      <c r="AV240" s="88">
        <v>56762.884308671637</v>
      </c>
      <c r="AW240" s="88">
        <v>45524.779020037655</v>
      </c>
      <c r="AX240" s="88">
        <v>44828.97890406278</v>
      </c>
      <c r="AY240" s="88">
        <v>55925.639913261883</v>
      </c>
      <c r="AZ240" s="88">
        <v>46387.59117305102</v>
      </c>
      <c r="BA240" s="88">
        <v>28476.289985560306</v>
      </c>
      <c r="BB240" s="88">
        <v>26419.151454116753</v>
      </c>
      <c r="BC240" s="88">
        <v>34694.063376919657</v>
      </c>
      <c r="BD240" s="88">
        <v>37931.150976919656</v>
      </c>
      <c r="BE240" s="88">
        <v>36608.358617854501</v>
      </c>
      <c r="BF240" s="88">
        <v>33196.608</v>
      </c>
      <c r="BG240" s="88">
        <v>33271.200000000004</v>
      </c>
      <c r="BH240" s="88">
        <v>32710.754400000002</v>
      </c>
      <c r="BI240" s="88">
        <v>32316.408000000003</v>
      </c>
      <c r="BJ240" s="88">
        <v>26566.214400000001</v>
      </c>
      <c r="BK240" s="88">
        <v>21270.762000000002</v>
      </c>
      <c r="BL240" s="88">
        <v>7586.7840000000006</v>
      </c>
      <c r="BM240" s="88">
        <v>0</v>
      </c>
      <c r="BN240" s="88">
        <v>0</v>
      </c>
      <c r="BO240" s="88">
        <v>0</v>
      </c>
      <c r="BP240" s="88">
        <v>0</v>
      </c>
      <c r="BQ240" s="88">
        <v>0</v>
      </c>
      <c r="BR240" s="88">
        <v>0</v>
      </c>
      <c r="BS240" s="88">
        <v>0</v>
      </c>
      <c r="BT240" s="88">
        <v>0</v>
      </c>
      <c r="BU240" s="88">
        <v>0</v>
      </c>
      <c r="BV240" s="88">
        <v>0</v>
      </c>
      <c r="BW240" s="88">
        <v>0</v>
      </c>
      <c r="BX240" s="88">
        <v>0</v>
      </c>
    </row>
    <row r="241" spans="1:76">
      <c r="A241" s="134" t="s">
        <v>66</v>
      </c>
      <c r="B241" s="133" t="s">
        <v>5340</v>
      </c>
      <c r="C241" s="133"/>
      <c r="D241" s="133" t="s">
        <v>4967</v>
      </c>
      <c r="E241" s="133" t="s">
        <v>4968</v>
      </c>
      <c r="F241" s="135" t="s">
        <v>4973</v>
      </c>
      <c r="G241" s="133" t="s">
        <v>4983</v>
      </c>
      <c r="H241" s="133" t="s">
        <v>4984</v>
      </c>
      <c r="I241" s="133"/>
      <c r="J241" s="136"/>
      <c r="K241" s="136"/>
      <c r="L241" s="137"/>
      <c r="M241" s="136"/>
      <c r="N241" s="88">
        <v>0</v>
      </c>
      <c r="O241" s="88">
        <v>0</v>
      </c>
      <c r="P241" s="88">
        <v>355.322</v>
      </c>
      <c r="Q241" s="88">
        <v>398.81600000000009</v>
      </c>
      <c r="R241" s="88">
        <v>550.67973188462577</v>
      </c>
      <c r="S241" s="88">
        <v>648.25897011061181</v>
      </c>
      <c r="T241" s="88">
        <v>737.5174980047625</v>
      </c>
      <c r="U241" s="88">
        <v>357.84728299000011</v>
      </c>
      <c r="V241" s="88">
        <v>746.70185000000038</v>
      </c>
      <c r="W241" s="88">
        <v>429.58924999999994</v>
      </c>
      <c r="X241" s="138">
        <v>4789.4720641998774</v>
      </c>
      <c r="Y241" s="88">
        <v>9518.9690877039666</v>
      </c>
      <c r="Z241" s="88">
        <v>21423.235911876087</v>
      </c>
      <c r="AA241" s="88">
        <v>21521.920089586314</v>
      </c>
      <c r="AB241" s="88">
        <v>20151.911556635154</v>
      </c>
      <c r="AC241" s="88">
        <v>24357.972952318669</v>
      </c>
      <c r="AD241" s="88">
        <v>29341.856453960347</v>
      </c>
      <c r="AE241" s="88">
        <v>26074.616211555862</v>
      </c>
      <c r="AF241" s="88">
        <v>29064.201310433022</v>
      </c>
      <c r="AG241" s="88">
        <v>32593.421804757945</v>
      </c>
      <c r="AH241" s="88">
        <v>37784.945974413778</v>
      </c>
      <c r="AI241" s="88">
        <v>36322.941312626906</v>
      </c>
      <c r="AJ241" s="88">
        <v>33653.246066773849</v>
      </c>
      <c r="AK241" s="88">
        <v>26628.001202776661</v>
      </c>
      <c r="AL241" s="88">
        <v>20584.848775429218</v>
      </c>
      <c r="AM241" s="88">
        <v>13381.102460625847</v>
      </c>
      <c r="AN241" s="88">
        <v>12157.237914970636</v>
      </c>
      <c r="AO241" s="88">
        <v>14758.156918367717</v>
      </c>
      <c r="AP241" s="88">
        <v>17069.688863026055</v>
      </c>
      <c r="AQ241" s="88">
        <v>23853.074491690448</v>
      </c>
      <c r="AR241" s="88">
        <v>27875.556055168632</v>
      </c>
      <c r="AS241" s="88">
        <v>27875.556055168632</v>
      </c>
      <c r="AT241" s="88">
        <v>27225.053606468333</v>
      </c>
      <c r="AU241" s="88">
        <v>26574.551157768041</v>
      </c>
      <c r="AV241" s="88">
        <v>22552.069594289856</v>
      </c>
      <c r="AW241" s="88">
        <v>11457.530607466151</v>
      </c>
      <c r="AX241" s="88">
        <v>12301.890476751725</v>
      </c>
      <c r="AY241" s="88">
        <v>9568.9213517517273</v>
      </c>
      <c r="AZ241" s="88">
        <v>8724.5614824661516</v>
      </c>
      <c r="BA241" s="88">
        <v>0</v>
      </c>
      <c r="BB241" s="88">
        <v>0</v>
      </c>
      <c r="BC241" s="88">
        <v>0</v>
      </c>
      <c r="BD241" s="88">
        <v>0</v>
      </c>
      <c r="BE241" s="88">
        <v>0</v>
      </c>
      <c r="BF241" s="88">
        <v>0</v>
      </c>
      <c r="BG241" s="88">
        <v>0</v>
      </c>
      <c r="BH241" s="88">
        <v>0</v>
      </c>
      <c r="BI241" s="88">
        <v>0</v>
      </c>
      <c r="BJ241" s="88">
        <v>0</v>
      </c>
      <c r="BK241" s="88">
        <v>0</v>
      </c>
      <c r="BL241" s="88">
        <v>0</v>
      </c>
      <c r="BM241" s="88">
        <v>0</v>
      </c>
      <c r="BN241" s="88">
        <v>0</v>
      </c>
      <c r="BO241" s="88">
        <v>0</v>
      </c>
      <c r="BP241" s="88">
        <v>0</v>
      </c>
      <c r="BQ241" s="88">
        <v>0</v>
      </c>
      <c r="BR241" s="88">
        <v>0</v>
      </c>
      <c r="BS241" s="88">
        <v>0</v>
      </c>
      <c r="BT241" s="88">
        <v>0</v>
      </c>
      <c r="BU241" s="88">
        <v>0</v>
      </c>
      <c r="BV241" s="88">
        <v>0</v>
      </c>
      <c r="BW241" s="88">
        <v>0</v>
      </c>
      <c r="BX241" s="88">
        <v>0</v>
      </c>
    </row>
    <row r="242" spans="1:76">
      <c r="A242" s="3" t="s">
        <v>66</v>
      </c>
      <c r="B242" t="s">
        <v>3689</v>
      </c>
      <c r="D242" t="s">
        <v>4967</v>
      </c>
      <c r="F242" s="91" t="s">
        <v>4973</v>
      </c>
      <c r="H242" s="3" t="s">
        <v>4984</v>
      </c>
      <c r="I242" s="3"/>
      <c r="J242" s="124"/>
      <c r="K242" s="124"/>
      <c r="M242" s="124"/>
      <c r="V242" s="9">
        <v>1</v>
      </c>
      <c r="W242" s="9">
        <v>1</v>
      </c>
      <c r="X242" s="10">
        <v>1</v>
      </c>
      <c r="Y242" s="9">
        <v>1</v>
      </c>
      <c r="Z242" s="9">
        <v>1</v>
      </c>
      <c r="AA242" s="9">
        <v>1</v>
      </c>
      <c r="AB242" s="9">
        <v>1</v>
      </c>
      <c r="AC242" s="9">
        <v>1</v>
      </c>
      <c r="AD242" s="9">
        <v>1</v>
      </c>
      <c r="AE242" s="9">
        <v>1</v>
      </c>
      <c r="AF242" s="9">
        <v>1</v>
      </c>
      <c r="AG242" s="9">
        <v>1</v>
      </c>
      <c r="AH242" s="9">
        <v>1</v>
      </c>
      <c r="AI242" s="9">
        <v>1</v>
      </c>
      <c r="AJ242" s="9">
        <v>1</v>
      </c>
      <c r="AK242" s="9">
        <v>1</v>
      </c>
      <c r="AL242" s="9">
        <v>1</v>
      </c>
      <c r="AM242" s="9">
        <v>1</v>
      </c>
      <c r="AN242" s="9">
        <v>1</v>
      </c>
      <c r="AO242" s="9">
        <v>1</v>
      </c>
      <c r="AP242" s="9">
        <v>1</v>
      </c>
      <c r="AQ242" s="9">
        <v>1</v>
      </c>
      <c r="AR242" s="9">
        <v>1</v>
      </c>
      <c r="AS242" s="9">
        <v>1</v>
      </c>
      <c r="AT242" s="9">
        <v>1</v>
      </c>
      <c r="AU242" s="9">
        <v>1</v>
      </c>
      <c r="AV242" s="9">
        <v>1</v>
      </c>
      <c r="AW242" s="9">
        <v>1</v>
      </c>
      <c r="AX242" s="9">
        <v>1</v>
      </c>
      <c r="AY242" s="9">
        <v>1</v>
      </c>
      <c r="AZ242" s="9">
        <v>1</v>
      </c>
      <c r="BA242" s="9">
        <v>1</v>
      </c>
      <c r="BB242" s="9">
        <v>1</v>
      </c>
      <c r="BC242" s="9">
        <v>1</v>
      </c>
      <c r="BD242" s="9">
        <v>1</v>
      </c>
      <c r="BE242" s="9">
        <v>1</v>
      </c>
      <c r="BF242" s="9">
        <v>1</v>
      </c>
      <c r="BG242" s="9">
        <v>1</v>
      </c>
      <c r="BH242" s="9">
        <v>1</v>
      </c>
      <c r="BI242" s="9">
        <v>1</v>
      </c>
      <c r="BJ242" s="9">
        <v>1</v>
      </c>
      <c r="BK242" s="9">
        <v>1</v>
      </c>
      <c r="BL242" s="9">
        <v>1</v>
      </c>
      <c r="BM242" s="9">
        <v>1</v>
      </c>
      <c r="BN242" s="9">
        <v>1</v>
      </c>
      <c r="BO242" s="9">
        <v>1</v>
      </c>
      <c r="BP242" s="9">
        <v>1</v>
      </c>
      <c r="BQ242" s="9">
        <v>1</v>
      </c>
      <c r="BR242" s="9">
        <v>1</v>
      </c>
      <c r="BS242" s="9">
        <v>1</v>
      </c>
      <c r="BT242" s="9">
        <v>1</v>
      </c>
      <c r="BU242" s="9">
        <v>1</v>
      </c>
      <c r="BV242" s="9">
        <v>1</v>
      </c>
      <c r="BW242" s="9">
        <v>1</v>
      </c>
      <c r="BX242" s="9">
        <v>1</v>
      </c>
    </row>
    <row r="243" spans="1:76">
      <c r="A243" s="3" t="s">
        <v>66</v>
      </c>
      <c r="B243" t="s">
        <v>3692</v>
      </c>
      <c r="D243" t="s">
        <v>4967</v>
      </c>
      <c r="F243" s="91" t="s">
        <v>4973</v>
      </c>
      <c r="H243" s="3" t="s">
        <v>4984</v>
      </c>
      <c r="I243" s="3"/>
      <c r="J243" s="124"/>
      <c r="K243" s="124"/>
      <c r="M243" s="124"/>
      <c r="V243" s="9">
        <v>1</v>
      </c>
      <c r="W243" s="9">
        <v>1</v>
      </c>
      <c r="X243" s="10">
        <v>1</v>
      </c>
      <c r="Y243" s="9">
        <v>1</v>
      </c>
      <c r="Z243" s="9">
        <v>1</v>
      </c>
      <c r="AA243" s="9">
        <v>1</v>
      </c>
      <c r="AB243" s="9">
        <v>1</v>
      </c>
      <c r="AC243" s="9">
        <v>1</v>
      </c>
      <c r="AD243" s="9">
        <v>1</v>
      </c>
      <c r="AE243" s="9">
        <v>1</v>
      </c>
      <c r="AF243" s="9">
        <v>1</v>
      </c>
      <c r="AG243" s="9">
        <v>1</v>
      </c>
      <c r="AH243" s="9">
        <v>1</v>
      </c>
      <c r="AI243" s="9">
        <v>1</v>
      </c>
      <c r="AJ243" s="9">
        <v>1</v>
      </c>
      <c r="AK243" s="9">
        <v>1</v>
      </c>
      <c r="AL243" s="9">
        <v>1</v>
      </c>
      <c r="AM243" s="9">
        <v>1</v>
      </c>
      <c r="AN243" s="9">
        <v>1</v>
      </c>
      <c r="AO243" s="9">
        <v>1</v>
      </c>
      <c r="AP243" s="9">
        <v>1</v>
      </c>
      <c r="AQ243" s="9">
        <v>1</v>
      </c>
      <c r="AR243" s="9">
        <v>1</v>
      </c>
      <c r="AS243" s="9">
        <v>1</v>
      </c>
      <c r="AT243" s="9">
        <v>1</v>
      </c>
      <c r="AU243" s="9">
        <v>1</v>
      </c>
      <c r="AV243" s="9">
        <v>1</v>
      </c>
      <c r="AW243" s="9">
        <v>1</v>
      </c>
      <c r="AX243" s="9">
        <v>1</v>
      </c>
      <c r="AY243" s="9">
        <v>1</v>
      </c>
      <c r="AZ243" s="9">
        <v>1</v>
      </c>
      <c r="BA243" s="9">
        <v>1</v>
      </c>
      <c r="BB243" s="9">
        <v>1</v>
      </c>
      <c r="BC243" s="9">
        <v>1</v>
      </c>
      <c r="BD243" s="9">
        <v>1</v>
      </c>
      <c r="BE243" s="9">
        <v>1</v>
      </c>
      <c r="BF243" s="9">
        <v>1</v>
      </c>
      <c r="BG243" s="9">
        <v>1</v>
      </c>
      <c r="BH243" s="9">
        <v>1</v>
      </c>
      <c r="BI243" s="9">
        <v>1</v>
      </c>
      <c r="BJ243" s="9">
        <v>1</v>
      </c>
      <c r="BK243" s="9">
        <v>1</v>
      </c>
      <c r="BL243" s="9">
        <v>1</v>
      </c>
      <c r="BM243" s="9">
        <v>1</v>
      </c>
      <c r="BN243" s="9">
        <v>1</v>
      </c>
      <c r="BO243" s="9">
        <v>1</v>
      </c>
      <c r="BP243" s="9">
        <v>1</v>
      </c>
      <c r="BQ243" s="9">
        <v>1</v>
      </c>
      <c r="BR243" s="9">
        <v>1</v>
      </c>
      <c r="BS243" s="9">
        <v>1</v>
      </c>
      <c r="BT243" s="9">
        <v>1</v>
      </c>
      <c r="BU243" s="9">
        <v>1</v>
      </c>
      <c r="BV243" s="9">
        <v>1</v>
      </c>
      <c r="BW243" s="9">
        <v>1</v>
      </c>
      <c r="BX243" s="9">
        <v>1</v>
      </c>
    </row>
    <row r="244" spans="1:76">
      <c r="A244" s="3" t="s">
        <v>66</v>
      </c>
      <c r="B244" t="s">
        <v>3694</v>
      </c>
      <c r="D244" t="s">
        <v>4967</v>
      </c>
      <c r="F244" s="91" t="s">
        <v>4973</v>
      </c>
      <c r="H244" s="3" t="s">
        <v>4984</v>
      </c>
      <c r="I244" s="3"/>
      <c r="J244" s="124"/>
      <c r="K244" s="124"/>
      <c r="M244" s="124"/>
      <c r="V244" s="9">
        <v>1</v>
      </c>
      <c r="W244" s="9">
        <v>1</v>
      </c>
      <c r="X244" s="10">
        <v>1</v>
      </c>
      <c r="Y244" s="9">
        <v>1</v>
      </c>
      <c r="Z244" s="9">
        <v>1</v>
      </c>
      <c r="AA244" s="9">
        <v>1</v>
      </c>
      <c r="AB244" s="9">
        <v>1</v>
      </c>
      <c r="AC244" s="9">
        <v>1</v>
      </c>
      <c r="AD244" s="9">
        <v>1</v>
      </c>
      <c r="AE244" s="9">
        <v>1</v>
      </c>
      <c r="AF244" s="9">
        <v>1</v>
      </c>
      <c r="AG244" s="9">
        <v>1</v>
      </c>
      <c r="AH244" s="9">
        <v>1</v>
      </c>
      <c r="AI244" s="9">
        <v>1</v>
      </c>
      <c r="AJ244" s="9">
        <v>1</v>
      </c>
      <c r="AK244" s="9">
        <v>1</v>
      </c>
      <c r="AL244" s="9">
        <v>1</v>
      </c>
      <c r="AM244" s="9">
        <v>1</v>
      </c>
      <c r="AN244" s="9">
        <v>1</v>
      </c>
      <c r="AO244" s="9">
        <v>1</v>
      </c>
      <c r="AP244" s="9">
        <v>1</v>
      </c>
      <c r="AQ244" s="9">
        <v>1</v>
      </c>
      <c r="AR244" s="9">
        <v>1</v>
      </c>
      <c r="AS244" s="9">
        <v>1</v>
      </c>
      <c r="AT244" s="9">
        <v>1</v>
      </c>
      <c r="AU244" s="9">
        <v>1</v>
      </c>
      <c r="AV244" s="9">
        <v>1</v>
      </c>
      <c r="AW244" s="9">
        <v>1</v>
      </c>
      <c r="AX244" s="9">
        <v>1</v>
      </c>
      <c r="AY244" s="9">
        <v>1</v>
      </c>
      <c r="AZ244" s="9">
        <v>1</v>
      </c>
      <c r="BA244" s="9">
        <v>1</v>
      </c>
      <c r="BB244" s="9">
        <v>1</v>
      </c>
      <c r="BC244" s="9">
        <v>1</v>
      </c>
      <c r="BD244" s="9">
        <v>1</v>
      </c>
      <c r="BE244" s="9">
        <v>1</v>
      </c>
      <c r="BF244" s="9">
        <v>1</v>
      </c>
      <c r="BG244" s="9">
        <v>1</v>
      </c>
      <c r="BH244" s="9">
        <v>1</v>
      </c>
      <c r="BI244" s="9">
        <v>1</v>
      </c>
      <c r="BJ244" s="9">
        <v>1</v>
      </c>
      <c r="BK244" s="9">
        <v>1</v>
      </c>
      <c r="BL244" s="9">
        <v>1</v>
      </c>
      <c r="BM244" s="9">
        <v>1</v>
      </c>
      <c r="BN244" s="9">
        <v>1</v>
      </c>
      <c r="BO244" s="9">
        <v>1</v>
      </c>
      <c r="BP244" s="9">
        <v>1</v>
      </c>
      <c r="BQ244" s="9">
        <v>1</v>
      </c>
      <c r="BR244" s="9">
        <v>1</v>
      </c>
      <c r="BS244" s="9">
        <v>1</v>
      </c>
      <c r="BT244" s="9">
        <v>1</v>
      </c>
      <c r="BU244" s="9">
        <v>1</v>
      </c>
      <c r="BV244" s="9">
        <v>1</v>
      </c>
      <c r="BW244" s="9">
        <v>1</v>
      </c>
      <c r="BX244" s="9">
        <v>1</v>
      </c>
    </row>
    <row r="245" spans="1:76">
      <c r="A245" s="3" t="s">
        <v>66</v>
      </c>
      <c r="B245" t="s">
        <v>3697</v>
      </c>
      <c r="D245" t="s">
        <v>4967</v>
      </c>
      <c r="F245" s="91" t="s">
        <v>4973</v>
      </c>
      <c r="H245" s="3" t="s">
        <v>4984</v>
      </c>
      <c r="I245" s="3"/>
      <c r="J245" s="124"/>
      <c r="K245" s="124"/>
      <c r="M245" s="124"/>
      <c r="V245" s="9">
        <v>1</v>
      </c>
      <c r="W245" s="9">
        <v>1</v>
      </c>
      <c r="X245" s="10">
        <v>1</v>
      </c>
      <c r="Y245" s="9">
        <v>1</v>
      </c>
      <c r="Z245" s="9">
        <v>1</v>
      </c>
      <c r="AA245" s="9">
        <v>1</v>
      </c>
      <c r="AB245" s="9">
        <v>1</v>
      </c>
      <c r="AC245" s="9">
        <v>1</v>
      </c>
      <c r="AD245" s="9">
        <v>1</v>
      </c>
      <c r="AE245" s="9">
        <v>1</v>
      </c>
      <c r="AF245" s="9">
        <v>1</v>
      </c>
      <c r="AG245" s="9">
        <v>1</v>
      </c>
      <c r="AH245" s="9">
        <v>1</v>
      </c>
      <c r="AI245" s="9">
        <v>1</v>
      </c>
      <c r="AJ245" s="9">
        <v>1</v>
      </c>
      <c r="AK245" s="9">
        <v>1</v>
      </c>
      <c r="AL245" s="9">
        <v>1</v>
      </c>
      <c r="AM245" s="9">
        <v>1</v>
      </c>
      <c r="AN245" s="9">
        <v>1</v>
      </c>
      <c r="AO245" s="9">
        <v>1</v>
      </c>
      <c r="AP245" s="9">
        <v>1</v>
      </c>
      <c r="AQ245" s="9">
        <v>1</v>
      </c>
      <c r="AR245" s="9">
        <v>1</v>
      </c>
      <c r="AS245" s="9">
        <v>1</v>
      </c>
      <c r="AT245" s="9">
        <v>1</v>
      </c>
      <c r="AU245" s="9">
        <v>1</v>
      </c>
      <c r="AV245" s="9">
        <v>1</v>
      </c>
      <c r="AW245" s="9">
        <v>1</v>
      </c>
      <c r="AX245" s="9">
        <v>1</v>
      </c>
      <c r="AY245" s="9">
        <v>1</v>
      </c>
      <c r="AZ245" s="9">
        <v>1</v>
      </c>
      <c r="BA245" s="9">
        <v>1</v>
      </c>
      <c r="BB245" s="9">
        <v>1</v>
      </c>
      <c r="BC245" s="9">
        <v>1</v>
      </c>
      <c r="BD245" s="9">
        <v>1</v>
      </c>
      <c r="BE245" s="9">
        <v>1</v>
      </c>
      <c r="BF245" s="9">
        <v>1</v>
      </c>
      <c r="BG245" s="9">
        <v>1</v>
      </c>
      <c r="BH245" s="9">
        <v>1</v>
      </c>
      <c r="BI245" s="9">
        <v>1</v>
      </c>
      <c r="BJ245" s="9">
        <v>1</v>
      </c>
      <c r="BK245" s="9">
        <v>1</v>
      </c>
      <c r="BL245" s="9">
        <v>1</v>
      </c>
      <c r="BM245" s="9">
        <v>1</v>
      </c>
      <c r="BN245" s="9">
        <v>1</v>
      </c>
      <c r="BO245" s="9">
        <v>1</v>
      </c>
      <c r="BP245" s="9">
        <v>1</v>
      </c>
      <c r="BQ245" s="9">
        <v>1</v>
      </c>
      <c r="BR245" s="9">
        <v>1</v>
      </c>
      <c r="BS245" s="9">
        <v>1</v>
      </c>
      <c r="BT245" s="9">
        <v>1</v>
      </c>
      <c r="BU245" s="9">
        <v>1</v>
      </c>
      <c r="BV245" s="9">
        <v>1</v>
      </c>
      <c r="BW245" s="9">
        <v>1</v>
      </c>
      <c r="BX245" s="9">
        <v>1</v>
      </c>
    </row>
    <row r="246" spans="1:76">
      <c r="A246" s="3" t="s">
        <v>66</v>
      </c>
      <c r="B246" t="s">
        <v>3699</v>
      </c>
      <c r="D246" t="s">
        <v>4967</v>
      </c>
      <c r="F246" s="91" t="s">
        <v>4973</v>
      </c>
      <c r="H246" s="3" t="s">
        <v>4984</v>
      </c>
      <c r="I246" s="3"/>
      <c r="J246" s="124"/>
      <c r="K246" s="124"/>
      <c r="M246" s="124"/>
      <c r="V246" s="9">
        <v>1</v>
      </c>
      <c r="W246" s="9">
        <v>1</v>
      </c>
      <c r="X246" s="10">
        <v>1</v>
      </c>
      <c r="Y246" s="9">
        <v>1</v>
      </c>
      <c r="Z246" s="9">
        <v>1</v>
      </c>
      <c r="AA246" s="9">
        <v>1</v>
      </c>
      <c r="AB246" s="9">
        <v>1</v>
      </c>
      <c r="AC246" s="9">
        <v>1</v>
      </c>
      <c r="AD246" s="9">
        <v>1</v>
      </c>
      <c r="AE246" s="9">
        <v>1</v>
      </c>
      <c r="AF246" s="9">
        <v>1</v>
      </c>
      <c r="AG246" s="9">
        <v>1</v>
      </c>
      <c r="AH246" s="9">
        <v>1</v>
      </c>
      <c r="AI246" s="9">
        <v>1</v>
      </c>
      <c r="AJ246" s="9">
        <v>1</v>
      </c>
      <c r="AK246" s="9">
        <v>1</v>
      </c>
      <c r="AL246" s="9">
        <v>1</v>
      </c>
      <c r="AM246" s="9">
        <v>1</v>
      </c>
      <c r="AN246" s="9">
        <v>1</v>
      </c>
      <c r="AO246" s="9">
        <v>1</v>
      </c>
      <c r="AP246" s="9">
        <v>1</v>
      </c>
      <c r="AQ246" s="9">
        <v>1</v>
      </c>
      <c r="AR246" s="9">
        <v>1</v>
      </c>
      <c r="AS246" s="9">
        <v>1</v>
      </c>
      <c r="AT246" s="9">
        <v>1</v>
      </c>
      <c r="AU246" s="9">
        <v>1</v>
      </c>
      <c r="AV246" s="9">
        <v>1</v>
      </c>
      <c r="AW246" s="9">
        <v>1</v>
      </c>
      <c r="AX246" s="9">
        <v>1</v>
      </c>
      <c r="AY246" s="9">
        <v>1</v>
      </c>
      <c r="AZ246" s="9">
        <v>1</v>
      </c>
      <c r="BA246" s="9">
        <v>1</v>
      </c>
      <c r="BB246" s="9">
        <v>1</v>
      </c>
      <c r="BC246" s="9">
        <v>1</v>
      </c>
      <c r="BD246" s="9">
        <v>1</v>
      </c>
      <c r="BE246" s="9">
        <v>1</v>
      </c>
      <c r="BF246" s="9">
        <v>1</v>
      </c>
      <c r="BG246" s="9">
        <v>1</v>
      </c>
      <c r="BH246" s="9">
        <v>1</v>
      </c>
      <c r="BI246" s="9">
        <v>1</v>
      </c>
      <c r="BJ246" s="9">
        <v>1</v>
      </c>
      <c r="BK246" s="9">
        <v>1</v>
      </c>
      <c r="BL246" s="9">
        <v>1</v>
      </c>
      <c r="BM246" s="9">
        <v>1</v>
      </c>
      <c r="BN246" s="9">
        <v>1</v>
      </c>
      <c r="BO246" s="9">
        <v>1</v>
      </c>
      <c r="BP246" s="9">
        <v>1</v>
      </c>
      <c r="BQ246" s="9">
        <v>1</v>
      </c>
      <c r="BR246" s="9">
        <v>1</v>
      </c>
      <c r="BS246" s="9">
        <v>1</v>
      </c>
      <c r="BT246" s="9">
        <v>1</v>
      </c>
      <c r="BU246" s="9">
        <v>1</v>
      </c>
      <c r="BV246" s="9">
        <v>1</v>
      </c>
      <c r="BW246" s="9">
        <v>1</v>
      </c>
      <c r="BX246" s="9">
        <v>1</v>
      </c>
    </row>
    <row r="247" spans="1:76">
      <c r="A247" s="3" t="s">
        <v>66</v>
      </c>
      <c r="B247" t="s">
        <v>3701</v>
      </c>
      <c r="D247" t="s">
        <v>4967</v>
      </c>
      <c r="F247" s="91" t="s">
        <v>4973</v>
      </c>
      <c r="H247" s="3" t="s">
        <v>4984</v>
      </c>
      <c r="I247" s="3"/>
      <c r="J247" s="124"/>
      <c r="K247" s="124"/>
      <c r="M247" s="124"/>
      <c r="V247" s="9">
        <v>1</v>
      </c>
      <c r="W247" s="9">
        <v>1</v>
      </c>
      <c r="X247" s="10">
        <v>1</v>
      </c>
      <c r="Y247" s="9">
        <v>1</v>
      </c>
      <c r="Z247" s="9">
        <v>1</v>
      </c>
      <c r="AA247" s="9">
        <v>1</v>
      </c>
      <c r="AB247" s="9">
        <v>1</v>
      </c>
      <c r="AC247" s="9">
        <v>1</v>
      </c>
      <c r="AD247" s="9">
        <v>1</v>
      </c>
      <c r="AE247" s="9">
        <v>1</v>
      </c>
      <c r="AF247" s="9">
        <v>1</v>
      </c>
      <c r="AG247" s="9">
        <v>1</v>
      </c>
      <c r="AH247" s="9">
        <v>1</v>
      </c>
      <c r="AI247" s="9">
        <v>1</v>
      </c>
      <c r="AJ247" s="9">
        <v>1</v>
      </c>
      <c r="AK247" s="9">
        <v>1</v>
      </c>
      <c r="AL247" s="9">
        <v>1</v>
      </c>
      <c r="AM247" s="9">
        <v>1</v>
      </c>
      <c r="AN247" s="9">
        <v>1</v>
      </c>
      <c r="AO247" s="9">
        <v>1</v>
      </c>
      <c r="AP247" s="9">
        <v>1</v>
      </c>
      <c r="AQ247" s="9">
        <v>1</v>
      </c>
      <c r="AR247" s="9">
        <v>1</v>
      </c>
      <c r="AS247" s="9">
        <v>1</v>
      </c>
      <c r="AT247" s="9">
        <v>1</v>
      </c>
      <c r="AU247" s="9">
        <v>1</v>
      </c>
      <c r="AV247" s="9">
        <v>1</v>
      </c>
      <c r="AW247" s="9">
        <v>1</v>
      </c>
      <c r="AX247" s="9">
        <v>1</v>
      </c>
      <c r="AY247" s="9">
        <v>1</v>
      </c>
      <c r="AZ247" s="9">
        <v>1</v>
      </c>
      <c r="BA247" s="9">
        <v>1</v>
      </c>
      <c r="BB247" s="9">
        <v>1</v>
      </c>
      <c r="BC247" s="9">
        <v>1</v>
      </c>
      <c r="BD247" s="9">
        <v>1</v>
      </c>
      <c r="BE247" s="9">
        <v>1</v>
      </c>
      <c r="BF247" s="9">
        <v>1</v>
      </c>
      <c r="BG247" s="9">
        <v>1</v>
      </c>
      <c r="BH247" s="9">
        <v>1</v>
      </c>
      <c r="BI247" s="9">
        <v>1</v>
      </c>
      <c r="BJ247" s="9">
        <v>1</v>
      </c>
      <c r="BK247" s="9">
        <v>1</v>
      </c>
      <c r="BL247" s="9">
        <v>1</v>
      </c>
      <c r="BM247" s="9">
        <v>1</v>
      </c>
      <c r="BN247" s="9">
        <v>1</v>
      </c>
      <c r="BO247" s="9">
        <v>1</v>
      </c>
      <c r="BP247" s="9">
        <v>1</v>
      </c>
      <c r="BQ247" s="9">
        <v>1</v>
      </c>
      <c r="BR247" s="9">
        <v>1</v>
      </c>
      <c r="BS247" s="9">
        <v>1</v>
      </c>
      <c r="BT247" s="9">
        <v>1</v>
      </c>
      <c r="BU247" s="9">
        <v>1</v>
      </c>
      <c r="BV247" s="9">
        <v>1</v>
      </c>
      <c r="BW247" s="9">
        <v>1</v>
      </c>
      <c r="BX247" s="9">
        <v>1</v>
      </c>
    </row>
    <row r="248" spans="1:76">
      <c r="A248" s="3" t="s">
        <v>66</v>
      </c>
      <c r="B248" t="s">
        <v>3703</v>
      </c>
      <c r="D248" t="s">
        <v>4967</v>
      </c>
      <c r="F248" s="91" t="s">
        <v>4973</v>
      </c>
      <c r="H248" s="3" t="s">
        <v>4984</v>
      </c>
      <c r="I248" s="3"/>
      <c r="J248" s="124"/>
      <c r="K248" s="124"/>
      <c r="M248" s="124"/>
      <c r="V248" s="9">
        <v>1</v>
      </c>
      <c r="W248" s="9">
        <v>1</v>
      </c>
      <c r="X248" s="10">
        <v>1</v>
      </c>
      <c r="Y248" s="9">
        <v>1</v>
      </c>
      <c r="Z248" s="9">
        <v>1</v>
      </c>
      <c r="AA248" s="9">
        <v>1</v>
      </c>
      <c r="AB248" s="9">
        <v>1</v>
      </c>
      <c r="AC248" s="9">
        <v>1</v>
      </c>
      <c r="AD248" s="9">
        <v>1</v>
      </c>
      <c r="AE248" s="9">
        <v>1</v>
      </c>
      <c r="AF248" s="9">
        <v>1</v>
      </c>
      <c r="AG248" s="9">
        <v>1</v>
      </c>
      <c r="AH248" s="9">
        <v>1</v>
      </c>
      <c r="AI248" s="9">
        <v>1</v>
      </c>
      <c r="AJ248" s="9">
        <v>1</v>
      </c>
      <c r="AK248" s="9">
        <v>1</v>
      </c>
      <c r="AL248" s="9">
        <v>1</v>
      </c>
      <c r="AM248" s="9">
        <v>1</v>
      </c>
      <c r="AN248" s="9">
        <v>1</v>
      </c>
      <c r="AO248" s="9">
        <v>1</v>
      </c>
      <c r="AP248" s="9">
        <v>1</v>
      </c>
      <c r="AQ248" s="9">
        <v>1</v>
      </c>
      <c r="AR248" s="9">
        <v>1</v>
      </c>
      <c r="AS248" s="9">
        <v>1</v>
      </c>
      <c r="AT248" s="9">
        <v>1</v>
      </c>
      <c r="AU248" s="9">
        <v>1</v>
      </c>
      <c r="AV248" s="9">
        <v>1</v>
      </c>
      <c r="AW248" s="9">
        <v>1</v>
      </c>
      <c r="AX248" s="9">
        <v>1</v>
      </c>
      <c r="AY248" s="9">
        <v>1</v>
      </c>
      <c r="AZ248" s="9">
        <v>1</v>
      </c>
      <c r="BA248" s="9">
        <v>1</v>
      </c>
      <c r="BB248" s="9">
        <v>1</v>
      </c>
      <c r="BC248" s="9">
        <v>1</v>
      </c>
      <c r="BD248" s="9">
        <v>1</v>
      </c>
      <c r="BE248" s="9">
        <v>1</v>
      </c>
      <c r="BF248" s="9">
        <v>1</v>
      </c>
      <c r="BG248" s="9">
        <v>1</v>
      </c>
      <c r="BH248" s="9">
        <v>1</v>
      </c>
      <c r="BI248" s="9">
        <v>1</v>
      </c>
      <c r="BJ248" s="9">
        <v>1</v>
      </c>
      <c r="BK248" s="9">
        <v>1</v>
      </c>
      <c r="BL248" s="9">
        <v>1</v>
      </c>
      <c r="BM248" s="9">
        <v>1</v>
      </c>
      <c r="BN248" s="9">
        <v>1</v>
      </c>
      <c r="BO248" s="9">
        <v>1</v>
      </c>
      <c r="BP248" s="9">
        <v>1</v>
      </c>
      <c r="BQ248" s="9">
        <v>1</v>
      </c>
      <c r="BR248" s="9">
        <v>1</v>
      </c>
      <c r="BS248" s="9">
        <v>1</v>
      </c>
      <c r="BT248" s="9">
        <v>1</v>
      </c>
      <c r="BU248" s="9">
        <v>1</v>
      </c>
      <c r="BV248" s="9">
        <v>1</v>
      </c>
      <c r="BW248" s="9">
        <v>1</v>
      </c>
      <c r="BX248" s="9">
        <v>1</v>
      </c>
    </row>
    <row r="249" spans="1:76">
      <c r="A249" s="3" t="s">
        <v>66</v>
      </c>
      <c r="B249" t="s">
        <v>3705</v>
      </c>
      <c r="D249" t="s">
        <v>4967</v>
      </c>
      <c r="F249" s="91" t="s">
        <v>4973</v>
      </c>
      <c r="H249" s="3" t="s">
        <v>4984</v>
      </c>
      <c r="I249" s="3"/>
      <c r="J249" s="124"/>
      <c r="K249" s="124"/>
      <c r="M249" s="124"/>
      <c r="V249" s="9">
        <v>1</v>
      </c>
      <c r="W249" s="9">
        <v>1</v>
      </c>
      <c r="X249" s="10">
        <v>1</v>
      </c>
      <c r="Y249" s="9">
        <v>1</v>
      </c>
      <c r="Z249" s="9">
        <v>1</v>
      </c>
      <c r="AA249" s="9">
        <v>1</v>
      </c>
      <c r="AB249" s="9">
        <v>1</v>
      </c>
      <c r="AC249" s="9">
        <v>1</v>
      </c>
      <c r="AD249" s="9">
        <v>1</v>
      </c>
      <c r="AE249" s="9">
        <v>1</v>
      </c>
      <c r="AF249" s="9">
        <v>1</v>
      </c>
      <c r="AG249" s="9">
        <v>1</v>
      </c>
      <c r="AH249" s="9">
        <v>1</v>
      </c>
      <c r="AI249" s="9">
        <v>1</v>
      </c>
      <c r="AJ249" s="9">
        <v>1</v>
      </c>
      <c r="AK249" s="9">
        <v>1</v>
      </c>
      <c r="AL249" s="9">
        <v>1</v>
      </c>
      <c r="AM249" s="9">
        <v>1</v>
      </c>
      <c r="AN249" s="9">
        <v>1</v>
      </c>
      <c r="AO249" s="9">
        <v>1</v>
      </c>
      <c r="AP249" s="9">
        <v>1</v>
      </c>
      <c r="AQ249" s="9">
        <v>1</v>
      </c>
      <c r="AR249" s="9">
        <v>1</v>
      </c>
      <c r="AS249" s="9">
        <v>1</v>
      </c>
      <c r="AT249" s="9">
        <v>1</v>
      </c>
      <c r="AU249" s="9">
        <v>1</v>
      </c>
      <c r="AV249" s="9">
        <v>1</v>
      </c>
      <c r="AW249" s="9">
        <v>1</v>
      </c>
      <c r="AX249" s="9">
        <v>1</v>
      </c>
      <c r="AY249" s="9">
        <v>1</v>
      </c>
      <c r="AZ249" s="9">
        <v>1</v>
      </c>
      <c r="BA249" s="9">
        <v>1</v>
      </c>
      <c r="BB249" s="9">
        <v>1</v>
      </c>
      <c r="BC249" s="9">
        <v>1</v>
      </c>
      <c r="BD249" s="9">
        <v>1</v>
      </c>
      <c r="BE249" s="9">
        <v>1</v>
      </c>
      <c r="BF249" s="9">
        <v>1</v>
      </c>
      <c r="BG249" s="9">
        <v>1</v>
      </c>
      <c r="BH249" s="9">
        <v>1</v>
      </c>
      <c r="BI249" s="9">
        <v>1</v>
      </c>
      <c r="BJ249" s="9">
        <v>1</v>
      </c>
      <c r="BK249" s="9">
        <v>1</v>
      </c>
      <c r="BL249" s="9">
        <v>1</v>
      </c>
      <c r="BM249" s="9">
        <v>1</v>
      </c>
      <c r="BN249" s="9">
        <v>1</v>
      </c>
      <c r="BO249" s="9">
        <v>1</v>
      </c>
      <c r="BP249" s="9">
        <v>1</v>
      </c>
      <c r="BQ249" s="9">
        <v>1</v>
      </c>
      <c r="BR249" s="9">
        <v>1</v>
      </c>
      <c r="BS249" s="9">
        <v>1</v>
      </c>
      <c r="BT249" s="9">
        <v>1</v>
      </c>
      <c r="BU249" s="9">
        <v>1</v>
      </c>
      <c r="BV249" s="9">
        <v>1</v>
      </c>
      <c r="BW249" s="9">
        <v>1</v>
      </c>
      <c r="BX249" s="9">
        <v>1</v>
      </c>
    </row>
    <row r="250" spans="1:76">
      <c r="A250" s="3" t="s">
        <v>66</v>
      </c>
      <c r="B250" t="s">
        <v>3707</v>
      </c>
      <c r="D250" t="s">
        <v>4967</v>
      </c>
      <c r="F250" s="91" t="s">
        <v>4973</v>
      </c>
      <c r="H250" s="3" t="s">
        <v>4984</v>
      </c>
      <c r="I250" s="3"/>
      <c r="J250" s="124"/>
      <c r="K250" s="124"/>
      <c r="M250" s="124"/>
      <c r="V250" s="9">
        <v>1</v>
      </c>
      <c r="W250" s="9">
        <v>1</v>
      </c>
      <c r="X250" s="10">
        <v>1</v>
      </c>
      <c r="Y250" s="9">
        <v>1</v>
      </c>
      <c r="Z250" s="9">
        <v>1</v>
      </c>
      <c r="AA250" s="9">
        <v>1</v>
      </c>
      <c r="AB250" s="9">
        <v>1</v>
      </c>
      <c r="AC250" s="9">
        <v>1</v>
      </c>
      <c r="AD250" s="9">
        <v>1</v>
      </c>
      <c r="AE250" s="9">
        <v>1</v>
      </c>
      <c r="AF250" s="9">
        <v>1</v>
      </c>
      <c r="AG250" s="9">
        <v>1</v>
      </c>
      <c r="AH250" s="9">
        <v>1</v>
      </c>
      <c r="AI250" s="9">
        <v>1</v>
      </c>
      <c r="AJ250" s="9">
        <v>1</v>
      </c>
      <c r="AK250" s="9">
        <v>1</v>
      </c>
      <c r="AL250" s="9">
        <v>1</v>
      </c>
      <c r="AM250" s="9">
        <v>1</v>
      </c>
      <c r="AN250" s="9">
        <v>1</v>
      </c>
      <c r="AO250" s="9">
        <v>1</v>
      </c>
      <c r="AP250" s="9">
        <v>1</v>
      </c>
      <c r="AQ250" s="9">
        <v>1</v>
      </c>
      <c r="AR250" s="9">
        <v>1</v>
      </c>
      <c r="AS250" s="9">
        <v>1</v>
      </c>
      <c r="AT250" s="9">
        <v>1</v>
      </c>
      <c r="AU250" s="9">
        <v>1</v>
      </c>
      <c r="AV250" s="9">
        <v>1</v>
      </c>
      <c r="AW250" s="9">
        <v>1</v>
      </c>
      <c r="AX250" s="9">
        <v>1</v>
      </c>
      <c r="AY250" s="9">
        <v>1</v>
      </c>
      <c r="AZ250" s="9">
        <v>1</v>
      </c>
      <c r="BA250" s="9">
        <v>1</v>
      </c>
      <c r="BB250" s="9">
        <v>1</v>
      </c>
      <c r="BC250" s="9">
        <v>1</v>
      </c>
      <c r="BD250" s="9">
        <v>1</v>
      </c>
      <c r="BE250" s="9">
        <v>1</v>
      </c>
      <c r="BF250" s="9">
        <v>1</v>
      </c>
      <c r="BG250" s="9">
        <v>1</v>
      </c>
      <c r="BH250" s="9">
        <v>1</v>
      </c>
      <c r="BI250" s="9">
        <v>1</v>
      </c>
      <c r="BJ250" s="9">
        <v>1</v>
      </c>
      <c r="BK250" s="9">
        <v>1</v>
      </c>
      <c r="BL250" s="9">
        <v>1</v>
      </c>
      <c r="BM250" s="9">
        <v>1</v>
      </c>
      <c r="BN250" s="9">
        <v>1</v>
      </c>
      <c r="BO250" s="9">
        <v>1</v>
      </c>
      <c r="BP250" s="9">
        <v>1</v>
      </c>
      <c r="BQ250" s="9">
        <v>1</v>
      </c>
      <c r="BR250" s="9">
        <v>1</v>
      </c>
      <c r="BS250" s="9">
        <v>1</v>
      </c>
      <c r="BT250" s="9">
        <v>1</v>
      </c>
      <c r="BU250" s="9">
        <v>1</v>
      </c>
      <c r="BV250" s="9">
        <v>1</v>
      </c>
      <c r="BW250" s="9">
        <v>1</v>
      </c>
      <c r="BX250" s="9">
        <v>1</v>
      </c>
    </row>
    <row r="251" spans="1:76">
      <c r="A251" s="3" t="s">
        <v>66</v>
      </c>
      <c r="B251" t="s">
        <v>3709</v>
      </c>
      <c r="D251" t="s">
        <v>4967</v>
      </c>
      <c r="F251" s="91" t="s">
        <v>4973</v>
      </c>
      <c r="H251" s="3" t="s">
        <v>4984</v>
      </c>
      <c r="I251" s="3"/>
      <c r="J251" s="124"/>
      <c r="K251" s="124"/>
      <c r="M251" s="124"/>
      <c r="V251" s="9">
        <v>1</v>
      </c>
      <c r="W251" s="9">
        <v>1</v>
      </c>
      <c r="X251" s="10">
        <v>1</v>
      </c>
      <c r="Y251" s="9">
        <v>1</v>
      </c>
      <c r="Z251" s="9">
        <v>1</v>
      </c>
      <c r="AA251" s="9">
        <v>1</v>
      </c>
      <c r="AB251" s="9">
        <v>1</v>
      </c>
      <c r="AC251" s="9">
        <v>1</v>
      </c>
      <c r="AD251" s="9">
        <v>1</v>
      </c>
      <c r="AE251" s="9">
        <v>1</v>
      </c>
      <c r="AF251" s="9">
        <v>1</v>
      </c>
      <c r="AG251" s="9">
        <v>1</v>
      </c>
      <c r="AH251" s="9">
        <v>1</v>
      </c>
      <c r="AI251" s="9">
        <v>1</v>
      </c>
      <c r="AJ251" s="9">
        <v>1</v>
      </c>
      <c r="AK251" s="9">
        <v>1</v>
      </c>
      <c r="AL251" s="9">
        <v>1</v>
      </c>
      <c r="AM251" s="9">
        <v>1</v>
      </c>
      <c r="AN251" s="9">
        <v>1</v>
      </c>
      <c r="AO251" s="9">
        <v>1</v>
      </c>
      <c r="AP251" s="9">
        <v>1</v>
      </c>
      <c r="AQ251" s="9">
        <v>1</v>
      </c>
      <c r="AR251" s="9">
        <v>1</v>
      </c>
      <c r="AS251" s="9">
        <v>1</v>
      </c>
      <c r="AT251" s="9">
        <v>1</v>
      </c>
      <c r="AU251" s="9">
        <v>1</v>
      </c>
      <c r="AV251" s="9">
        <v>1</v>
      </c>
      <c r="AW251" s="9">
        <v>1</v>
      </c>
      <c r="AX251" s="9">
        <v>1</v>
      </c>
      <c r="AY251" s="9">
        <v>1</v>
      </c>
      <c r="AZ251" s="9">
        <v>1</v>
      </c>
      <c r="BA251" s="9">
        <v>1</v>
      </c>
      <c r="BB251" s="9">
        <v>1</v>
      </c>
      <c r="BC251" s="9">
        <v>1</v>
      </c>
      <c r="BD251" s="9">
        <v>1</v>
      </c>
      <c r="BE251" s="9">
        <v>1</v>
      </c>
      <c r="BF251" s="9">
        <v>1</v>
      </c>
      <c r="BG251" s="9">
        <v>1</v>
      </c>
      <c r="BH251" s="9">
        <v>1</v>
      </c>
      <c r="BI251" s="9">
        <v>1</v>
      </c>
      <c r="BJ251" s="9">
        <v>1</v>
      </c>
      <c r="BK251" s="9">
        <v>1</v>
      </c>
      <c r="BL251" s="9">
        <v>1</v>
      </c>
      <c r="BM251" s="9">
        <v>1</v>
      </c>
      <c r="BN251" s="9">
        <v>1</v>
      </c>
      <c r="BO251" s="9">
        <v>1</v>
      </c>
      <c r="BP251" s="9">
        <v>1</v>
      </c>
      <c r="BQ251" s="9">
        <v>1</v>
      </c>
      <c r="BR251" s="9">
        <v>1</v>
      </c>
      <c r="BS251" s="9">
        <v>1</v>
      </c>
      <c r="BT251" s="9">
        <v>1</v>
      </c>
      <c r="BU251" s="9">
        <v>1</v>
      </c>
      <c r="BV251" s="9">
        <v>1</v>
      </c>
      <c r="BW251" s="9">
        <v>1</v>
      </c>
      <c r="BX251" s="9">
        <v>1</v>
      </c>
    </row>
    <row r="252" spans="1:76">
      <c r="A252" s="3" t="s">
        <v>66</v>
      </c>
      <c r="B252" t="s">
        <v>3711</v>
      </c>
      <c r="D252" t="s">
        <v>4967</v>
      </c>
      <c r="F252" s="91" t="s">
        <v>4973</v>
      </c>
      <c r="H252" s="3" t="s">
        <v>4984</v>
      </c>
      <c r="I252" s="3"/>
      <c r="J252" s="124"/>
      <c r="K252" s="124"/>
      <c r="M252" s="124"/>
      <c r="V252" s="9">
        <v>1</v>
      </c>
      <c r="W252" s="9">
        <v>1</v>
      </c>
      <c r="X252" s="10">
        <v>1</v>
      </c>
      <c r="Y252" s="9">
        <v>1</v>
      </c>
      <c r="Z252" s="9">
        <v>1</v>
      </c>
      <c r="AA252" s="9">
        <v>1</v>
      </c>
      <c r="AB252" s="9">
        <v>1</v>
      </c>
      <c r="AC252" s="9">
        <v>1</v>
      </c>
      <c r="AD252" s="9">
        <v>1</v>
      </c>
      <c r="AE252" s="9">
        <v>1</v>
      </c>
      <c r="AF252" s="9">
        <v>1</v>
      </c>
      <c r="AG252" s="9">
        <v>1</v>
      </c>
      <c r="AH252" s="9">
        <v>1</v>
      </c>
      <c r="AI252" s="9">
        <v>1</v>
      </c>
      <c r="AJ252" s="9">
        <v>1</v>
      </c>
      <c r="AK252" s="9">
        <v>1</v>
      </c>
      <c r="AL252" s="9">
        <v>1</v>
      </c>
      <c r="AM252" s="9">
        <v>1</v>
      </c>
      <c r="AN252" s="9">
        <v>1</v>
      </c>
      <c r="AO252" s="9">
        <v>1</v>
      </c>
      <c r="AP252" s="9">
        <v>1</v>
      </c>
      <c r="AQ252" s="9">
        <v>1</v>
      </c>
      <c r="AR252" s="9">
        <v>1</v>
      </c>
      <c r="AS252" s="9">
        <v>1</v>
      </c>
      <c r="AT252" s="9">
        <v>1</v>
      </c>
      <c r="AU252" s="9">
        <v>1</v>
      </c>
      <c r="AV252" s="9">
        <v>1</v>
      </c>
      <c r="AW252" s="9">
        <v>1</v>
      </c>
      <c r="AX252" s="9">
        <v>1</v>
      </c>
      <c r="AY252" s="9">
        <v>1</v>
      </c>
      <c r="AZ252" s="9">
        <v>1</v>
      </c>
      <c r="BA252" s="9">
        <v>1</v>
      </c>
      <c r="BB252" s="9">
        <v>1</v>
      </c>
      <c r="BC252" s="9">
        <v>1</v>
      </c>
      <c r="BD252" s="9">
        <v>1</v>
      </c>
      <c r="BE252" s="9">
        <v>1</v>
      </c>
      <c r="BF252" s="9">
        <v>1</v>
      </c>
      <c r="BG252" s="9">
        <v>1</v>
      </c>
      <c r="BH252" s="9">
        <v>1</v>
      </c>
      <c r="BI252" s="9">
        <v>1</v>
      </c>
      <c r="BJ252" s="9">
        <v>1</v>
      </c>
      <c r="BK252" s="9">
        <v>1</v>
      </c>
      <c r="BL252" s="9">
        <v>1</v>
      </c>
      <c r="BM252" s="9">
        <v>1</v>
      </c>
      <c r="BN252" s="9">
        <v>1</v>
      </c>
      <c r="BO252" s="9">
        <v>1</v>
      </c>
      <c r="BP252" s="9">
        <v>1</v>
      </c>
      <c r="BQ252" s="9">
        <v>1</v>
      </c>
      <c r="BR252" s="9">
        <v>1</v>
      </c>
      <c r="BS252" s="9">
        <v>1</v>
      </c>
      <c r="BT252" s="9">
        <v>1</v>
      </c>
      <c r="BU252" s="9">
        <v>1</v>
      </c>
      <c r="BV252" s="9">
        <v>1</v>
      </c>
      <c r="BW252" s="9">
        <v>1</v>
      </c>
      <c r="BX252" s="9">
        <v>1</v>
      </c>
    </row>
    <row r="253" spans="1:76">
      <c r="A253" s="3" t="s">
        <v>66</v>
      </c>
      <c r="B253" t="s">
        <v>3713</v>
      </c>
      <c r="D253" t="s">
        <v>4967</v>
      </c>
      <c r="F253" s="91" t="s">
        <v>4973</v>
      </c>
      <c r="H253" s="3" t="s">
        <v>4984</v>
      </c>
      <c r="I253" s="3"/>
      <c r="J253" s="124"/>
      <c r="K253" s="124"/>
      <c r="M253" s="124"/>
      <c r="V253" s="9">
        <v>1</v>
      </c>
      <c r="W253" s="9">
        <v>1</v>
      </c>
      <c r="X253" s="10">
        <v>1</v>
      </c>
      <c r="Y253" s="9">
        <v>1</v>
      </c>
      <c r="Z253" s="9">
        <v>1</v>
      </c>
      <c r="AA253" s="9">
        <v>1</v>
      </c>
      <c r="AB253" s="9">
        <v>1</v>
      </c>
      <c r="AC253" s="9">
        <v>1</v>
      </c>
      <c r="AD253" s="9">
        <v>1</v>
      </c>
      <c r="AE253" s="9">
        <v>1</v>
      </c>
      <c r="AF253" s="9">
        <v>1</v>
      </c>
      <c r="AG253" s="9">
        <v>1</v>
      </c>
      <c r="AH253" s="9">
        <v>1</v>
      </c>
      <c r="AI253" s="9">
        <v>1</v>
      </c>
      <c r="AJ253" s="9">
        <v>1</v>
      </c>
      <c r="AK253" s="9">
        <v>1</v>
      </c>
      <c r="AL253" s="9">
        <v>1</v>
      </c>
      <c r="AM253" s="9">
        <v>1</v>
      </c>
      <c r="AN253" s="9">
        <v>1</v>
      </c>
      <c r="AO253" s="9">
        <v>1</v>
      </c>
      <c r="AP253" s="9">
        <v>1</v>
      </c>
      <c r="AQ253" s="9">
        <v>1</v>
      </c>
      <c r="AR253" s="9">
        <v>1</v>
      </c>
      <c r="AS253" s="9">
        <v>1</v>
      </c>
      <c r="AT253" s="9">
        <v>1</v>
      </c>
      <c r="AU253" s="9">
        <v>1</v>
      </c>
      <c r="AV253" s="9">
        <v>1</v>
      </c>
      <c r="AW253" s="9">
        <v>1</v>
      </c>
      <c r="AX253" s="9">
        <v>1</v>
      </c>
      <c r="AY253" s="9">
        <v>1</v>
      </c>
      <c r="AZ253" s="9">
        <v>1</v>
      </c>
      <c r="BA253" s="9">
        <v>1</v>
      </c>
      <c r="BB253" s="9">
        <v>1</v>
      </c>
      <c r="BC253" s="9">
        <v>1</v>
      </c>
      <c r="BD253" s="9">
        <v>1</v>
      </c>
      <c r="BE253" s="9">
        <v>1</v>
      </c>
      <c r="BF253" s="9">
        <v>1</v>
      </c>
      <c r="BG253" s="9">
        <v>1</v>
      </c>
      <c r="BH253" s="9">
        <v>1</v>
      </c>
      <c r="BI253" s="9">
        <v>1</v>
      </c>
      <c r="BJ253" s="9">
        <v>1</v>
      </c>
      <c r="BK253" s="9">
        <v>1</v>
      </c>
      <c r="BL253" s="9">
        <v>1</v>
      </c>
      <c r="BM253" s="9">
        <v>1</v>
      </c>
      <c r="BN253" s="9">
        <v>1</v>
      </c>
      <c r="BO253" s="9">
        <v>1</v>
      </c>
      <c r="BP253" s="9">
        <v>1</v>
      </c>
      <c r="BQ253" s="9">
        <v>1</v>
      </c>
      <c r="BR253" s="9">
        <v>1</v>
      </c>
      <c r="BS253" s="9">
        <v>1</v>
      </c>
      <c r="BT253" s="9">
        <v>1</v>
      </c>
      <c r="BU253" s="9">
        <v>1</v>
      </c>
      <c r="BV253" s="9">
        <v>1</v>
      </c>
      <c r="BW253" s="9">
        <v>1</v>
      </c>
      <c r="BX253" s="9">
        <v>1</v>
      </c>
    </row>
    <row r="254" spans="1:76">
      <c r="A254" s="3" t="s">
        <v>66</v>
      </c>
      <c r="B254" t="s">
        <v>3715</v>
      </c>
      <c r="D254" t="s">
        <v>4967</v>
      </c>
      <c r="F254" s="91" t="s">
        <v>4973</v>
      </c>
      <c r="H254" s="3" t="s">
        <v>4984</v>
      </c>
      <c r="I254" s="3"/>
      <c r="J254" s="124"/>
      <c r="K254" s="124"/>
      <c r="M254" s="124"/>
      <c r="V254" s="9">
        <v>1</v>
      </c>
      <c r="W254" s="9">
        <v>1</v>
      </c>
      <c r="X254" s="10">
        <v>1</v>
      </c>
      <c r="Y254" s="9">
        <v>1</v>
      </c>
      <c r="Z254" s="9">
        <v>1</v>
      </c>
      <c r="AA254" s="9">
        <v>1</v>
      </c>
      <c r="AB254" s="9">
        <v>1</v>
      </c>
      <c r="AC254" s="9">
        <v>1</v>
      </c>
      <c r="AD254" s="9">
        <v>1</v>
      </c>
      <c r="AE254" s="9">
        <v>1</v>
      </c>
      <c r="AF254" s="9">
        <v>1</v>
      </c>
      <c r="AG254" s="9">
        <v>1</v>
      </c>
      <c r="AH254" s="9">
        <v>1</v>
      </c>
      <c r="AI254" s="9">
        <v>1</v>
      </c>
      <c r="AJ254" s="9">
        <v>1</v>
      </c>
      <c r="AK254" s="9">
        <v>1</v>
      </c>
      <c r="AL254" s="9">
        <v>1</v>
      </c>
      <c r="AM254" s="9">
        <v>1</v>
      </c>
      <c r="AN254" s="9">
        <v>1</v>
      </c>
      <c r="AO254" s="9">
        <v>1</v>
      </c>
      <c r="AP254" s="9">
        <v>1</v>
      </c>
      <c r="AQ254" s="9">
        <v>1</v>
      </c>
      <c r="AR254" s="9">
        <v>1</v>
      </c>
      <c r="AS254" s="9">
        <v>1</v>
      </c>
      <c r="AT254" s="9">
        <v>1</v>
      </c>
      <c r="AU254" s="9">
        <v>1</v>
      </c>
      <c r="AV254" s="9">
        <v>1</v>
      </c>
      <c r="AW254" s="9">
        <v>1</v>
      </c>
      <c r="AX254" s="9">
        <v>1</v>
      </c>
      <c r="AY254" s="9">
        <v>1</v>
      </c>
      <c r="AZ254" s="9">
        <v>1</v>
      </c>
      <c r="BA254" s="9">
        <v>1</v>
      </c>
      <c r="BB254" s="9">
        <v>1</v>
      </c>
      <c r="BC254" s="9">
        <v>1</v>
      </c>
      <c r="BD254" s="9">
        <v>1</v>
      </c>
      <c r="BE254" s="9">
        <v>1</v>
      </c>
      <c r="BF254" s="9">
        <v>1</v>
      </c>
      <c r="BG254" s="9">
        <v>1</v>
      </c>
      <c r="BH254" s="9">
        <v>1</v>
      </c>
      <c r="BI254" s="9">
        <v>1</v>
      </c>
      <c r="BJ254" s="9">
        <v>1</v>
      </c>
      <c r="BK254" s="9">
        <v>1</v>
      </c>
      <c r="BL254" s="9">
        <v>1</v>
      </c>
      <c r="BM254" s="9">
        <v>1</v>
      </c>
      <c r="BN254" s="9">
        <v>1</v>
      </c>
      <c r="BO254" s="9">
        <v>1</v>
      </c>
      <c r="BP254" s="9">
        <v>1</v>
      </c>
      <c r="BQ254" s="9">
        <v>1</v>
      </c>
      <c r="BR254" s="9">
        <v>1</v>
      </c>
      <c r="BS254" s="9">
        <v>1</v>
      </c>
      <c r="BT254" s="9">
        <v>1</v>
      </c>
      <c r="BU254" s="9">
        <v>1</v>
      </c>
      <c r="BV254" s="9">
        <v>1</v>
      </c>
      <c r="BW254" s="9">
        <v>1</v>
      </c>
      <c r="BX254" s="9">
        <v>1</v>
      </c>
    </row>
    <row r="255" spans="1:76">
      <c r="A255" s="3" t="s">
        <v>66</v>
      </c>
      <c r="B255" t="s">
        <v>3717</v>
      </c>
      <c r="D255" t="s">
        <v>4967</v>
      </c>
      <c r="F255" s="91" t="s">
        <v>4973</v>
      </c>
      <c r="H255" s="3" t="s">
        <v>4984</v>
      </c>
      <c r="I255" s="3"/>
      <c r="J255" s="124"/>
      <c r="K255" s="124"/>
      <c r="M255" s="124"/>
      <c r="V255" s="9">
        <v>1</v>
      </c>
      <c r="W255" s="9">
        <v>1</v>
      </c>
      <c r="X255" s="10">
        <v>1</v>
      </c>
      <c r="Y255" s="9">
        <v>1</v>
      </c>
      <c r="Z255" s="9">
        <v>1</v>
      </c>
      <c r="AA255" s="9">
        <v>1</v>
      </c>
      <c r="AB255" s="9">
        <v>1</v>
      </c>
      <c r="AC255" s="9">
        <v>1</v>
      </c>
      <c r="AD255" s="9">
        <v>1</v>
      </c>
      <c r="AE255" s="9">
        <v>1</v>
      </c>
      <c r="AF255" s="9">
        <v>1</v>
      </c>
      <c r="AG255" s="9">
        <v>1</v>
      </c>
      <c r="AH255" s="9">
        <v>1</v>
      </c>
      <c r="AI255" s="9">
        <v>1</v>
      </c>
      <c r="AJ255" s="9">
        <v>1</v>
      </c>
      <c r="AK255" s="9">
        <v>1</v>
      </c>
      <c r="AL255" s="9">
        <v>1</v>
      </c>
      <c r="AM255" s="9">
        <v>1</v>
      </c>
      <c r="AN255" s="9">
        <v>1</v>
      </c>
      <c r="AO255" s="9">
        <v>1</v>
      </c>
      <c r="AP255" s="9">
        <v>1</v>
      </c>
      <c r="AQ255" s="9">
        <v>1</v>
      </c>
      <c r="AR255" s="9">
        <v>1</v>
      </c>
      <c r="AS255" s="9">
        <v>1</v>
      </c>
      <c r="AT255" s="9">
        <v>1</v>
      </c>
      <c r="AU255" s="9">
        <v>1</v>
      </c>
      <c r="AV255" s="9">
        <v>1</v>
      </c>
      <c r="AW255" s="9">
        <v>1</v>
      </c>
      <c r="AX255" s="9">
        <v>1</v>
      </c>
      <c r="AY255" s="9">
        <v>1</v>
      </c>
      <c r="AZ255" s="9">
        <v>1</v>
      </c>
      <c r="BA255" s="9">
        <v>1</v>
      </c>
      <c r="BB255" s="9">
        <v>1</v>
      </c>
      <c r="BC255" s="9">
        <v>1</v>
      </c>
      <c r="BD255" s="9">
        <v>1</v>
      </c>
      <c r="BE255" s="9">
        <v>1</v>
      </c>
      <c r="BF255" s="9">
        <v>1</v>
      </c>
      <c r="BG255" s="9">
        <v>1</v>
      </c>
      <c r="BH255" s="9">
        <v>1</v>
      </c>
      <c r="BI255" s="9">
        <v>1</v>
      </c>
      <c r="BJ255" s="9">
        <v>1</v>
      </c>
      <c r="BK255" s="9">
        <v>1</v>
      </c>
      <c r="BL255" s="9">
        <v>1</v>
      </c>
      <c r="BM255" s="9">
        <v>1</v>
      </c>
      <c r="BN255" s="9">
        <v>1</v>
      </c>
      <c r="BO255" s="9">
        <v>1</v>
      </c>
      <c r="BP255" s="9">
        <v>1</v>
      </c>
      <c r="BQ255" s="9">
        <v>1</v>
      </c>
      <c r="BR255" s="9">
        <v>1</v>
      </c>
      <c r="BS255" s="9">
        <v>1</v>
      </c>
      <c r="BT255" s="9">
        <v>1</v>
      </c>
      <c r="BU255" s="9">
        <v>1</v>
      </c>
      <c r="BV255" s="9">
        <v>1</v>
      </c>
      <c r="BW255" s="9">
        <v>1</v>
      </c>
      <c r="BX255" s="9">
        <v>1</v>
      </c>
    </row>
    <row r="256" spans="1:76">
      <c r="A256" s="3" t="s">
        <v>66</v>
      </c>
      <c r="B256" t="s">
        <v>3719</v>
      </c>
      <c r="D256" t="s">
        <v>4967</v>
      </c>
      <c r="F256" s="91" t="s">
        <v>4973</v>
      </c>
      <c r="H256" s="3" t="s">
        <v>4984</v>
      </c>
      <c r="I256" s="3"/>
      <c r="J256" s="124"/>
      <c r="K256" s="124"/>
      <c r="M256" s="124"/>
      <c r="V256" s="9">
        <v>1</v>
      </c>
      <c r="W256" s="9">
        <v>1</v>
      </c>
      <c r="X256" s="10">
        <v>1</v>
      </c>
      <c r="Y256" s="9">
        <v>1</v>
      </c>
      <c r="Z256" s="9">
        <v>1</v>
      </c>
      <c r="AA256" s="9">
        <v>1</v>
      </c>
      <c r="AB256" s="9">
        <v>1</v>
      </c>
      <c r="AC256" s="9">
        <v>1</v>
      </c>
      <c r="AD256" s="9">
        <v>1</v>
      </c>
      <c r="AE256" s="9">
        <v>1</v>
      </c>
      <c r="AF256" s="9">
        <v>1</v>
      </c>
      <c r="AG256" s="9">
        <v>1</v>
      </c>
      <c r="AH256" s="9">
        <v>1</v>
      </c>
      <c r="AI256" s="9">
        <v>1</v>
      </c>
      <c r="AJ256" s="9">
        <v>1</v>
      </c>
      <c r="AK256" s="9">
        <v>1</v>
      </c>
      <c r="AL256" s="9">
        <v>1</v>
      </c>
      <c r="AM256" s="9">
        <v>1</v>
      </c>
      <c r="AN256" s="9">
        <v>1</v>
      </c>
      <c r="AO256" s="9">
        <v>1</v>
      </c>
      <c r="AP256" s="9">
        <v>1</v>
      </c>
      <c r="AQ256" s="9">
        <v>1</v>
      </c>
      <c r="AR256" s="9">
        <v>1</v>
      </c>
      <c r="AS256" s="9">
        <v>1</v>
      </c>
      <c r="AT256" s="9">
        <v>1</v>
      </c>
      <c r="AU256" s="9">
        <v>1</v>
      </c>
      <c r="AV256" s="9">
        <v>1</v>
      </c>
      <c r="AW256" s="9">
        <v>1</v>
      </c>
      <c r="AX256" s="9">
        <v>1</v>
      </c>
      <c r="AY256" s="9">
        <v>1</v>
      </c>
      <c r="AZ256" s="9">
        <v>1</v>
      </c>
      <c r="BA256" s="9">
        <v>1</v>
      </c>
      <c r="BB256" s="9">
        <v>1</v>
      </c>
      <c r="BC256" s="9">
        <v>1</v>
      </c>
      <c r="BD256" s="9">
        <v>1</v>
      </c>
      <c r="BE256" s="9">
        <v>1</v>
      </c>
      <c r="BF256" s="9">
        <v>1</v>
      </c>
      <c r="BG256" s="9">
        <v>1</v>
      </c>
      <c r="BH256" s="9">
        <v>1</v>
      </c>
      <c r="BI256" s="9">
        <v>1</v>
      </c>
      <c r="BJ256" s="9">
        <v>1</v>
      </c>
      <c r="BK256" s="9">
        <v>1</v>
      </c>
      <c r="BL256" s="9">
        <v>1</v>
      </c>
      <c r="BM256" s="9">
        <v>1</v>
      </c>
      <c r="BN256" s="9">
        <v>1</v>
      </c>
      <c r="BO256" s="9">
        <v>1</v>
      </c>
      <c r="BP256" s="9">
        <v>1</v>
      </c>
      <c r="BQ256" s="9">
        <v>1</v>
      </c>
      <c r="BR256" s="9">
        <v>1</v>
      </c>
      <c r="BS256" s="9">
        <v>1</v>
      </c>
      <c r="BT256" s="9">
        <v>1</v>
      </c>
      <c r="BU256" s="9">
        <v>1</v>
      </c>
      <c r="BV256" s="9">
        <v>1</v>
      </c>
      <c r="BW256" s="9">
        <v>1</v>
      </c>
      <c r="BX256" s="9">
        <v>1</v>
      </c>
    </row>
    <row r="257" spans="1:76">
      <c r="A257" s="3" t="s">
        <v>66</v>
      </c>
      <c r="B257" t="s">
        <v>3721</v>
      </c>
      <c r="D257" t="s">
        <v>4967</v>
      </c>
      <c r="F257" s="91" t="s">
        <v>4973</v>
      </c>
      <c r="H257" s="3" t="s">
        <v>4984</v>
      </c>
      <c r="I257" s="3"/>
      <c r="J257" s="124"/>
      <c r="K257" s="124"/>
      <c r="M257" s="124"/>
      <c r="V257" s="9">
        <v>1</v>
      </c>
      <c r="W257" s="9">
        <v>1</v>
      </c>
      <c r="X257" s="10">
        <v>1</v>
      </c>
      <c r="Y257" s="9">
        <v>1</v>
      </c>
      <c r="Z257" s="9">
        <v>1</v>
      </c>
      <c r="AA257" s="9">
        <v>1</v>
      </c>
      <c r="AB257" s="9">
        <v>1</v>
      </c>
      <c r="AC257" s="9">
        <v>1</v>
      </c>
      <c r="AD257" s="9">
        <v>1</v>
      </c>
      <c r="AE257" s="9">
        <v>1</v>
      </c>
      <c r="AF257" s="9">
        <v>1</v>
      </c>
      <c r="AG257" s="9">
        <v>1</v>
      </c>
      <c r="AH257" s="9">
        <v>1</v>
      </c>
      <c r="AI257" s="9">
        <v>1</v>
      </c>
      <c r="AJ257" s="9">
        <v>1</v>
      </c>
      <c r="AK257" s="9">
        <v>1</v>
      </c>
      <c r="AL257" s="9">
        <v>1</v>
      </c>
      <c r="AM257" s="9">
        <v>1</v>
      </c>
      <c r="AN257" s="9">
        <v>1</v>
      </c>
      <c r="AO257" s="9">
        <v>1</v>
      </c>
      <c r="AP257" s="9">
        <v>1</v>
      </c>
      <c r="AQ257" s="9">
        <v>1</v>
      </c>
      <c r="AR257" s="9">
        <v>1</v>
      </c>
      <c r="AS257" s="9">
        <v>1</v>
      </c>
      <c r="AT257" s="9">
        <v>1</v>
      </c>
      <c r="AU257" s="9">
        <v>1</v>
      </c>
      <c r="AV257" s="9">
        <v>1</v>
      </c>
      <c r="AW257" s="9">
        <v>1</v>
      </c>
      <c r="AX257" s="9">
        <v>1</v>
      </c>
      <c r="AY257" s="9">
        <v>1</v>
      </c>
      <c r="AZ257" s="9">
        <v>1</v>
      </c>
      <c r="BA257" s="9">
        <v>1</v>
      </c>
      <c r="BB257" s="9">
        <v>1</v>
      </c>
      <c r="BC257" s="9">
        <v>1</v>
      </c>
      <c r="BD257" s="9">
        <v>1</v>
      </c>
      <c r="BE257" s="9">
        <v>1</v>
      </c>
      <c r="BF257" s="9">
        <v>1</v>
      </c>
      <c r="BG257" s="9">
        <v>1</v>
      </c>
      <c r="BH257" s="9">
        <v>1</v>
      </c>
      <c r="BI257" s="9">
        <v>1</v>
      </c>
      <c r="BJ257" s="9">
        <v>1</v>
      </c>
      <c r="BK257" s="9">
        <v>1</v>
      </c>
      <c r="BL257" s="9">
        <v>1</v>
      </c>
      <c r="BM257" s="9">
        <v>1</v>
      </c>
      <c r="BN257" s="9">
        <v>1</v>
      </c>
      <c r="BO257" s="9">
        <v>1</v>
      </c>
      <c r="BP257" s="9">
        <v>1</v>
      </c>
      <c r="BQ257" s="9">
        <v>1</v>
      </c>
      <c r="BR257" s="9">
        <v>1</v>
      </c>
      <c r="BS257" s="9">
        <v>1</v>
      </c>
      <c r="BT257" s="9">
        <v>1</v>
      </c>
      <c r="BU257" s="9">
        <v>1</v>
      </c>
      <c r="BV257" s="9">
        <v>1</v>
      </c>
      <c r="BW257" s="9">
        <v>1</v>
      </c>
      <c r="BX257" s="9">
        <v>1</v>
      </c>
    </row>
    <row r="258" spans="1:76">
      <c r="A258" s="3" t="s">
        <v>66</v>
      </c>
      <c r="B258" t="s">
        <v>3723</v>
      </c>
      <c r="D258" t="s">
        <v>4967</v>
      </c>
      <c r="F258" s="91" t="s">
        <v>4973</v>
      </c>
      <c r="H258" s="3" t="s">
        <v>4984</v>
      </c>
      <c r="I258" s="3"/>
      <c r="J258" s="124"/>
      <c r="K258" s="124"/>
      <c r="M258" s="124"/>
      <c r="V258" s="9">
        <v>1</v>
      </c>
      <c r="W258" s="9">
        <v>1</v>
      </c>
      <c r="X258" s="10">
        <v>1</v>
      </c>
      <c r="Y258" s="9">
        <v>1</v>
      </c>
      <c r="Z258" s="9">
        <v>1</v>
      </c>
      <c r="AA258" s="9">
        <v>1</v>
      </c>
      <c r="AB258" s="9">
        <v>1</v>
      </c>
      <c r="AC258" s="9">
        <v>1</v>
      </c>
      <c r="AD258" s="9">
        <v>1</v>
      </c>
      <c r="AE258" s="9">
        <v>1</v>
      </c>
      <c r="AF258" s="9">
        <v>1</v>
      </c>
      <c r="AG258" s="9">
        <v>1</v>
      </c>
      <c r="AH258" s="9">
        <v>1</v>
      </c>
      <c r="AI258" s="9">
        <v>1</v>
      </c>
      <c r="AJ258" s="9">
        <v>1</v>
      </c>
      <c r="AK258" s="9">
        <v>1</v>
      </c>
      <c r="AL258" s="9">
        <v>1</v>
      </c>
      <c r="AM258" s="9">
        <v>1</v>
      </c>
      <c r="AN258" s="9">
        <v>1</v>
      </c>
      <c r="AO258" s="9">
        <v>1</v>
      </c>
      <c r="AP258" s="9">
        <v>1</v>
      </c>
      <c r="AQ258" s="9">
        <v>1</v>
      </c>
      <c r="AR258" s="9">
        <v>1</v>
      </c>
      <c r="AS258" s="9">
        <v>1</v>
      </c>
      <c r="AT258" s="9">
        <v>1</v>
      </c>
      <c r="AU258" s="9">
        <v>1</v>
      </c>
      <c r="AV258" s="9">
        <v>1</v>
      </c>
      <c r="AW258" s="9">
        <v>1</v>
      </c>
      <c r="AX258" s="9">
        <v>1</v>
      </c>
      <c r="AY258" s="9">
        <v>1</v>
      </c>
      <c r="AZ258" s="9">
        <v>1</v>
      </c>
      <c r="BA258" s="9">
        <v>1</v>
      </c>
      <c r="BB258" s="9">
        <v>1</v>
      </c>
      <c r="BC258" s="9">
        <v>1</v>
      </c>
      <c r="BD258" s="9">
        <v>1</v>
      </c>
      <c r="BE258" s="9">
        <v>1</v>
      </c>
      <c r="BF258" s="9">
        <v>1</v>
      </c>
      <c r="BG258" s="9">
        <v>1</v>
      </c>
      <c r="BH258" s="9">
        <v>1</v>
      </c>
      <c r="BI258" s="9">
        <v>1</v>
      </c>
      <c r="BJ258" s="9">
        <v>1</v>
      </c>
      <c r="BK258" s="9">
        <v>1</v>
      </c>
      <c r="BL258" s="9">
        <v>1</v>
      </c>
      <c r="BM258" s="9">
        <v>1</v>
      </c>
      <c r="BN258" s="9">
        <v>1</v>
      </c>
      <c r="BO258" s="9">
        <v>1</v>
      </c>
      <c r="BP258" s="9">
        <v>1</v>
      </c>
      <c r="BQ258" s="9">
        <v>1</v>
      </c>
      <c r="BR258" s="9">
        <v>1</v>
      </c>
      <c r="BS258" s="9">
        <v>1</v>
      </c>
      <c r="BT258" s="9">
        <v>1</v>
      </c>
      <c r="BU258" s="9">
        <v>1</v>
      </c>
      <c r="BV258" s="9">
        <v>1</v>
      </c>
      <c r="BW258" s="9">
        <v>1</v>
      </c>
      <c r="BX258" s="9">
        <v>1</v>
      </c>
    </row>
    <row r="259" spans="1:76">
      <c r="A259" s="3" t="s">
        <v>66</v>
      </c>
      <c r="B259" t="s">
        <v>3725</v>
      </c>
      <c r="D259" t="s">
        <v>4967</v>
      </c>
      <c r="F259" s="91" t="s">
        <v>4973</v>
      </c>
      <c r="H259" s="3" t="s">
        <v>4984</v>
      </c>
      <c r="I259" s="3"/>
      <c r="J259" s="124"/>
      <c r="K259" s="124"/>
      <c r="M259" s="124"/>
      <c r="V259" s="9">
        <v>1</v>
      </c>
      <c r="W259" s="9">
        <v>1</v>
      </c>
      <c r="X259" s="10">
        <v>1</v>
      </c>
      <c r="Y259" s="9">
        <v>1</v>
      </c>
      <c r="Z259" s="9">
        <v>1</v>
      </c>
      <c r="AA259" s="9">
        <v>1</v>
      </c>
      <c r="AB259" s="9">
        <v>1</v>
      </c>
      <c r="AC259" s="9">
        <v>1</v>
      </c>
      <c r="AD259" s="9">
        <v>1</v>
      </c>
      <c r="AE259" s="9">
        <v>1</v>
      </c>
      <c r="AF259" s="9">
        <v>1</v>
      </c>
      <c r="AG259" s="9">
        <v>1</v>
      </c>
      <c r="AH259" s="9">
        <v>1</v>
      </c>
      <c r="AI259" s="9">
        <v>1</v>
      </c>
      <c r="AJ259" s="9">
        <v>1</v>
      </c>
      <c r="AK259" s="9">
        <v>1</v>
      </c>
      <c r="AL259" s="9">
        <v>1</v>
      </c>
      <c r="AM259" s="9">
        <v>1</v>
      </c>
      <c r="AN259" s="9">
        <v>1</v>
      </c>
      <c r="AO259" s="9">
        <v>1</v>
      </c>
      <c r="AP259" s="9">
        <v>1</v>
      </c>
      <c r="AQ259" s="9">
        <v>1</v>
      </c>
      <c r="AR259" s="9">
        <v>1</v>
      </c>
      <c r="AS259" s="9">
        <v>1</v>
      </c>
      <c r="AT259" s="9">
        <v>1</v>
      </c>
      <c r="AU259" s="9">
        <v>1</v>
      </c>
      <c r="AV259" s="9">
        <v>1</v>
      </c>
      <c r="AW259" s="9">
        <v>1</v>
      </c>
      <c r="AX259" s="9">
        <v>1</v>
      </c>
      <c r="AY259" s="9">
        <v>1</v>
      </c>
      <c r="AZ259" s="9">
        <v>1</v>
      </c>
      <c r="BA259" s="9">
        <v>1</v>
      </c>
      <c r="BB259" s="9">
        <v>1</v>
      </c>
      <c r="BC259" s="9">
        <v>1</v>
      </c>
      <c r="BD259" s="9">
        <v>1</v>
      </c>
      <c r="BE259" s="9">
        <v>1</v>
      </c>
      <c r="BF259" s="9">
        <v>1</v>
      </c>
      <c r="BG259" s="9">
        <v>1</v>
      </c>
      <c r="BH259" s="9">
        <v>1</v>
      </c>
      <c r="BI259" s="9">
        <v>1</v>
      </c>
      <c r="BJ259" s="9">
        <v>1</v>
      </c>
      <c r="BK259" s="9">
        <v>1</v>
      </c>
      <c r="BL259" s="9">
        <v>1</v>
      </c>
      <c r="BM259" s="9">
        <v>1</v>
      </c>
      <c r="BN259" s="9">
        <v>1</v>
      </c>
      <c r="BO259" s="9">
        <v>1</v>
      </c>
      <c r="BP259" s="9">
        <v>1</v>
      </c>
      <c r="BQ259" s="9">
        <v>1</v>
      </c>
      <c r="BR259" s="9">
        <v>1</v>
      </c>
      <c r="BS259" s="9">
        <v>1</v>
      </c>
      <c r="BT259" s="9">
        <v>1</v>
      </c>
      <c r="BU259" s="9">
        <v>1</v>
      </c>
      <c r="BV259" s="9">
        <v>1</v>
      </c>
      <c r="BW259" s="9">
        <v>1</v>
      </c>
      <c r="BX259" s="9">
        <v>1</v>
      </c>
    </row>
    <row r="260" spans="1:76">
      <c r="A260" s="3" t="s">
        <v>66</v>
      </c>
      <c r="B260" t="s">
        <v>3727</v>
      </c>
      <c r="D260" t="s">
        <v>4967</v>
      </c>
      <c r="F260" s="91" t="s">
        <v>4973</v>
      </c>
      <c r="H260" s="3" t="s">
        <v>4984</v>
      </c>
      <c r="I260" s="3"/>
      <c r="J260" s="124"/>
      <c r="K260" s="124"/>
      <c r="M260" s="124"/>
      <c r="V260" s="9">
        <v>1</v>
      </c>
      <c r="W260" s="9">
        <v>1</v>
      </c>
      <c r="X260" s="10">
        <v>1</v>
      </c>
      <c r="Y260" s="9">
        <v>1</v>
      </c>
      <c r="Z260" s="9">
        <v>1</v>
      </c>
      <c r="AA260" s="9">
        <v>1</v>
      </c>
      <c r="AB260" s="9">
        <v>1</v>
      </c>
      <c r="AC260" s="9">
        <v>1</v>
      </c>
      <c r="AD260" s="9">
        <v>1</v>
      </c>
      <c r="AE260" s="9">
        <v>1</v>
      </c>
      <c r="AF260" s="9">
        <v>1</v>
      </c>
      <c r="AG260" s="9">
        <v>1</v>
      </c>
      <c r="AH260" s="9">
        <v>1</v>
      </c>
      <c r="AI260" s="9">
        <v>1</v>
      </c>
      <c r="AJ260" s="9">
        <v>1</v>
      </c>
      <c r="AK260" s="9">
        <v>1</v>
      </c>
      <c r="AL260" s="9">
        <v>1</v>
      </c>
      <c r="AM260" s="9">
        <v>1</v>
      </c>
      <c r="AN260" s="9">
        <v>1</v>
      </c>
      <c r="AO260" s="9">
        <v>1</v>
      </c>
      <c r="AP260" s="9">
        <v>1</v>
      </c>
      <c r="AQ260" s="9">
        <v>1</v>
      </c>
      <c r="AR260" s="9">
        <v>1</v>
      </c>
      <c r="AS260" s="9">
        <v>1</v>
      </c>
      <c r="AT260" s="9">
        <v>1</v>
      </c>
      <c r="AU260" s="9">
        <v>1</v>
      </c>
      <c r="AV260" s="9">
        <v>1</v>
      </c>
      <c r="AW260" s="9">
        <v>1</v>
      </c>
      <c r="AX260" s="9">
        <v>1</v>
      </c>
      <c r="AY260" s="9">
        <v>1</v>
      </c>
      <c r="AZ260" s="9">
        <v>1</v>
      </c>
      <c r="BA260" s="9">
        <v>1</v>
      </c>
      <c r="BB260" s="9">
        <v>1</v>
      </c>
      <c r="BC260" s="9">
        <v>1</v>
      </c>
      <c r="BD260" s="9">
        <v>1</v>
      </c>
      <c r="BE260" s="9">
        <v>1</v>
      </c>
      <c r="BF260" s="9">
        <v>1</v>
      </c>
      <c r="BG260" s="9">
        <v>1</v>
      </c>
      <c r="BH260" s="9">
        <v>1</v>
      </c>
      <c r="BI260" s="9">
        <v>1</v>
      </c>
      <c r="BJ260" s="9">
        <v>1</v>
      </c>
      <c r="BK260" s="9">
        <v>1</v>
      </c>
      <c r="BL260" s="9">
        <v>1</v>
      </c>
      <c r="BM260" s="9">
        <v>1</v>
      </c>
      <c r="BN260" s="9">
        <v>1</v>
      </c>
      <c r="BO260" s="9">
        <v>1</v>
      </c>
      <c r="BP260" s="9">
        <v>1</v>
      </c>
      <c r="BQ260" s="9">
        <v>1</v>
      </c>
      <c r="BR260" s="9">
        <v>1</v>
      </c>
      <c r="BS260" s="9">
        <v>1</v>
      </c>
      <c r="BT260" s="9">
        <v>1</v>
      </c>
      <c r="BU260" s="9">
        <v>1</v>
      </c>
      <c r="BV260" s="9">
        <v>1</v>
      </c>
      <c r="BW260" s="9">
        <v>1</v>
      </c>
      <c r="BX260" s="9">
        <v>1</v>
      </c>
    </row>
    <row r="261" spans="1:76">
      <c r="A261" s="3" t="s">
        <v>66</v>
      </c>
      <c r="B261" t="s">
        <v>3730</v>
      </c>
      <c r="D261" t="s">
        <v>4967</v>
      </c>
      <c r="F261" s="91" t="s">
        <v>4973</v>
      </c>
      <c r="H261" s="3" t="s">
        <v>4984</v>
      </c>
      <c r="I261" s="3"/>
      <c r="J261" s="124"/>
      <c r="K261" s="124"/>
      <c r="M261" s="124"/>
      <c r="V261" s="9">
        <v>1</v>
      </c>
      <c r="W261" s="9">
        <v>1</v>
      </c>
      <c r="X261" s="10">
        <v>1</v>
      </c>
      <c r="Y261" s="9">
        <v>1</v>
      </c>
      <c r="Z261" s="9">
        <v>1</v>
      </c>
      <c r="AA261" s="9">
        <v>1</v>
      </c>
      <c r="AB261" s="9">
        <v>1</v>
      </c>
      <c r="AC261" s="9">
        <v>1</v>
      </c>
      <c r="AD261" s="9">
        <v>1</v>
      </c>
      <c r="AE261" s="9">
        <v>1</v>
      </c>
      <c r="AF261" s="9">
        <v>1</v>
      </c>
      <c r="AG261" s="9">
        <v>1</v>
      </c>
      <c r="AH261" s="9">
        <v>1</v>
      </c>
      <c r="AI261" s="9">
        <v>1</v>
      </c>
      <c r="AJ261" s="9">
        <v>1</v>
      </c>
      <c r="AK261" s="9">
        <v>1</v>
      </c>
      <c r="AL261" s="9">
        <v>1</v>
      </c>
      <c r="AM261" s="9">
        <v>1</v>
      </c>
      <c r="AN261" s="9">
        <v>1</v>
      </c>
      <c r="AO261" s="9">
        <v>1</v>
      </c>
      <c r="AP261" s="9">
        <v>1</v>
      </c>
      <c r="AQ261" s="9">
        <v>1</v>
      </c>
      <c r="AR261" s="9">
        <v>1</v>
      </c>
      <c r="AS261" s="9">
        <v>1</v>
      </c>
      <c r="AT261" s="9">
        <v>1</v>
      </c>
      <c r="AU261" s="9">
        <v>1</v>
      </c>
      <c r="AV261" s="9">
        <v>1</v>
      </c>
      <c r="AW261" s="9">
        <v>1</v>
      </c>
      <c r="AX261" s="9">
        <v>1</v>
      </c>
      <c r="AY261" s="9">
        <v>1</v>
      </c>
      <c r="AZ261" s="9">
        <v>1</v>
      </c>
      <c r="BA261" s="9">
        <v>1</v>
      </c>
      <c r="BB261" s="9">
        <v>1</v>
      </c>
      <c r="BC261" s="9">
        <v>1</v>
      </c>
      <c r="BD261" s="9">
        <v>1</v>
      </c>
      <c r="BE261" s="9">
        <v>1</v>
      </c>
      <c r="BF261" s="9">
        <v>1</v>
      </c>
      <c r="BG261" s="9">
        <v>1</v>
      </c>
      <c r="BH261" s="9">
        <v>1</v>
      </c>
      <c r="BI261" s="9">
        <v>1</v>
      </c>
      <c r="BJ261" s="9">
        <v>1</v>
      </c>
      <c r="BK261" s="9">
        <v>1</v>
      </c>
      <c r="BL261" s="9">
        <v>1</v>
      </c>
      <c r="BM261" s="9">
        <v>1</v>
      </c>
      <c r="BN261" s="9">
        <v>1</v>
      </c>
      <c r="BO261" s="9">
        <v>1</v>
      </c>
      <c r="BP261" s="9">
        <v>1</v>
      </c>
      <c r="BQ261" s="9">
        <v>1</v>
      </c>
      <c r="BR261" s="9">
        <v>1</v>
      </c>
      <c r="BS261" s="9">
        <v>1</v>
      </c>
      <c r="BT261" s="9">
        <v>1</v>
      </c>
      <c r="BU261" s="9">
        <v>1</v>
      </c>
      <c r="BV261" s="9">
        <v>1</v>
      </c>
      <c r="BW261" s="9">
        <v>1</v>
      </c>
      <c r="BX261" s="9">
        <v>1</v>
      </c>
    </row>
    <row r="262" spans="1:76">
      <c r="A262" s="3" t="s">
        <v>66</v>
      </c>
      <c r="B262" t="s">
        <v>3732</v>
      </c>
      <c r="D262" t="s">
        <v>4967</v>
      </c>
      <c r="F262" s="91" t="s">
        <v>4973</v>
      </c>
      <c r="H262" s="3" t="s">
        <v>4984</v>
      </c>
      <c r="I262" s="3"/>
      <c r="J262" s="124"/>
      <c r="K262" s="124"/>
      <c r="M262" s="124"/>
      <c r="V262" s="9">
        <v>1</v>
      </c>
      <c r="W262" s="9">
        <v>1</v>
      </c>
      <c r="X262" s="10">
        <v>1</v>
      </c>
      <c r="Y262" s="9">
        <v>1</v>
      </c>
      <c r="Z262" s="9">
        <v>1</v>
      </c>
      <c r="AA262" s="9">
        <v>1</v>
      </c>
      <c r="AB262" s="9">
        <v>1</v>
      </c>
      <c r="AC262" s="9">
        <v>1</v>
      </c>
      <c r="AD262" s="9">
        <v>1</v>
      </c>
      <c r="AE262" s="9">
        <v>1</v>
      </c>
      <c r="AF262" s="9">
        <v>1</v>
      </c>
      <c r="AG262" s="9">
        <v>1</v>
      </c>
      <c r="AH262" s="9">
        <v>1</v>
      </c>
      <c r="AI262" s="9">
        <v>1</v>
      </c>
      <c r="AJ262" s="9">
        <v>1</v>
      </c>
      <c r="AK262" s="9">
        <v>1</v>
      </c>
      <c r="AL262" s="9">
        <v>1</v>
      </c>
      <c r="AM262" s="9">
        <v>1</v>
      </c>
      <c r="AN262" s="9">
        <v>1</v>
      </c>
      <c r="AO262" s="9">
        <v>1</v>
      </c>
      <c r="AP262" s="9">
        <v>1</v>
      </c>
      <c r="AQ262" s="9">
        <v>1</v>
      </c>
      <c r="AR262" s="9">
        <v>1</v>
      </c>
      <c r="AS262" s="9">
        <v>1</v>
      </c>
      <c r="AT262" s="9">
        <v>1</v>
      </c>
      <c r="AU262" s="9">
        <v>1</v>
      </c>
      <c r="AV262" s="9">
        <v>1</v>
      </c>
      <c r="AW262" s="9">
        <v>1</v>
      </c>
      <c r="AX262" s="9">
        <v>1</v>
      </c>
      <c r="AY262" s="9">
        <v>1</v>
      </c>
      <c r="AZ262" s="9">
        <v>1</v>
      </c>
      <c r="BA262" s="9">
        <v>1</v>
      </c>
      <c r="BB262" s="9">
        <v>1</v>
      </c>
      <c r="BC262" s="9">
        <v>1</v>
      </c>
      <c r="BD262" s="9">
        <v>1</v>
      </c>
      <c r="BE262" s="9">
        <v>1</v>
      </c>
      <c r="BF262" s="9">
        <v>1</v>
      </c>
      <c r="BG262" s="9">
        <v>1</v>
      </c>
      <c r="BH262" s="9">
        <v>1</v>
      </c>
      <c r="BI262" s="9">
        <v>1</v>
      </c>
      <c r="BJ262" s="9">
        <v>1</v>
      </c>
      <c r="BK262" s="9">
        <v>1</v>
      </c>
      <c r="BL262" s="9">
        <v>1</v>
      </c>
      <c r="BM262" s="9">
        <v>1</v>
      </c>
      <c r="BN262" s="9">
        <v>1</v>
      </c>
      <c r="BO262" s="9">
        <v>1</v>
      </c>
      <c r="BP262" s="9">
        <v>1</v>
      </c>
      <c r="BQ262" s="9">
        <v>1</v>
      </c>
      <c r="BR262" s="9">
        <v>1</v>
      </c>
      <c r="BS262" s="9">
        <v>1</v>
      </c>
      <c r="BT262" s="9">
        <v>1</v>
      </c>
      <c r="BU262" s="9">
        <v>1</v>
      </c>
      <c r="BV262" s="9">
        <v>1</v>
      </c>
      <c r="BW262" s="9">
        <v>1</v>
      </c>
      <c r="BX262" s="9">
        <v>1</v>
      </c>
    </row>
    <row r="263" spans="1:76">
      <c r="A263" s="3" t="s">
        <v>66</v>
      </c>
      <c r="B263" t="s">
        <v>3734</v>
      </c>
      <c r="D263" t="s">
        <v>4967</v>
      </c>
      <c r="F263" s="91" t="s">
        <v>4973</v>
      </c>
      <c r="H263" s="3" t="s">
        <v>4984</v>
      </c>
      <c r="I263" s="3"/>
      <c r="J263" s="124"/>
      <c r="K263" s="124"/>
      <c r="M263" s="124"/>
      <c r="V263" s="9">
        <v>1</v>
      </c>
      <c r="W263" s="9">
        <v>1</v>
      </c>
      <c r="X263" s="10">
        <v>1</v>
      </c>
      <c r="Y263" s="9">
        <v>1</v>
      </c>
      <c r="Z263" s="9">
        <v>1</v>
      </c>
      <c r="AA263" s="9">
        <v>1</v>
      </c>
      <c r="AB263" s="9">
        <v>1</v>
      </c>
      <c r="AC263" s="9">
        <v>1</v>
      </c>
      <c r="AD263" s="9">
        <v>1</v>
      </c>
      <c r="AE263" s="9">
        <v>1</v>
      </c>
      <c r="AF263" s="9">
        <v>1</v>
      </c>
      <c r="AG263" s="9">
        <v>1</v>
      </c>
      <c r="AH263" s="9">
        <v>1</v>
      </c>
      <c r="AI263" s="9">
        <v>1</v>
      </c>
      <c r="AJ263" s="9">
        <v>1</v>
      </c>
      <c r="AK263" s="9">
        <v>1</v>
      </c>
      <c r="AL263" s="9">
        <v>1</v>
      </c>
      <c r="AM263" s="9">
        <v>1</v>
      </c>
      <c r="AN263" s="9">
        <v>1</v>
      </c>
      <c r="AO263" s="9">
        <v>1</v>
      </c>
      <c r="AP263" s="9">
        <v>1</v>
      </c>
      <c r="AQ263" s="9">
        <v>1</v>
      </c>
      <c r="AR263" s="9">
        <v>1</v>
      </c>
      <c r="AS263" s="9">
        <v>1</v>
      </c>
      <c r="AT263" s="9">
        <v>1</v>
      </c>
      <c r="AU263" s="9">
        <v>1</v>
      </c>
      <c r="AV263" s="9">
        <v>1</v>
      </c>
      <c r="AW263" s="9">
        <v>1</v>
      </c>
      <c r="AX263" s="9">
        <v>1</v>
      </c>
      <c r="AY263" s="9">
        <v>1</v>
      </c>
      <c r="AZ263" s="9">
        <v>1</v>
      </c>
      <c r="BA263" s="9">
        <v>1</v>
      </c>
      <c r="BB263" s="9">
        <v>1</v>
      </c>
      <c r="BC263" s="9">
        <v>1</v>
      </c>
      <c r="BD263" s="9">
        <v>1</v>
      </c>
      <c r="BE263" s="9">
        <v>1</v>
      </c>
      <c r="BF263" s="9">
        <v>1</v>
      </c>
      <c r="BG263" s="9">
        <v>1</v>
      </c>
      <c r="BH263" s="9">
        <v>1</v>
      </c>
      <c r="BI263" s="9">
        <v>1</v>
      </c>
      <c r="BJ263" s="9">
        <v>1</v>
      </c>
      <c r="BK263" s="9">
        <v>1</v>
      </c>
      <c r="BL263" s="9">
        <v>1</v>
      </c>
      <c r="BM263" s="9">
        <v>1</v>
      </c>
      <c r="BN263" s="9">
        <v>1</v>
      </c>
      <c r="BO263" s="9">
        <v>1</v>
      </c>
      <c r="BP263" s="9">
        <v>1</v>
      </c>
      <c r="BQ263" s="9">
        <v>1</v>
      </c>
      <c r="BR263" s="9">
        <v>1</v>
      </c>
      <c r="BS263" s="9">
        <v>1</v>
      </c>
      <c r="BT263" s="9">
        <v>1</v>
      </c>
      <c r="BU263" s="9">
        <v>1</v>
      </c>
      <c r="BV263" s="9">
        <v>1</v>
      </c>
      <c r="BW263" s="9">
        <v>1</v>
      </c>
      <c r="BX263" s="9">
        <v>1</v>
      </c>
    </row>
    <row r="264" spans="1:76">
      <c r="A264" s="3" t="s">
        <v>66</v>
      </c>
      <c r="B264" t="s">
        <v>3736</v>
      </c>
      <c r="D264" t="s">
        <v>4967</v>
      </c>
      <c r="F264" s="91" t="s">
        <v>4973</v>
      </c>
      <c r="H264" s="3" t="s">
        <v>4984</v>
      </c>
      <c r="I264" s="3"/>
      <c r="J264" s="124"/>
      <c r="K264" s="124"/>
      <c r="M264" s="124"/>
      <c r="V264" s="9">
        <v>1</v>
      </c>
      <c r="W264" s="9">
        <v>1</v>
      </c>
      <c r="X264" s="10">
        <v>1</v>
      </c>
      <c r="Y264" s="9">
        <v>1</v>
      </c>
      <c r="Z264" s="9">
        <v>1</v>
      </c>
      <c r="AA264" s="9">
        <v>1</v>
      </c>
      <c r="AB264" s="9">
        <v>1</v>
      </c>
      <c r="AC264" s="9">
        <v>1</v>
      </c>
      <c r="AD264" s="9">
        <v>1</v>
      </c>
      <c r="AE264" s="9">
        <v>1</v>
      </c>
      <c r="AF264" s="9">
        <v>1</v>
      </c>
      <c r="AG264" s="9">
        <v>1</v>
      </c>
      <c r="AH264" s="9">
        <v>1</v>
      </c>
      <c r="AI264" s="9">
        <v>1</v>
      </c>
      <c r="AJ264" s="9">
        <v>1</v>
      </c>
      <c r="AK264" s="9">
        <v>1</v>
      </c>
      <c r="AL264" s="9">
        <v>1</v>
      </c>
      <c r="AM264" s="9">
        <v>1</v>
      </c>
      <c r="AN264" s="9">
        <v>1</v>
      </c>
      <c r="AO264" s="9">
        <v>1</v>
      </c>
      <c r="AP264" s="9">
        <v>1</v>
      </c>
      <c r="AQ264" s="9">
        <v>1</v>
      </c>
      <c r="AR264" s="9">
        <v>1</v>
      </c>
      <c r="AS264" s="9">
        <v>1</v>
      </c>
      <c r="AT264" s="9">
        <v>1</v>
      </c>
      <c r="AU264" s="9">
        <v>1</v>
      </c>
      <c r="AV264" s="9">
        <v>1</v>
      </c>
      <c r="AW264" s="9">
        <v>1</v>
      </c>
      <c r="AX264" s="9">
        <v>1</v>
      </c>
      <c r="AY264" s="9">
        <v>1</v>
      </c>
      <c r="AZ264" s="9">
        <v>1</v>
      </c>
      <c r="BA264" s="9">
        <v>1</v>
      </c>
      <c r="BB264" s="9">
        <v>1</v>
      </c>
      <c r="BC264" s="9">
        <v>1</v>
      </c>
      <c r="BD264" s="9">
        <v>1</v>
      </c>
      <c r="BE264" s="9">
        <v>1</v>
      </c>
      <c r="BF264" s="9">
        <v>1</v>
      </c>
      <c r="BG264" s="9">
        <v>1</v>
      </c>
      <c r="BH264" s="9">
        <v>1</v>
      </c>
      <c r="BI264" s="9">
        <v>1</v>
      </c>
      <c r="BJ264" s="9">
        <v>1</v>
      </c>
      <c r="BK264" s="9">
        <v>1</v>
      </c>
      <c r="BL264" s="9">
        <v>1</v>
      </c>
      <c r="BM264" s="9">
        <v>1</v>
      </c>
      <c r="BN264" s="9">
        <v>1</v>
      </c>
      <c r="BO264" s="9">
        <v>1</v>
      </c>
      <c r="BP264" s="9">
        <v>1</v>
      </c>
      <c r="BQ264" s="9">
        <v>1</v>
      </c>
      <c r="BR264" s="9">
        <v>1</v>
      </c>
      <c r="BS264" s="9">
        <v>1</v>
      </c>
      <c r="BT264" s="9">
        <v>1</v>
      </c>
      <c r="BU264" s="9">
        <v>1</v>
      </c>
      <c r="BV264" s="9">
        <v>1</v>
      </c>
      <c r="BW264" s="9">
        <v>1</v>
      </c>
      <c r="BX264" s="9">
        <v>1</v>
      </c>
    </row>
    <row r="265" spans="1:76">
      <c r="A265" s="3" t="s">
        <v>66</v>
      </c>
      <c r="B265" t="s">
        <v>3738</v>
      </c>
      <c r="D265" t="s">
        <v>4967</v>
      </c>
      <c r="F265" s="91" t="s">
        <v>4973</v>
      </c>
      <c r="H265" s="3" t="s">
        <v>4984</v>
      </c>
      <c r="I265" s="3"/>
      <c r="J265" s="124"/>
      <c r="K265" s="124"/>
      <c r="M265" s="124"/>
      <c r="V265" s="9">
        <v>1</v>
      </c>
      <c r="W265" s="9">
        <v>1</v>
      </c>
      <c r="X265" s="10">
        <v>1</v>
      </c>
      <c r="Y265" s="9">
        <v>1</v>
      </c>
      <c r="Z265" s="9">
        <v>1</v>
      </c>
      <c r="AA265" s="9">
        <v>1</v>
      </c>
      <c r="AB265" s="9">
        <v>1</v>
      </c>
      <c r="AC265" s="9">
        <v>1</v>
      </c>
      <c r="AD265" s="9">
        <v>1</v>
      </c>
      <c r="AE265" s="9">
        <v>1</v>
      </c>
      <c r="AF265" s="9">
        <v>1</v>
      </c>
      <c r="AG265" s="9">
        <v>1</v>
      </c>
      <c r="AH265" s="9">
        <v>1</v>
      </c>
      <c r="AI265" s="9">
        <v>1</v>
      </c>
      <c r="AJ265" s="9">
        <v>1</v>
      </c>
      <c r="AK265" s="9">
        <v>1</v>
      </c>
      <c r="AL265" s="9">
        <v>1</v>
      </c>
      <c r="AM265" s="9">
        <v>1</v>
      </c>
      <c r="AN265" s="9">
        <v>1</v>
      </c>
      <c r="AO265" s="9">
        <v>1</v>
      </c>
      <c r="AP265" s="9">
        <v>1</v>
      </c>
      <c r="AQ265" s="9">
        <v>1</v>
      </c>
      <c r="AR265" s="9">
        <v>1</v>
      </c>
      <c r="AS265" s="9">
        <v>1</v>
      </c>
      <c r="AT265" s="9">
        <v>1</v>
      </c>
      <c r="AU265" s="9">
        <v>1</v>
      </c>
      <c r="AV265" s="9">
        <v>1</v>
      </c>
      <c r="AW265" s="9">
        <v>1</v>
      </c>
      <c r="AX265" s="9">
        <v>1</v>
      </c>
      <c r="AY265" s="9">
        <v>1</v>
      </c>
      <c r="AZ265" s="9">
        <v>1</v>
      </c>
      <c r="BA265" s="9">
        <v>1</v>
      </c>
      <c r="BB265" s="9">
        <v>1</v>
      </c>
      <c r="BC265" s="9">
        <v>1</v>
      </c>
      <c r="BD265" s="9">
        <v>1</v>
      </c>
      <c r="BE265" s="9">
        <v>1</v>
      </c>
      <c r="BF265" s="9">
        <v>1</v>
      </c>
      <c r="BG265" s="9">
        <v>1</v>
      </c>
      <c r="BH265" s="9">
        <v>1</v>
      </c>
      <c r="BI265" s="9">
        <v>1</v>
      </c>
      <c r="BJ265" s="9">
        <v>1</v>
      </c>
      <c r="BK265" s="9">
        <v>1</v>
      </c>
      <c r="BL265" s="9">
        <v>1</v>
      </c>
      <c r="BM265" s="9">
        <v>1</v>
      </c>
      <c r="BN265" s="9">
        <v>1</v>
      </c>
      <c r="BO265" s="9">
        <v>1</v>
      </c>
      <c r="BP265" s="9">
        <v>1</v>
      </c>
      <c r="BQ265" s="9">
        <v>1</v>
      </c>
      <c r="BR265" s="9">
        <v>1</v>
      </c>
      <c r="BS265" s="9">
        <v>1</v>
      </c>
      <c r="BT265" s="9">
        <v>1</v>
      </c>
      <c r="BU265" s="9">
        <v>1</v>
      </c>
      <c r="BV265" s="9">
        <v>1</v>
      </c>
      <c r="BW265" s="9">
        <v>1</v>
      </c>
      <c r="BX265" s="9">
        <v>1</v>
      </c>
    </row>
    <row r="266" spans="1:76">
      <c r="A266" s="3" t="s">
        <v>66</v>
      </c>
      <c r="B266" t="s">
        <v>3740</v>
      </c>
      <c r="D266" t="s">
        <v>4967</v>
      </c>
      <c r="F266" s="91" t="s">
        <v>4973</v>
      </c>
      <c r="H266" s="3" t="s">
        <v>4984</v>
      </c>
      <c r="I266" s="3"/>
      <c r="J266" s="124"/>
      <c r="K266" s="124"/>
      <c r="M266" s="124"/>
      <c r="V266" s="9">
        <v>1</v>
      </c>
      <c r="W266" s="9">
        <v>1</v>
      </c>
      <c r="X266" s="10">
        <v>1</v>
      </c>
      <c r="Y266" s="9">
        <v>1</v>
      </c>
      <c r="Z266" s="9">
        <v>1</v>
      </c>
      <c r="AA266" s="9">
        <v>1</v>
      </c>
      <c r="AB266" s="9">
        <v>1</v>
      </c>
      <c r="AC266" s="9">
        <v>1</v>
      </c>
      <c r="AD266" s="9">
        <v>1</v>
      </c>
      <c r="AE266" s="9">
        <v>1</v>
      </c>
      <c r="AF266" s="9">
        <v>1</v>
      </c>
      <c r="AG266" s="9">
        <v>1</v>
      </c>
      <c r="AH266" s="9">
        <v>1</v>
      </c>
      <c r="AI266" s="9">
        <v>1</v>
      </c>
      <c r="AJ266" s="9">
        <v>1</v>
      </c>
      <c r="AK266" s="9">
        <v>1</v>
      </c>
      <c r="AL266" s="9">
        <v>1</v>
      </c>
      <c r="AM266" s="9">
        <v>1</v>
      </c>
      <c r="AN266" s="9">
        <v>1</v>
      </c>
      <c r="AO266" s="9">
        <v>1</v>
      </c>
      <c r="AP266" s="9">
        <v>1</v>
      </c>
      <c r="AQ266" s="9">
        <v>1</v>
      </c>
      <c r="AR266" s="9">
        <v>1</v>
      </c>
      <c r="AS266" s="9">
        <v>1</v>
      </c>
      <c r="AT266" s="9">
        <v>1</v>
      </c>
      <c r="AU266" s="9">
        <v>1</v>
      </c>
      <c r="AV266" s="9">
        <v>1</v>
      </c>
      <c r="AW266" s="9">
        <v>1</v>
      </c>
      <c r="AX266" s="9">
        <v>1</v>
      </c>
      <c r="AY266" s="9">
        <v>1</v>
      </c>
      <c r="AZ266" s="9">
        <v>1</v>
      </c>
      <c r="BA266" s="9">
        <v>1</v>
      </c>
      <c r="BB266" s="9">
        <v>1</v>
      </c>
      <c r="BC266" s="9">
        <v>1</v>
      </c>
      <c r="BD266" s="9">
        <v>1</v>
      </c>
      <c r="BE266" s="9">
        <v>1</v>
      </c>
      <c r="BF266" s="9">
        <v>1</v>
      </c>
      <c r="BG266" s="9">
        <v>1</v>
      </c>
      <c r="BH266" s="9">
        <v>1</v>
      </c>
      <c r="BI266" s="9">
        <v>1</v>
      </c>
      <c r="BJ266" s="9">
        <v>1</v>
      </c>
      <c r="BK266" s="9">
        <v>1</v>
      </c>
      <c r="BL266" s="9">
        <v>1</v>
      </c>
      <c r="BM266" s="9">
        <v>1</v>
      </c>
      <c r="BN266" s="9">
        <v>1</v>
      </c>
      <c r="BO266" s="9">
        <v>1</v>
      </c>
      <c r="BP266" s="9">
        <v>1</v>
      </c>
      <c r="BQ266" s="9">
        <v>1</v>
      </c>
      <c r="BR266" s="9">
        <v>1</v>
      </c>
      <c r="BS266" s="9">
        <v>1</v>
      </c>
      <c r="BT266" s="9">
        <v>1</v>
      </c>
      <c r="BU266" s="9">
        <v>1</v>
      </c>
      <c r="BV266" s="9">
        <v>1</v>
      </c>
      <c r="BW266" s="9">
        <v>1</v>
      </c>
      <c r="BX266" s="9">
        <v>1</v>
      </c>
    </row>
    <row r="267" spans="1:76">
      <c r="A267" s="3" t="s">
        <v>66</v>
      </c>
      <c r="B267" t="s">
        <v>3742</v>
      </c>
      <c r="D267" t="s">
        <v>4967</v>
      </c>
      <c r="F267" s="91" t="s">
        <v>4973</v>
      </c>
      <c r="H267" s="3" t="s">
        <v>4984</v>
      </c>
      <c r="I267" s="3"/>
      <c r="J267" s="124"/>
      <c r="K267" s="124"/>
      <c r="M267" s="124"/>
      <c r="V267" s="9">
        <v>1</v>
      </c>
      <c r="W267" s="9">
        <v>1</v>
      </c>
      <c r="X267" s="10">
        <v>1</v>
      </c>
      <c r="Y267" s="9">
        <v>1</v>
      </c>
      <c r="Z267" s="9">
        <v>1</v>
      </c>
      <c r="AA267" s="9">
        <v>1</v>
      </c>
      <c r="AB267" s="9">
        <v>1</v>
      </c>
      <c r="AC267" s="9">
        <v>1</v>
      </c>
      <c r="AD267" s="9">
        <v>1</v>
      </c>
      <c r="AE267" s="9">
        <v>1</v>
      </c>
      <c r="AF267" s="9">
        <v>1</v>
      </c>
      <c r="AG267" s="9">
        <v>1</v>
      </c>
      <c r="AH267" s="9">
        <v>1</v>
      </c>
      <c r="AI267" s="9">
        <v>1</v>
      </c>
      <c r="AJ267" s="9">
        <v>1</v>
      </c>
      <c r="AK267" s="9">
        <v>1</v>
      </c>
      <c r="AL267" s="9">
        <v>1</v>
      </c>
      <c r="AM267" s="9">
        <v>1</v>
      </c>
      <c r="AN267" s="9">
        <v>1</v>
      </c>
      <c r="AO267" s="9">
        <v>1</v>
      </c>
      <c r="AP267" s="9">
        <v>1</v>
      </c>
      <c r="AQ267" s="9">
        <v>1</v>
      </c>
      <c r="AR267" s="9">
        <v>1</v>
      </c>
      <c r="AS267" s="9">
        <v>1</v>
      </c>
      <c r="AT267" s="9">
        <v>1</v>
      </c>
      <c r="AU267" s="9">
        <v>1</v>
      </c>
      <c r="AV267" s="9">
        <v>1</v>
      </c>
      <c r="AW267" s="9">
        <v>1</v>
      </c>
      <c r="AX267" s="9">
        <v>1</v>
      </c>
      <c r="AY267" s="9">
        <v>1</v>
      </c>
      <c r="AZ267" s="9">
        <v>1</v>
      </c>
      <c r="BA267" s="9">
        <v>1</v>
      </c>
      <c r="BB267" s="9">
        <v>1</v>
      </c>
      <c r="BC267" s="9">
        <v>1</v>
      </c>
      <c r="BD267" s="9">
        <v>1</v>
      </c>
      <c r="BE267" s="9">
        <v>1</v>
      </c>
      <c r="BF267" s="9">
        <v>1</v>
      </c>
      <c r="BG267" s="9">
        <v>1</v>
      </c>
      <c r="BH267" s="9">
        <v>1</v>
      </c>
      <c r="BI267" s="9">
        <v>1</v>
      </c>
      <c r="BJ267" s="9">
        <v>1</v>
      </c>
      <c r="BK267" s="9">
        <v>1</v>
      </c>
      <c r="BL267" s="9">
        <v>1</v>
      </c>
      <c r="BM267" s="9">
        <v>1</v>
      </c>
      <c r="BN267" s="9">
        <v>1</v>
      </c>
      <c r="BO267" s="9">
        <v>1</v>
      </c>
      <c r="BP267" s="9">
        <v>1</v>
      </c>
      <c r="BQ267" s="9">
        <v>1</v>
      </c>
      <c r="BR267" s="9">
        <v>1</v>
      </c>
      <c r="BS267" s="9">
        <v>1</v>
      </c>
      <c r="BT267" s="9">
        <v>1</v>
      </c>
      <c r="BU267" s="9">
        <v>1</v>
      </c>
      <c r="BV267" s="9">
        <v>1</v>
      </c>
      <c r="BW267" s="9">
        <v>1</v>
      </c>
      <c r="BX267" s="9">
        <v>1</v>
      </c>
    </row>
    <row r="268" spans="1:76">
      <c r="A268" s="3" t="s">
        <v>66</v>
      </c>
      <c r="B268" t="s">
        <v>5247</v>
      </c>
      <c r="D268" t="s">
        <v>4967</v>
      </c>
      <c r="F268" s="91" t="s">
        <v>4973</v>
      </c>
      <c r="H268" s="3" t="s">
        <v>4984</v>
      </c>
      <c r="I268" s="3"/>
      <c r="J268" s="124"/>
      <c r="K268" s="124"/>
      <c r="M268" s="124"/>
      <c r="V268" s="9">
        <v>1</v>
      </c>
      <c r="W268" s="9">
        <v>1</v>
      </c>
      <c r="X268" s="10">
        <v>1</v>
      </c>
      <c r="Y268" s="9">
        <v>1</v>
      </c>
      <c r="Z268" s="9">
        <v>1</v>
      </c>
      <c r="AA268" s="9">
        <v>1</v>
      </c>
      <c r="AB268" s="9">
        <v>1</v>
      </c>
      <c r="AC268" s="9">
        <v>1</v>
      </c>
      <c r="AD268" s="9">
        <v>1</v>
      </c>
      <c r="AE268" s="9">
        <v>1</v>
      </c>
      <c r="AF268" s="9">
        <v>1</v>
      </c>
      <c r="AG268" s="9">
        <v>1</v>
      </c>
      <c r="AH268" s="9">
        <v>1</v>
      </c>
      <c r="AI268" s="9">
        <v>1</v>
      </c>
      <c r="AJ268" s="9">
        <v>1</v>
      </c>
      <c r="AK268" s="9">
        <v>1</v>
      </c>
      <c r="AL268" s="9">
        <v>1</v>
      </c>
      <c r="AM268" s="9">
        <v>1</v>
      </c>
      <c r="AN268" s="9">
        <v>1</v>
      </c>
      <c r="AO268" s="9">
        <v>1</v>
      </c>
      <c r="AP268" s="9">
        <v>1</v>
      </c>
      <c r="AQ268" s="9">
        <v>1</v>
      </c>
      <c r="AR268" s="9">
        <v>1</v>
      </c>
      <c r="AS268" s="9">
        <v>1</v>
      </c>
      <c r="AT268" s="9">
        <v>1</v>
      </c>
      <c r="AU268" s="9">
        <v>1</v>
      </c>
      <c r="AV268" s="9">
        <v>1</v>
      </c>
      <c r="AW268" s="9">
        <v>1</v>
      </c>
      <c r="AX268" s="9">
        <v>1</v>
      </c>
      <c r="AY268" s="9">
        <v>1</v>
      </c>
      <c r="AZ268" s="9">
        <v>1</v>
      </c>
      <c r="BA268" s="9">
        <v>1</v>
      </c>
      <c r="BB268" s="9">
        <v>1</v>
      </c>
      <c r="BC268" s="9">
        <v>1</v>
      </c>
      <c r="BD268" s="9">
        <v>1</v>
      </c>
      <c r="BE268" s="9">
        <v>1</v>
      </c>
      <c r="BF268" s="9">
        <v>1</v>
      </c>
      <c r="BG268" s="9">
        <v>1</v>
      </c>
      <c r="BH268" s="9">
        <v>1</v>
      </c>
      <c r="BI268" s="9">
        <v>1</v>
      </c>
      <c r="BJ268" s="9">
        <v>1</v>
      </c>
      <c r="BK268" s="9">
        <v>1</v>
      </c>
      <c r="BL268" s="9">
        <v>1</v>
      </c>
      <c r="BM268" s="9">
        <v>1</v>
      </c>
      <c r="BN268" s="9">
        <v>1</v>
      </c>
      <c r="BO268" s="9">
        <v>1</v>
      </c>
      <c r="BP268" s="9">
        <v>1</v>
      </c>
      <c r="BQ268" s="9">
        <v>1</v>
      </c>
      <c r="BR268" s="9">
        <v>1</v>
      </c>
      <c r="BS268" s="9">
        <v>1</v>
      </c>
      <c r="BT268" s="9">
        <v>1</v>
      </c>
      <c r="BU268" s="9">
        <v>1</v>
      </c>
      <c r="BV268" s="9">
        <v>1</v>
      </c>
      <c r="BW268" s="9">
        <v>1</v>
      </c>
      <c r="BX268" s="9">
        <v>1</v>
      </c>
    </row>
    <row r="269" spans="1:76">
      <c r="A269" s="3" t="s">
        <v>66</v>
      </c>
      <c r="B269" t="s">
        <v>3744</v>
      </c>
      <c r="D269" t="s">
        <v>4967</v>
      </c>
      <c r="F269" s="91" t="s">
        <v>4973</v>
      </c>
      <c r="H269" s="3" t="s">
        <v>4984</v>
      </c>
      <c r="I269" s="3"/>
      <c r="J269" s="124"/>
      <c r="K269" s="124"/>
      <c r="M269" s="124"/>
      <c r="V269" s="9">
        <v>1</v>
      </c>
      <c r="W269" s="9">
        <v>1</v>
      </c>
      <c r="X269" s="10">
        <v>1</v>
      </c>
      <c r="Y269" s="9">
        <v>1</v>
      </c>
      <c r="Z269" s="9">
        <v>1</v>
      </c>
      <c r="AA269" s="9">
        <v>1</v>
      </c>
      <c r="AB269" s="9">
        <v>1</v>
      </c>
      <c r="AC269" s="9">
        <v>1</v>
      </c>
      <c r="AD269" s="9">
        <v>1</v>
      </c>
      <c r="AE269" s="9">
        <v>1</v>
      </c>
      <c r="AF269" s="9">
        <v>1</v>
      </c>
      <c r="AG269" s="9">
        <v>1</v>
      </c>
      <c r="AH269" s="9">
        <v>1</v>
      </c>
      <c r="AI269" s="9">
        <v>1</v>
      </c>
      <c r="AJ269" s="9">
        <v>1</v>
      </c>
      <c r="AK269" s="9">
        <v>1</v>
      </c>
      <c r="AL269" s="9">
        <v>1</v>
      </c>
      <c r="AM269" s="9">
        <v>1</v>
      </c>
      <c r="AN269" s="9">
        <v>1</v>
      </c>
      <c r="AO269" s="9">
        <v>1</v>
      </c>
      <c r="AP269" s="9">
        <v>1</v>
      </c>
      <c r="AQ269" s="9">
        <v>1</v>
      </c>
      <c r="AR269" s="9">
        <v>1</v>
      </c>
      <c r="AS269" s="9">
        <v>1</v>
      </c>
      <c r="AT269" s="9">
        <v>1</v>
      </c>
      <c r="AU269" s="9">
        <v>1</v>
      </c>
      <c r="AV269" s="9">
        <v>1</v>
      </c>
      <c r="AW269" s="9">
        <v>1</v>
      </c>
      <c r="AX269" s="9">
        <v>1</v>
      </c>
      <c r="AY269" s="9">
        <v>1</v>
      </c>
      <c r="AZ269" s="9">
        <v>1</v>
      </c>
      <c r="BA269" s="9">
        <v>1</v>
      </c>
      <c r="BB269" s="9">
        <v>1</v>
      </c>
      <c r="BC269" s="9">
        <v>1</v>
      </c>
      <c r="BD269" s="9">
        <v>1</v>
      </c>
      <c r="BE269" s="9">
        <v>1</v>
      </c>
      <c r="BF269" s="9">
        <v>1</v>
      </c>
      <c r="BG269" s="9">
        <v>1</v>
      </c>
      <c r="BH269" s="9">
        <v>1</v>
      </c>
      <c r="BI269" s="9">
        <v>1</v>
      </c>
      <c r="BJ269" s="9">
        <v>1</v>
      </c>
      <c r="BK269" s="9">
        <v>1</v>
      </c>
      <c r="BL269" s="9">
        <v>1</v>
      </c>
      <c r="BM269" s="9">
        <v>1</v>
      </c>
      <c r="BN269" s="9">
        <v>1</v>
      </c>
      <c r="BO269" s="9">
        <v>1</v>
      </c>
      <c r="BP269" s="9">
        <v>1</v>
      </c>
      <c r="BQ269" s="9">
        <v>1</v>
      </c>
      <c r="BR269" s="9">
        <v>1</v>
      </c>
      <c r="BS269" s="9">
        <v>1</v>
      </c>
      <c r="BT269" s="9">
        <v>1</v>
      </c>
      <c r="BU269" s="9">
        <v>1</v>
      </c>
      <c r="BV269" s="9">
        <v>1</v>
      </c>
      <c r="BW269" s="9">
        <v>1</v>
      </c>
      <c r="BX269" s="9">
        <v>1</v>
      </c>
    </row>
    <row r="270" spans="1:76">
      <c r="A270" s="3" t="s">
        <v>66</v>
      </c>
      <c r="B270" t="s">
        <v>3747</v>
      </c>
      <c r="D270" t="s">
        <v>4967</v>
      </c>
      <c r="F270" s="91" t="s">
        <v>4973</v>
      </c>
      <c r="H270" s="3" t="s">
        <v>4984</v>
      </c>
      <c r="I270" s="3"/>
      <c r="J270" s="124"/>
      <c r="K270" s="124"/>
      <c r="M270" s="124"/>
      <c r="V270" s="9">
        <v>1</v>
      </c>
      <c r="W270" s="9">
        <v>1</v>
      </c>
      <c r="X270" s="10">
        <v>1</v>
      </c>
      <c r="Y270" s="9">
        <v>1</v>
      </c>
      <c r="Z270" s="9">
        <v>1</v>
      </c>
      <c r="AA270" s="9">
        <v>1</v>
      </c>
      <c r="AB270" s="9">
        <v>1</v>
      </c>
      <c r="AC270" s="9">
        <v>1</v>
      </c>
      <c r="AD270" s="9">
        <v>1</v>
      </c>
      <c r="AE270" s="9">
        <v>1</v>
      </c>
      <c r="AF270" s="9">
        <v>1</v>
      </c>
      <c r="AG270" s="9">
        <v>1</v>
      </c>
      <c r="AH270" s="9">
        <v>1</v>
      </c>
      <c r="AI270" s="9">
        <v>1</v>
      </c>
      <c r="AJ270" s="9">
        <v>1</v>
      </c>
      <c r="AK270" s="9">
        <v>1</v>
      </c>
      <c r="AL270" s="9">
        <v>1</v>
      </c>
      <c r="AM270" s="9">
        <v>1</v>
      </c>
      <c r="AN270" s="9">
        <v>1</v>
      </c>
      <c r="AO270" s="9">
        <v>1</v>
      </c>
      <c r="AP270" s="9">
        <v>1</v>
      </c>
      <c r="AQ270" s="9">
        <v>1</v>
      </c>
      <c r="AR270" s="9">
        <v>1</v>
      </c>
      <c r="AS270" s="9">
        <v>1</v>
      </c>
      <c r="AT270" s="9">
        <v>1</v>
      </c>
      <c r="AU270" s="9">
        <v>1</v>
      </c>
      <c r="AV270" s="9">
        <v>1</v>
      </c>
      <c r="AW270" s="9">
        <v>1</v>
      </c>
      <c r="AX270" s="9">
        <v>1</v>
      </c>
      <c r="AY270" s="9">
        <v>1</v>
      </c>
      <c r="AZ270" s="9">
        <v>1</v>
      </c>
      <c r="BA270" s="9">
        <v>1</v>
      </c>
      <c r="BB270" s="9">
        <v>1</v>
      </c>
      <c r="BC270" s="9">
        <v>1</v>
      </c>
      <c r="BD270" s="9">
        <v>1</v>
      </c>
      <c r="BE270" s="9">
        <v>1</v>
      </c>
      <c r="BF270" s="9">
        <v>1</v>
      </c>
      <c r="BG270" s="9">
        <v>1</v>
      </c>
      <c r="BH270" s="9">
        <v>1</v>
      </c>
      <c r="BI270" s="9">
        <v>1</v>
      </c>
      <c r="BJ270" s="9">
        <v>1</v>
      </c>
      <c r="BK270" s="9">
        <v>1</v>
      </c>
      <c r="BL270" s="9">
        <v>1</v>
      </c>
      <c r="BM270" s="9">
        <v>1</v>
      </c>
      <c r="BN270" s="9">
        <v>1</v>
      </c>
      <c r="BO270" s="9">
        <v>1</v>
      </c>
      <c r="BP270" s="9">
        <v>1</v>
      </c>
      <c r="BQ270" s="9">
        <v>1</v>
      </c>
      <c r="BR270" s="9">
        <v>1</v>
      </c>
      <c r="BS270" s="9">
        <v>1</v>
      </c>
      <c r="BT270" s="9">
        <v>1</v>
      </c>
      <c r="BU270" s="9">
        <v>1</v>
      </c>
      <c r="BV270" s="9">
        <v>1</v>
      </c>
      <c r="BW270" s="9">
        <v>1</v>
      </c>
      <c r="BX270" s="9">
        <v>1</v>
      </c>
    </row>
    <row r="271" spans="1:76">
      <c r="A271" s="3" t="s">
        <v>66</v>
      </c>
      <c r="B271" t="s">
        <v>3749</v>
      </c>
      <c r="D271" t="s">
        <v>4967</v>
      </c>
      <c r="F271" s="91" t="s">
        <v>4973</v>
      </c>
      <c r="H271" s="3" t="s">
        <v>4984</v>
      </c>
      <c r="I271" s="3"/>
      <c r="J271" s="124"/>
      <c r="K271" s="124"/>
      <c r="M271" s="124"/>
      <c r="V271" s="9">
        <v>1</v>
      </c>
      <c r="W271" s="9">
        <v>1</v>
      </c>
      <c r="X271" s="10">
        <v>1</v>
      </c>
      <c r="Y271" s="9">
        <v>1</v>
      </c>
      <c r="Z271" s="9">
        <v>1</v>
      </c>
      <c r="AA271" s="9">
        <v>1</v>
      </c>
      <c r="AB271" s="9">
        <v>1</v>
      </c>
      <c r="AC271" s="9">
        <v>1</v>
      </c>
      <c r="AD271" s="9">
        <v>1</v>
      </c>
      <c r="AE271" s="9">
        <v>1</v>
      </c>
      <c r="AF271" s="9">
        <v>1</v>
      </c>
      <c r="AG271" s="9">
        <v>1</v>
      </c>
      <c r="AH271" s="9">
        <v>1</v>
      </c>
      <c r="AI271" s="9">
        <v>1</v>
      </c>
      <c r="AJ271" s="9">
        <v>1</v>
      </c>
      <c r="AK271" s="9">
        <v>1</v>
      </c>
      <c r="AL271" s="9">
        <v>1</v>
      </c>
      <c r="AM271" s="9">
        <v>1</v>
      </c>
      <c r="AN271" s="9">
        <v>1</v>
      </c>
      <c r="AO271" s="9">
        <v>1</v>
      </c>
      <c r="AP271" s="9">
        <v>1</v>
      </c>
      <c r="AQ271" s="9">
        <v>1</v>
      </c>
      <c r="AR271" s="9">
        <v>1</v>
      </c>
      <c r="AS271" s="9">
        <v>1</v>
      </c>
      <c r="AT271" s="9">
        <v>1</v>
      </c>
      <c r="AU271" s="9">
        <v>1</v>
      </c>
      <c r="AV271" s="9">
        <v>1</v>
      </c>
      <c r="AW271" s="9">
        <v>1</v>
      </c>
      <c r="AX271" s="9">
        <v>1</v>
      </c>
      <c r="AY271" s="9">
        <v>1</v>
      </c>
      <c r="AZ271" s="9">
        <v>1</v>
      </c>
      <c r="BA271" s="9">
        <v>1</v>
      </c>
      <c r="BB271" s="9">
        <v>1</v>
      </c>
      <c r="BC271" s="9">
        <v>1</v>
      </c>
      <c r="BD271" s="9">
        <v>1</v>
      </c>
      <c r="BE271" s="9">
        <v>1</v>
      </c>
      <c r="BF271" s="9">
        <v>1</v>
      </c>
      <c r="BG271" s="9">
        <v>1</v>
      </c>
      <c r="BH271" s="9">
        <v>1</v>
      </c>
      <c r="BI271" s="9">
        <v>1</v>
      </c>
      <c r="BJ271" s="9">
        <v>1</v>
      </c>
      <c r="BK271" s="9">
        <v>1</v>
      </c>
      <c r="BL271" s="9">
        <v>1</v>
      </c>
      <c r="BM271" s="9">
        <v>1</v>
      </c>
      <c r="BN271" s="9">
        <v>1</v>
      </c>
      <c r="BO271" s="9">
        <v>1</v>
      </c>
      <c r="BP271" s="9">
        <v>1</v>
      </c>
      <c r="BQ271" s="9">
        <v>1</v>
      </c>
      <c r="BR271" s="9">
        <v>1</v>
      </c>
      <c r="BS271" s="9">
        <v>1</v>
      </c>
      <c r="BT271" s="9">
        <v>1</v>
      </c>
      <c r="BU271" s="9">
        <v>1</v>
      </c>
      <c r="BV271" s="9">
        <v>1</v>
      </c>
      <c r="BW271" s="9">
        <v>1</v>
      </c>
      <c r="BX271" s="9">
        <v>1</v>
      </c>
    </row>
    <row r="272" spans="1:76">
      <c r="A272" s="3" t="s">
        <v>66</v>
      </c>
      <c r="B272" t="s">
        <v>3751</v>
      </c>
      <c r="D272" t="s">
        <v>4967</v>
      </c>
      <c r="F272" s="91" t="s">
        <v>4973</v>
      </c>
      <c r="H272" s="3" t="s">
        <v>4984</v>
      </c>
      <c r="I272" s="3"/>
      <c r="J272" s="124"/>
      <c r="K272" s="124"/>
      <c r="M272" s="124"/>
      <c r="V272" s="9">
        <v>1</v>
      </c>
      <c r="W272" s="9">
        <v>1</v>
      </c>
      <c r="X272" s="10">
        <v>1</v>
      </c>
      <c r="Y272" s="9">
        <v>1</v>
      </c>
      <c r="Z272" s="9">
        <v>1</v>
      </c>
      <c r="AA272" s="9">
        <v>1</v>
      </c>
      <c r="AB272" s="9">
        <v>1</v>
      </c>
      <c r="AC272" s="9">
        <v>1</v>
      </c>
      <c r="AD272" s="9">
        <v>1</v>
      </c>
      <c r="AE272" s="9">
        <v>1</v>
      </c>
      <c r="AF272" s="9">
        <v>1</v>
      </c>
      <c r="AG272" s="9">
        <v>1</v>
      </c>
      <c r="AH272" s="9">
        <v>1</v>
      </c>
      <c r="AI272" s="9">
        <v>1</v>
      </c>
      <c r="AJ272" s="9">
        <v>1</v>
      </c>
      <c r="AK272" s="9">
        <v>1</v>
      </c>
      <c r="AL272" s="9">
        <v>1</v>
      </c>
      <c r="AM272" s="9">
        <v>1</v>
      </c>
      <c r="AN272" s="9">
        <v>1</v>
      </c>
      <c r="AO272" s="9">
        <v>1</v>
      </c>
      <c r="AP272" s="9">
        <v>1</v>
      </c>
      <c r="AQ272" s="9">
        <v>1</v>
      </c>
      <c r="AR272" s="9">
        <v>1</v>
      </c>
      <c r="AS272" s="9">
        <v>1</v>
      </c>
      <c r="AT272" s="9">
        <v>1</v>
      </c>
      <c r="AU272" s="9">
        <v>1</v>
      </c>
      <c r="AV272" s="9">
        <v>1</v>
      </c>
      <c r="AW272" s="9">
        <v>1</v>
      </c>
      <c r="AX272" s="9">
        <v>1</v>
      </c>
      <c r="AY272" s="9">
        <v>1</v>
      </c>
      <c r="AZ272" s="9">
        <v>1</v>
      </c>
      <c r="BA272" s="9">
        <v>1</v>
      </c>
      <c r="BB272" s="9">
        <v>1</v>
      </c>
      <c r="BC272" s="9">
        <v>1</v>
      </c>
      <c r="BD272" s="9">
        <v>1</v>
      </c>
      <c r="BE272" s="9">
        <v>1</v>
      </c>
      <c r="BF272" s="9">
        <v>1</v>
      </c>
      <c r="BG272" s="9">
        <v>1</v>
      </c>
      <c r="BH272" s="9">
        <v>1</v>
      </c>
      <c r="BI272" s="9">
        <v>1</v>
      </c>
      <c r="BJ272" s="9">
        <v>1</v>
      </c>
      <c r="BK272" s="9">
        <v>1</v>
      </c>
      <c r="BL272" s="9">
        <v>1</v>
      </c>
      <c r="BM272" s="9">
        <v>1</v>
      </c>
      <c r="BN272" s="9">
        <v>1</v>
      </c>
      <c r="BO272" s="9">
        <v>1</v>
      </c>
      <c r="BP272" s="9">
        <v>1</v>
      </c>
      <c r="BQ272" s="9">
        <v>1</v>
      </c>
      <c r="BR272" s="9">
        <v>1</v>
      </c>
      <c r="BS272" s="9">
        <v>1</v>
      </c>
      <c r="BT272" s="9">
        <v>1</v>
      </c>
      <c r="BU272" s="9">
        <v>1</v>
      </c>
      <c r="BV272" s="9">
        <v>1</v>
      </c>
      <c r="BW272" s="9">
        <v>1</v>
      </c>
      <c r="BX272" s="9">
        <v>1</v>
      </c>
    </row>
    <row r="273" spans="1:76">
      <c r="A273" s="3" t="s">
        <v>66</v>
      </c>
      <c r="B273" t="s">
        <v>3753</v>
      </c>
      <c r="D273" t="s">
        <v>4967</v>
      </c>
      <c r="F273" s="91" t="s">
        <v>4973</v>
      </c>
      <c r="H273" s="3" t="s">
        <v>4984</v>
      </c>
      <c r="I273" s="3"/>
      <c r="J273" s="124"/>
      <c r="K273" s="124"/>
      <c r="M273" s="124"/>
      <c r="V273" s="9">
        <v>1</v>
      </c>
      <c r="W273" s="9">
        <v>1</v>
      </c>
      <c r="X273" s="10">
        <v>1</v>
      </c>
      <c r="Y273" s="9">
        <v>1</v>
      </c>
      <c r="Z273" s="9">
        <v>1</v>
      </c>
      <c r="AA273" s="9">
        <v>1</v>
      </c>
      <c r="AB273" s="9">
        <v>1</v>
      </c>
      <c r="AC273" s="9">
        <v>1</v>
      </c>
      <c r="AD273" s="9">
        <v>1</v>
      </c>
      <c r="AE273" s="9">
        <v>1</v>
      </c>
      <c r="AF273" s="9">
        <v>1</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1</v>
      </c>
      <c r="AX273" s="9">
        <v>1</v>
      </c>
      <c r="AY273" s="9">
        <v>1</v>
      </c>
      <c r="AZ273" s="9">
        <v>1</v>
      </c>
      <c r="BA273" s="9">
        <v>1</v>
      </c>
      <c r="BB273" s="9">
        <v>1</v>
      </c>
      <c r="BC273" s="9">
        <v>1</v>
      </c>
      <c r="BD273" s="9">
        <v>1</v>
      </c>
      <c r="BE273" s="9">
        <v>1</v>
      </c>
      <c r="BF273" s="9">
        <v>1</v>
      </c>
      <c r="BG273" s="9">
        <v>1</v>
      </c>
      <c r="BH273" s="9">
        <v>1</v>
      </c>
      <c r="BI273" s="9">
        <v>1</v>
      </c>
      <c r="BJ273" s="9">
        <v>1</v>
      </c>
      <c r="BK273" s="9">
        <v>1</v>
      </c>
      <c r="BL273" s="9">
        <v>1</v>
      </c>
      <c r="BM273" s="9">
        <v>1</v>
      </c>
      <c r="BN273" s="9">
        <v>1</v>
      </c>
      <c r="BO273" s="9">
        <v>1</v>
      </c>
      <c r="BP273" s="9">
        <v>1</v>
      </c>
      <c r="BQ273" s="9">
        <v>1</v>
      </c>
      <c r="BR273" s="9">
        <v>1</v>
      </c>
      <c r="BS273" s="9">
        <v>1</v>
      </c>
      <c r="BT273" s="9">
        <v>1</v>
      </c>
      <c r="BU273" s="9">
        <v>1</v>
      </c>
      <c r="BV273" s="9">
        <v>1</v>
      </c>
      <c r="BW273" s="9">
        <v>1</v>
      </c>
      <c r="BX273" s="9">
        <v>1</v>
      </c>
    </row>
    <row r="274" spans="1:76">
      <c r="A274" s="3" t="s">
        <v>66</v>
      </c>
      <c r="B274" t="s">
        <v>3755</v>
      </c>
      <c r="D274" t="s">
        <v>4967</v>
      </c>
      <c r="F274" s="91" t="s">
        <v>4973</v>
      </c>
      <c r="H274" s="3" t="s">
        <v>4984</v>
      </c>
      <c r="I274" s="3"/>
      <c r="J274" s="124"/>
      <c r="K274" s="124"/>
      <c r="M274" s="124"/>
      <c r="V274" s="9">
        <v>1</v>
      </c>
      <c r="W274" s="9">
        <v>1</v>
      </c>
      <c r="X274" s="10">
        <v>1</v>
      </c>
      <c r="Y274" s="9">
        <v>1</v>
      </c>
      <c r="Z274" s="9">
        <v>1</v>
      </c>
      <c r="AA274" s="9">
        <v>1</v>
      </c>
      <c r="AB274" s="9">
        <v>1</v>
      </c>
      <c r="AC274" s="9">
        <v>1</v>
      </c>
      <c r="AD274" s="9">
        <v>1</v>
      </c>
      <c r="AE274" s="9">
        <v>1</v>
      </c>
      <c r="AF274" s="9">
        <v>1</v>
      </c>
      <c r="AG274" s="9">
        <v>1</v>
      </c>
      <c r="AH274" s="9">
        <v>1</v>
      </c>
      <c r="AI274" s="9">
        <v>1</v>
      </c>
      <c r="AJ274" s="9">
        <v>1</v>
      </c>
      <c r="AK274" s="9">
        <v>1</v>
      </c>
      <c r="AL274" s="9">
        <v>1</v>
      </c>
      <c r="AM274" s="9">
        <v>1</v>
      </c>
      <c r="AN274" s="9">
        <v>1</v>
      </c>
      <c r="AO274" s="9">
        <v>1</v>
      </c>
      <c r="AP274" s="9">
        <v>1</v>
      </c>
      <c r="AQ274" s="9">
        <v>1</v>
      </c>
      <c r="AR274" s="9">
        <v>1</v>
      </c>
      <c r="AS274" s="9">
        <v>1</v>
      </c>
      <c r="AT274" s="9">
        <v>1</v>
      </c>
      <c r="AU274" s="9">
        <v>1</v>
      </c>
      <c r="AV274" s="9">
        <v>1</v>
      </c>
      <c r="AW274" s="9">
        <v>1</v>
      </c>
      <c r="AX274" s="9">
        <v>1</v>
      </c>
      <c r="AY274" s="9">
        <v>1</v>
      </c>
      <c r="AZ274" s="9">
        <v>1</v>
      </c>
      <c r="BA274" s="9">
        <v>1</v>
      </c>
      <c r="BB274" s="9">
        <v>1</v>
      </c>
      <c r="BC274" s="9">
        <v>1</v>
      </c>
      <c r="BD274" s="9">
        <v>1</v>
      </c>
      <c r="BE274" s="9">
        <v>1</v>
      </c>
      <c r="BF274" s="9">
        <v>1</v>
      </c>
      <c r="BG274" s="9">
        <v>1</v>
      </c>
      <c r="BH274" s="9">
        <v>1</v>
      </c>
      <c r="BI274" s="9">
        <v>1</v>
      </c>
      <c r="BJ274" s="9">
        <v>1</v>
      </c>
      <c r="BK274" s="9">
        <v>1</v>
      </c>
      <c r="BL274" s="9">
        <v>1</v>
      </c>
      <c r="BM274" s="9">
        <v>1</v>
      </c>
      <c r="BN274" s="9">
        <v>1</v>
      </c>
      <c r="BO274" s="9">
        <v>1</v>
      </c>
      <c r="BP274" s="9">
        <v>1</v>
      </c>
      <c r="BQ274" s="9">
        <v>1</v>
      </c>
      <c r="BR274" s="9">
        <v>1</v>
      </c>
      <c r="BS274" s="9">
        <v>1</v>
      </c>
      <c r="BT274" s="9">
        <v>1</v>
      </c>
      <c r="BU274" s="9">
        <v>1</v>
      </c>
      <c r="BV274" s="9">
        <v>1</v>
      </c>
      <c r="BW274" s="9">
        <v>1</v>
      </c>
      <c r="BX274" s="9">
        <v>1</v>
      </c>
    </row>
    <row r="275" spans="1:76">
      <c r="A275" s="3" t="s">
        <v>66</v>
      </c>
      <c r="B275" t="s">
        <v>3757</v>
      </c>
      <c r="D275" t="s">
        <v>4967</v>
      </c>
      <c r="F275" s="91" t="s">
        <v>4973</v>
      </c>
      <c r="H275" s="3" t="s">
        <v>4984</v>
      </c>
      <c r="I275" s="3"/>
      <c r="J275" s="124"/>
      <c r="K275" s="124"/>
      <c r="M275" s="124"/>
      <c r="V275" s="9">
        <v>1</v>
      </c>
      <c r="W275" s="9">
        <v>1</v>
      </c>
      <c r="X275" s="10">
        <v>1</v>
      </c>
      <c r="Y275" s="9">
        <v>1</v>
      </c>
      <c r="Z275" s="9">
        <v>1</v>
      </c>
      <c r="AA275" s="9">
        <v>1</v>
      </c>
      <c r="AB275" s="9">
        <v>1</v>
      </c>
      <c r="AC275" s="9">
        <v>1</v>
      </c>
      <c r="AD275" s="9">
        <v>1</v>
      </c>
      <c r="AE275" s="9">
        <v>1</v>
      </c>
      <c r="AF275" s="9">
        <v>1</v>
      </c>
      <c r="AG275" s="9">
        <v>1</v>
      </c>
      <c r="AH275" s="9">
        <v>1</v>
      </c>
      <c r="AI275" s="9">
        <v>1</v>
      </c>
      <c r="AJ275" s="9">
        <v>1</v>
      </c>
      <c r="AK275" s="9">
        <v>1</v>
      </c>
      <c r="AL275" s="9">
        <v>1</v>
      </c>
      <c r="AM275" s="9">
        <v>1</v>
      </c>
      <c r="AN275" s="9">
        <v>1</v>
      </c>
      <c r="AO275" s="9">
        <v>1</v>
      </c>
      <c r="AP275" s="9">
        <v>1</v>
      </c>
      <c r="AQ275" s="9">
        <v>1</v>
      </c>
      <c r="AR275" s="9">
        <v>1</v>
      </c>
      <c r="AS275" s="9">
        <v>1</v>
      </c>
      <c r="AT275" s="9">
        <v>1</v>
      </c>
      <c r="AU275" s="9">
        <v>1</v>
      </c>
      <c r="AV275" s="9">
        <v>1</v>
      </c>
      <c r="AW275" s="9">
        <v>1</v>
      </c>
      <c r="AX275" s="9">
        <v>1</v>
      </c>
      <c r="AY275" s="9">
        <v>1</v>
      </c>
      <c r="AZ275" s="9">
        <v>1</v>
      </c>
      <c r="BA275" s="9">
        <v>1</v>
      </c>
      <c r="BB275" s="9">
        <v>1</v>
      </c>
      <c r="BC275" s="9">
        <v>1</v>
      </c>
      <c r="BD275" s="9">
        <v>1</v>
      </c>
      <c r="BE275" s="9">
        <v>1</v>
      </c>
      <c r="BF275" s="9">
        <v>1</v>
      </c>
      <c r="BG275" s="9">
        <v>1</v>
      </c>
      <c r="BH275" s="9">
        <v>1</v>
      </c>
      <c r="BI275" s="9">
        <v>1</v>
      </c>
      <c r="BJ275" s="9">
        <v>1</v>
      </c>
      <c r="BK275" s="9">
        <v>1</v>
      </c>
      <c r="BL275" s="9">
        <v>1</v>
      </c>
      <c r="BM275" s="9">
        <v>1</v>
      </c>
      <c r="BN275" s="9">
        <v>1</v>
      </c>
      <c r="BO275" s="9">
        <v>1</v>
      </c>
      <c r="BP275" s="9">
        <v>1</v>
      </c>
      <c r="BQ275" s="9">
        <v>1</v>
      </c>
      <c r="BR275" s="9">
        <v>1</v>
      </c>
      <c r="BS275" s="9">
        <v>1</v>
      </c>
      <c r="BT275" s="9">
        <v>1</v>
      </c>
      <c r="BU275" s="9">
        <v>1</v>
      </c>
      <c r="BV275" s="9">
        <v>1</v>
      </c>
      <c r="BW275" s="9">
        <v>1</v>
      </c>
      <c r="BX275" s="9">
        <v>1</v>
      </c>
    </row>
    <row r="276" spans="1:76">
      <c r="A276" s="3" t="s">
        <v>66</v>
      </c>
      <c r="B276" t="s">
        <v>3759</v>
      </c>
      <c r="D276" t="s">
        <v>4967</v>
      </c>
      <c r="F276" s="91" t="s">
        <v>4973</v>
      </c>
      <c r="H276" s="3" t="s">
        <v>4984</v>
      </c>
      <c r="I276" s="3"/>
      <c r="J276" s="124"/>
      <c r="K276" s="124"/>
      <c r="M276" s="124"/>
      <c r="V276" s="9">
        <v>1</v>
      </c>
      <c r="W276" s="9">
        <v>1</v>
      </c>
      <c r="X276" s="10">
        <v>1</v>
      </c>
      <c r="Y276" s="9">
        <v>1</v>
      </c>
      <c r="Z276" s="9">
        <v>1</v>
      </c>
      <c r="AA276" s="9">
        <v>1</v>
      </c>
      <c r="AB276" s="9">
        <v>1</v>
      </c>
      <c r="AC276" s="9">
        <v>1</v>
      </c>
      <c r="AD276" s="9">
        <v>1</v>
      </c>
      <c r="AE276" s="9">
        <v>1</v>
      </c>
      <c r="AF276" s="9">
        <v>1</v>
      </c>
      <c r="AG276" s="9">
        <v>1</v>
      </c>
      <c r="AH276" s="9">
        <v>1</v>
      </c>
      <c r="AI276" s="9">
        <v>1</v>
      </c>
      <c r="AJ276" s="9">
        <v>1</v>
      </c>
      <c r="AK276" s="9">
        <v>1</v>
      </c>
      <c r="AL276" s="9">
        <v>1</v>
      </c>
      <c r="AM276" s="9">
        <v>1</v>
      </c>
      <c r="AN276" s="9">
        <v>1</v>
      </c>
      <c r="AO276" s="9">
        <v>1</v>
      </c>
      <c r="AP276" s="9">
        <v>1</v>
      </c>
      <c r="AQ276" s="9">
        <v>1</v>
      </c>
      <c r="AR276" s="9">
        <v>1</v>
      </c>
      <c r="AS276" s="9">
        <v>1</v>
      </c>
      <c r="AT276" s="9">
        <v>1</v>
      </c>
      <c r="AU276" s="9">
        <v>1</v>
      </c>
      <c r="AV276" s="9">
        <v>1</v>
      </c>
      <c r="AW276" s="9">
        <v>1</v>
      </c>
      <c r="AX276" s="9">
        <v>1</v>
      </c>
      <c r="AY276" s="9">
        <v>1</v>
      </c>
      <c r="AZ276" s="9">
        <v>1</v>
      </c>
      <c r="BA276" s="9">
        <v>1</v>
      </c>
      <c r="BB276" s="9">
        <v>1</v>
      </c>
      <c r="BC276" s="9">
        <v>1</v>
      </c>
      <c r="BD276" s="9">
        <v>1</v>
      </c>
      <c r="BE276" s="9">
        <v>1</v>
      </c>
      <c r="BF276" s="9">
        <v>1</v>
      </c>
      <c r="BG276" s="9">
        <v>1</v>
      </c>
      <c r="BH276" s="9">
        <v>1</v>
      </c>
      <c r="BI276" s="9">
        <v>1</v>
      </c>
      <c r="BJ276" s="9">
        <v>1</v>
      </c>
      <c r="BK276" s="9">
        <v>1</v>
      </c>
      <c r="BL276" s="9">
        <v>1</v>
      </c>
      <c r="BM276" s="9">
        <v>1</v>
      </c>
      <c r="BN276" s="9">
        <v>1</v>
      </c>
      <c r="BO276" s="9">
        <v>1</v>
      </c>
      <c r="BP276" s="9">
        <v>1</v>
      </c>
      <c r="BQ276" s="9">
        <v>1</v>
      </c>
      <c r="BR276" s="9">
        <v>1</v>
      </c>
      <c r="BS276" s="9">
        <v>1</v>
      </c>
      <c r="BT276" s="9">
        <v>1</v>
      </c>
      <c r="BU276" s="9">
        <v>1</v>
      </c>
      <c r="BV276" s="9">
        <v>1</v>
      </c>
      <c r="BW276" s="9">
        <v>1</v>
      </c>
      <c r="BX276" s="9">
        <v>1</v>
      </c>
    </row>
    <row r="277" spans="1:76">
      <c r="A277" s="3" t="s">
        <v>66</v>
      </c>
      <c r="B277" t="s">
        <v>3767</v>
      </c>
      <c r="D277" t="s">
        <v>4967</v>
      </c>
      <c r="F277" s="91" t="s">
        <v>4973</v>
      </c>
      <c r="H277" s="3" t="s">
        <v>4984</v>
      </c>
      <c r="I277" s="3"/>
      <c r="J277" s="124"/>
      <c r="K277" s="124"/>
      <c r="M277" s="124"/>
      <c r="V277" s="9">
        <v>1</v>
      </c>
      <c r="W277" s="9">
        <v>1</v>
      </c>
      <c r="X277" s="10">
        <v>1</v>
      </c>
      <c r="Y277" s="9">
        <v>1</v>
      </c>
      <c r="Z277" s="9">
        <v>1</v>
      </c>
      <c r="AA277" s="9">
        <v>1</v>
      </c>
      <c r="AB277" s="9">
        <v>1</v>
      </c>
      <c r="AC277" s="9">
        <v>1</v>
      </c>
      <c r="AD277" s="9">
        <v>1</v>
      </c>
      <c r="AE277" s="9">
        <v>1</v>
      </c>
      <c r="AF277" s="9">
        <v>1</v>
      </c>
      <c r="AG277" s="9">
        <v>1</v>
      </c>
      <c r="AH277" s="9">
        <v>1</v>
      </c>
      <c r="AI277" s="9">
        <v>1</v>
      </c>
      <c r="AJ277" s="9">
        <v>1</v>
      </c>
      <c r="AK277" s="9">
        <v>1</v>
      </c>
      <c r="AL277" s="9">
        <v>1</v>
      </c>
      <c r="AM277" s="9">
        <v>1</v>
      </c>
      <c r="AN277" s="9">
        <v>1</v>
      </c>
      <c r="AO277" s="9">
        <v>1</v>
      </c>
      <c r="AP277" s="9">
        <v>1</v>
      </c>
      <c r="AQ277" s="9">
        <v>1</v>
      </c>
      <c r="AR277" s="9">
        <v>1</v>
      </c>
      <c r="AS277" s="9">
        <v>1</v>
      </c>
      <c r="AT277" s="9">
        <v>1</v>
      </c>
      <c r="AU277" s="9">
        <v>1</v>
      </c>
      <c r="AV277" s="9">
        <v>1</v>
      </c>
      <c r="AW277" s="9">
        <v>1</v>
      </c>
      <c r="AX277" s="9">
        <v>1</v>
      </c>
      <c r="AY277" s="9">
        <v>1</v>
      </c>
      <c r="AZ277" s="9">
        <v>1</v>
      </c>
      <c r="BA277" s="9">
        <v>1</v>
      </c>
      <c r="BB277" s="9">
        <v>1</v>
      </c>
      <c r="BC277" s="9">
        <v>1</v>
      </c>
      <c r="BD277" s="9">
        <v>1</v>
      </c>
      <c r="BE277" s="9">
        <v>1</v>
      </c>
      <c r="BF277" s="9">
        <v>1</v>
      </c>
      <c r="BG277" s="9">
        <v>1</v>
      </c>
      <c r="BH277" s="9">
        <v>1</v>
      </c>
      <c r="BI277" s="9">
        <v>1</v>
      </c>
      <c r="BJ277" s="9">
        <v>1</v>
      </c>
      <c r="BK277" s="9">
        <v>1</v>
      </c>
      <c r="BL277" s="9">
        <v>1</v>
      </c>
      <c r="BM277" s="9">
        <v>1</v>
      </c>
      <c r="BN277" s="9">
        <v>1</v>
      </c>
      <c r="BO277" s="9">
        <v>1</v>
      </c>
      <c r="BP277" s="9">
        <v>1</v>
      </c>
      <c r="BQ277" s="9">
        <v>1</v>
      </c>
      <c r="BR277" s="9">
        <v>1</v>
      </c>
      <c r="BS277" s="9">
        <v>1</v>
      </c>
      <c r="BT277" s="9">
        <v>1</v>
      </c>
      <c r="BU277" s="9">
        <v>1</v>
      </c>
      <c r="BV277" s="9">
        <v>1</v>
      </c>
      <c r="BW277" s="9">
        <v>1</v>
      </c>
      <c r="BX277" s="9">
        <v>1</v>
      </c>
    </row>
    <row r="278" spans="1:76">
      <c r="A278" s="3" t="s">
        <v>66</v>
      </c>
      <c r="B278" t="s">
        <v>3769</v>
      </c>
      <c r="D278" t="s">
        <v>4967</v>
      </c>
      <c r="F278" s="91" t="s">
        <v>4973</v>
      </c>
      <c r="H278" s="3" t="s">
        <v>4984</v>
      </c>
      <c r="I278" s="3"/>
      <c r="J278" s="124"/>
      <c r="K278" s="124"/>
      <c r="M278" s="124"/>
      <c r="V278" s="9">
        <v>1</v>
      </c>
      <c r="W278" s="9">
        <v>1</v>
      </c>
      <c r="X278" s="10">
        <v>1</v>
      </c>
      <c r="Y278" s="9">
        <v>1</v>
      </c>
      <c r="Z278" s="9">
        <v>1</v>
      </c>
      <c r="AA278" s="9">
        <v>1</v>
      </c>
      <c r="AB278" s="9">
        <v>1</v>
      </c>
      <c r="AC278" s="9">
        <v>1</v>
      </c>
      <c r="AD278" s="9">
        <v>1</v>
      </c>
      <c r="AE278" s="9">
        <v>1</v>
      </c>
      <c r="AF278" s="9">
        <v>1</v>
      </c>
      <c r="AG278" s="9">
        <v>1</v>
      </c>
      <c r="AH278" s="9">
        <v>1</v>
      </c>
      <c r="AI278" s="9">
        <v>1</v>
      </c>
      <c r="AJ278" s="9">
        <v>1</v>
      </c>
      <c r="AK278" s="9">
        <v>1</v>
      </c>
      <c r="AL278" s="9">
        <v>1</v>
      </c>
      <c r="AM278" s="9">
        <v>1</v>
      </c>
      <c r="AN278" s="9">
        <v>1</v>
      </c>
      <c r="AO278" s="9">
        <v>1</v>
      </c>
      <c r="AP278" s="9">
        <v>1</v>
      </c>
      <c r="AQ278" s="9">
        <v>1</v>
      </c>
      <c r="AR278" s="9">
        <v>1</v>
      </c>
      <c r="AS278" s="9">
        <v>1</v>
      </c>
      <c r="AT278" s="9">
        <v>1</v>
      </c>
      <c r="AU278" s="9">
        <v>1</v>
      </c>
      <c r="AV278" s="9">
        <v>1</v>
      </c>
      <c r="AW278" s="9">
        <v>1</v>
      </c>
      <c r="AX278" s="9">
        <v>1</v>
      </c>
      <c r="AY278" s="9">
        <v>1</v>
      </c>
      <c r="AZ278" s="9">
        <v>1</v>
      </c>
      <c r="BA278" s="9">
        <v>1</v>
      </c>
      <c r="BB278" s="9">
        <v>1</v>
      </c>
      <c r="BC278" s="9">
        <v>1</v>
      </c>
      <c r="BD278" s="9">
        <v>1</v>
      </c>
      <c r="BE278" s="9">
        <v>1</v>
      </c>
      <c r="BF278" s="9">
        <v>1</v>
      </c>
      <c r="BG278" s="9">
        <v>1</v>
      </c>
      <c r="BH278" s="9">
        <v>1</v>
      </c>
      <c r="BI278" s="9">
        <v>1</v>
      </c>
      <c r="BJ278" s="9">
        <v>1</v>
      </c>
      <c r="BK278" s="9">
        <v>1</v>
      </c>
      <c r="BL278" s="9">
        <v>1</v>
      </c>
      <c r="BM278" s="9">
        <v>1</v>
      </c>
      <c r="BN278" s="9">
        <v>1</v>
      </c>
      <c r="BO278" s="9">
        <v>1</v>
      </c>
      <c r="BP278" s="9">
        <v>1</v>
      </c>
      <c r="BQ278" s="9">
        <v>1</v>
      </c>
      <c r="BR278" s="9">
        <v>1</v>
      </c>
      <c r="BS278" s="9">
        <v>1</v>
      </c>
      <c r="BT278" s="9">
        <v>1</v>
      </c>
      <c r="BU278" s="9">
        <v>1</v>
      </c>
      <c r="BV278" s="9">
        <v>1</v>
      </c>
      <c r="BW278" s="9">
        <v>1</v>
      </c>
      <c r="BX278" s="9">
        <v>1</v>
      </c>
    </row>
    <row r="279" spans="1:76">
      <c r="A279" s="3" t="s">
        <v>66</v>
      </c>
      <c r="B279" t="s">
        <v>3771</v>
      </c>
      <c r="D279" t="s">
        <v>4967</v>
      </c>
      <c r="F279" s="91" t="s">
        <v>4973</v>
      </c>
      <c r="H279" s="3" t="s">
        <v>4984</v>
      </c>
      <c r="I279" s="3"/>
      <c r="J279" s="124"/>
      <c r="K279" s="124"/>
      <c r="M279" s="124"/>
      <c r="V279" s="9">
        <v>1</v>
      </c>
      <c r="W279" s="9">
        <v>1</v>
      </c>
      <c r="X279" s="10">
        <v>1</v>
      </c>
      <c r="Y279" s="9">
        <v>1</v>
      </c>
      <c r="Z279" s="9">
        <v>1</v>
      </c>
      <c r="AA279" s="9">
        <v>1</v>
      </c>
      <c r="AB279" s="9">
        <v>1</v>
      </c>
      <c r="AC279" s="9">
        <v>1</v>
      </c>
      <c r="AD279" s="9">
        <v>1</v>
      </c>
      <c r="AE279" s="9">
        <v>1</v>
      </c>
      <c r="AF279" s="9">
        <v>1</v>
      </c>
      <c r="AG279" s="9">
        <v>1</v>
      </c>
      <c r="AH279" s="9">
        <v>1</v>
      </c>
      <c r="AI279" s="9">
        <v>1</v>
      </c>
      <c r="AJ279" s="9">
        <v>1</v>
      </c>
      <c r="AK279" s="9">
        <v>1</v>
      </c>
      <c r="AL279" s="9">
        <v>1</v>
      </c>
      <c r="AM279" s="9">
        <v>1</v>
      </c>
      <c r="AN279" s="9">
        <v>1</v>
      </c>
      <c r="AO279" s="9">
        <v>1</v>
      </c>
      <c r="AP279" s="9">
        <v>1</v>
      </c>
      <c r="AQ279" s="9">
        <v>1</v>
      </c>
      <c r="AR279" s="9">
        <v>1</v>
      </c>
      <c r="AS279" s="9">
        <v>1</v>
      </c>
      <c r="AT279" s="9">
        <v>1</v>
      </c>
      <c r="AU279" s="9">
        <v>1</v>
      </c>
      <c r="AV279" s="9">
        <v>1</v>
      </c>
      <c r="AW279" s="9">
        <v>1</v>
      </c>
      <c r="AX279" s="9">
        <v>1</v>
      </c>
      <c r="AY279" s="9">
        <v>1</v>
      </c>
      <c r="AZ279" s="9">
        <v>1</v>
      </c>
      <c r="BA279" s="9">
        <v>1</v>
      </c>
      <c r="BB279" s="9">
        <v>1</v>
      </c>
      <c r="BC279" s="9">
        <v>1</v>
      </c>
      <c r="BD279" s="9">
        <v>1</v>
      </c>
      <c r="BE279" s="9">
        <v>1</v>
      </c>
      <c r="BF279" s="9">
        <v>1</v>
      </c>
      <c r="BG279" s="9">
        <v>1</v>
      </c>
      <c r="BH279" s="9">
        <v>1</v>
      </c>
      <c r="BI279" s="9">
        <v>1</v>
      </c>
      <c r="BJ279" s="9">
        <v>1</v>
      </c>
      <c r="BK279" s="9">
        <v>1</v>
      </c>
      <c r="BL279" s="9">
        <v>1</v>
      </c>
      <c r="BM279" s="9">
        <v>1</v>
      </c>
      <c r="BN279" s="9">
        <v>1</v>
      </c>
      <c r="BO279" s="9">
        <v>1</v>
      </c>
      <c r="BP279" s="9">
        <v>1</v>
      </c>
      <c r="BQ279" s="9">
        <v>1</v>
      </c>
      <c r="BR279" s="9">
        <v>1</v>
      </c>
      <c r="BS279" s="9">
        <v>1</v>
      </c>
      <c r="BT279" s="9">
        <v>1</v>
      </c>
      <c r="BU279" s="9">
        <v>1</v>
      </c>
      <c r="BV279" s="9">
        <v>1</v>
      </c>
      <c r="BW279" s="9">
        <v>1</v>
      </c>
      <c r="BX279" s="9">
        <v>1</v>
      </c>
    </row>
    <row r="280" spans="1:76">
      <c r="A280" s="3" t="s">
        <v>66</v>
      </c>
      <c r="B280" t="s">
        <v>3774</v>
      </c>
      <c r="D280" t="s">
        <v>4967</v>
      </c>
      <c r="F280" s="91" t="s">
        <v>4973</v>
      </c>
      <c r="H280" s="3" t="s">
        <v>4984</v>
      </c>
      <c r="I280" s="3"/>
      <c r="J280" s="124"/>
      <c r="K280" s="124"/>
      <c r="M280" s="124"/>
      <c r="V280" s="9">
        <v>1</v>
      </c>
      <c r="W280" s="9">
        <v>1</v>
      </c>
      <c r="X280" s="10">
        <v>1</v>
      </c>
      <c r="Y280" s="9">
        <v>1</v>
      </c>
      <c r="Z280" s="9">
        <v>1</v>
      </c>
      <c r="AA280" s="9">
        <v>1</v>
      </c>
      <c r="AB280" s="9">
        <v>1</v>
      </c>
      <c r="AC280" s="9">
        <v>1</v>
      </c>
      <c r="AD280" s="9">
        <v>1</v>
      </c>
      <c r="AE280" s="9">
        <v>1</v>
      </c>
      <c r="AF280" s="9">
        <v>1</v>
      </c>
      <c r="AG280" s="9">
        <v>1</v>
      </c>
      <c r="AH280" s="9">
        <v>1</v>
      </c>
      <c r="AI280" s="9">
        <v>1</v>
      </c>
      <c r="AJ280" s="9">
        <v>1</v>
      </c>
      <c r="AK280" s="9">
        <v>1</v>
      </c>
      <c r="AL280" s="9">
        <v>1</v>
      </c>
      <c r="AM280" s="9">
        <v>1</v>
      </c>
      <c r="AN280" s="9">
        <v>1</v>
      </c>
      <c r="AO280" s="9">
        <v>1</v>
      </c>
      <c r="AP280" s="9">
        <v>1</v>
      </c>
      <c r="AQ280" s="9">
        <v>1</v>
      </c>
      <c r="AR280" s="9">
        <v>1</v>
      </c>
      <c r="AS280" s="9">
        <v>1</v>
      </c>
      <c r="AT280" s="9">
        <v>1</v>
      </c>
      <c r="AU280" s="9">
        <v>1</v>
      </c>
      <c r="AV280" s="9">
        <v>1</v>
      </c>
      <c r="AW280" s="9">
        <v>1</v>
      </c>
      <c r="AX280" s="9">
        <v>1</v>
      </c>
      <c r="AY280" s="9">
        <v>1</v>
      </c>
      <c r="AZ280" s="9">
        <v>1</v>
      </c>
      <c r="BA280" s="9">
        <v>1</v>
      </c>
      <c r="BB280" s="9">
        <v>1</v>
      </c>
      <c r="BC280" s="9">
        <v>1</v>
      </c>
      <c r="BD280" s="9">
        <v>1</v>
      </c>
      <c r="BE280" s="9">
        <v>1</v>
      </c>
      <c r="BF280" s="9">
        <v>1</v>
      </c>
      <c r="BG280" s="9">
        <v>1</v>
      </c>
      <c r="BH280" s="9">
        <v>1</v>
      </c>
      <c r="BI280" s="9">
        <v>1</v>
      </c>
      <c r="BJ280" s="9">
        <v>1</v>
      </c>
      <c r="BK280" s="9">
        <v>1</v>
      </c>
      <c r="BL280" s="9">
        <v>1</v>
      </c>
      <c r="BM280" s="9">
        <v>1</v>
      </c>
      <c r="BN280" s="9">
        <v>1</v>
      </c>
      <c r="BO280" s="9">
        <v>1</v>
      </c>
      <c r="BP280" s="9">
        <v>1</v>
      </c>
      <c r="BQ280" s="9">
        <v>1</v>
      </c>
      <c r="BR280" s="9">
        <v>1</v>
      </c>
      <c r="BS280" s="9">
        <v>1</v>
      </c>
      <c r="BT280" s="9">
        <v>1</v>
      </c>
      <c r="BU280" s="9">
        <v>1</v>
      </c>
      <c r="BV280" s="9">
        <v>1</v>
      </c>
      <c r="BW280" s="9">
        <v>1</v>
      </c>
      <c r="BX280" s="9">
        <v>1</v>
      </c>
    </row>
    <row r="281" spans="1:76">
      <c r="A281" s="3" t="s">
        <v>66</v>
      </c>
      <c r="B281" t="s">
        <v>3776</v>
      </c>
      <c r="D281" t="s">
        <v>4967</v>
      </c>
      <c r="F281" s="91" t="s">
        <v>4973</v>
      </c>
      <c r="H281" s="3" t="s">
        <v>4984</v>
      </c>
      <c r="I281" s="3"/>
      <c r="J281" s="124"/>
      <c r="K281" s="124"/>
      <c r="M281" s="124"/>
      <c r="V281" s="9">
        <v>1</v>
      </c>
      <c r="W281" s="9">
        <v>1</v>
      </c>
      <c r="X281" s="10">
        <v>1</v>
      </c>
      <c r="Y281" s="9">
        <v>1</v>
      </c>
      <c r="Z281" s="9">
        <v>1</v>
      </c>
      <c r="AA281" s="9">
        <v>1</v>
      </c>
      <c r="AB281" s="9">
        <v>1</v>
      </c>
      <c r="AC281" s="9">
        <v>1</v>
      </c>
      <c r="AD281" s="9">
        <v>1</v>
      </c>
      <c r="AE281" s="9">
        <v>1</v>
      </c>
      <c r="AF281" s="9">
        <v>1</v>
      </c>
      <c r="AG281" s="9">
        <v>1</v>
      </c>
      <c r="AH281" s="9">
        <v>1</v>
      </c>
      <c r="AI281" s="9">
        <v>1</v>
      </c>
      <c r="AJ281" s="9">
        <v>1</v>
      </c>
      <c r="AK281" s="9">
        <v>1</v>
      </c>
      <c r="AL281" s="9">
        <v>1</v>
      </c>
      <c r="AM281" s="9">
        <v>1</v>
      </c>
      <c r="AN281" s="9">
        <v>1</v>
      </c>
      <c r="AO281" s="9">
        <v>1</v>
      </c>
      <c r="AP281" s="9">
        <v>1</v>
      </c>
      <c r="AQ281" s="9">
        <v>1</v>
      </c>
      <c r="AR281" s="9">
        <v>1</v>
      </c>
      <c r="AS281" s="9">
        <v>1</v>
      </c>
      <c r="AT281" s="9">
        <v>1</v>
      </c>
      <c r="AU281" s="9">
        <v>1</v>
      </c>
      <c r="AV281" s="9">
        <v>1</v>
      </c>
      <c r="AW281" s="9">
        <v>1</v>
      </c>
      <c r="AX281" s="9">
        <v>1</v>
      </c>
      <c r="AY281" s="9">
        <v>1</v>
      </c>
      <c r="AZ281" s="9">
        <v>1</v>
      </c>
      <c r="BA281" s="9">
        <v>1</v>
      </c>
      <c r="BB281" s="9">
        <v>1</v>
      </c>
      <c r="BC281" s="9">
        <v>1</v>
      </c>
      <c r="BD281" s="9">
        <v>1</v>
      </c>
      <c r="BE281" s="9">
        <v>1</v>
      </c>
      <c r="BF281" s="9">
        <v>1</v>
      </c>
      <c r="BG281" s="9">
        <v>1</v>
      </c>
      <c r="BH281" s="9">
        <v>1</v>
      </c>
      <c r="BI281" s="9">
        <v>1</v>
      </c>
      <c r="BJ281" s="9">
        <v>1</v>
      </c>
      <c r="BK281" s="9">
        <v>1</v>
      </c>
      <c r="BL281" s="9">
        <v>1</v>
      </c>
      <c r="BM281" s="9">
        <v>1</v>
      </c>
      <c r="BN281" s="9">
        <v>1</v>
      </c>
      <c r="BO281" s="9">
        <v>1</v>
      </c>
      <c r="BP281" s="9">
        <v>1</v>
      </c>
      <c r="BQ281" s="9">
        <v>1</v>
      </c>
      <c r="BR281" s="9">
        <v>1</v>
      </c>
      <c r="BS281" s="9">
        <v>1</v>
      </c>
      <c r="BT281" s="9">
        <v>1</v>
      </c>
      <c r="BU281" s="9">
        <v>1</v>
      </c>
      <c r="BV281" s="9">
        <v>1</v>
      </c>
      <c r="BW281" s="9">
        <v>1</v>
      </c>
      <c r="BX281" s="9">
        <v>1</v>
      </c>
    </row>
    <row r="282" spans="1:76">
      <c r="A282" s="3" t="s">
        <v>66</v>
      </c>
      <c r="B282" t="s">
        <v>3778</v>
      </c>
      <c r="D282" t="s">
        <v>4967</v>
      </c>
      <c r="F282" s="91" t="s">
        <v>4973</v>
      </c>
      <c r="H282" s="3" t="s">
        <v>4984</v>
      </c>
      <c r="I282" s="3"/>
      <c r="J282" s="124"/>
      <c r="K282" s="124"/>
      <c r="M282" s="124"/>
      <c r="V282" s="9">
        <v>1</v>
      </c>
      <c r="W282" s="9">
        <v>1</v>
      </c>
      <c r="X282" s="10">
        <v>1</v>
      </c>
      <c r="Y282" s="9">
        <v>1</v>
      </c>
      <c r="Z282" s="9">
        <v>1</v>
      </c>
      <c r="AA282" s="9">
        <v>1</v>
      </c>
      <c r="AB282" s="9">
        <v>1</v>
      </c>
      <c r="AC282" s="9">
        <v>1</v>
      </c>
      <c r="AD282" s="9">
        <v>1</v>
      </c>
      <c r="AE282" s="9">
        <v>1</v>
      </c>
      <c r="AF282" s="9">
        <v>1</v>
      </c>
      <c r="AG282" s="9">
        <v>1</v>
      </c>
      <c r="AH282" s="9">
        <v>1</v>
      </c>
      <c r="AI282" s="9">
        <v>1</v>
      </c>
      <c r="AJ282" s="9">
        <v>1</v>
      </c>
      <c r="AK282" s="9">
        <v>1</v>
      </c>
      <c r="AL282" s="9">
        <v>1</v>
      </c>
      <c r="AM282" s="9">
        <v>1</v>
      </c>
      <c r="AN282" s="9">
        <v>1</v>
      </c>
      <c r="AO282" s="9">
        <v>1</v>
      </c>
      <c r="AP282" s="9">
        <v>1</v>
      </c>
      <c r="AQ282" s="9">
        <v>1</v>
      </c>
      <c r="AR282" s="9">
        <v>1</v>
      </c>
      <c r="AS282" s="9">
        <v>1</v>
      </c>
      <c r="AT282" s="9">
        <v>1</v>
      </c>
      <c r="AU282" s="9">
        <v>1</v>
      </c>
      <c r="AV282" s="9">
        <v>1</v>
      </c>
      <c r="AW282" s="9">
        <v>1</v>
      </c>
      <c r="AX282" s="9">
        <v>1</v>
      </c>
      <c r="AY282" s="9">
        <v>1</v>
      </c>
      <c r="AZ282" s="9">
        <v>1</v>
      </c>
      <c r="BA282" s="9">
        <v>1</v>
      </c>
      <c r="BB282" s="9">
        <v>1</v>
      </c>
      <c r="BC282" s="9">
        <v>1</v>
      </c>
      <c r="BD282" s="9">
        <v>1</v>
      </c>
      <c r="BE282" s="9">
        <v>1</v>
      </c>
      <c r="BF282" s="9">
        <v>1</v>
      </c>
      <c r="BG282" s="9">
        <v>1</v>
      </c>
      <c r="BH282" s="9">
        <v>1</v>
      </c>
      <c r="BI282" s="9">
        <v>1</v>
      </c>
      <c r="BJ282" s="9">
        <v>1</v>
      </c>
      <c r="BK282" s="9">
        <v>1</v>
      </c>
      <c r="BL282" s="9">
        <v>1</v>
      </c>
      <c r="BM282" s="9">
        <v>1</v>
      </c>
      <c r="BN282" s="9">
        <v>1</v>
      </c>
      <c r="BO282" s="9">
        <v>1</v>
      </c>
      <c r="BP282" s="9">
        <v>1</v>
      </c>
      <c r="BQ282" s="9">
        <v>1</v>
      </c>
      <c r="BR282" s="9">
        <v>1</v>
      </c>
      <c r="BS282" s="9">
        <v>1</v>
      </c>
      <c r="BT282" s="9">
        <v>1</v>
      </c>
      <c r="BU282" s="9">
        <v>1</v>
      </c>
      <c r="BV282" s="9">
        <v>1</v>
      </c>
      <c r="BW282" s="9">
        <v>1</v>
      </c>
      <c r="BX282" s="9">
        <v>1</v>
      </c>
    </row>
    <row r="283" spans="1:76">
      <c r="A283" s="3" t="s">
        <v>66</v>
      </c>
      <c r="B283" t="s">
        <v>3781</v>
      </c>
      <c r="D283" t="s">
        <v>4967</v>
      </c>
      <c r="F283" s="91" t="s">
        <v>4973</v>
      </c>
      <c r="H283" s="3" t="s">
        <v>4984</v>
      </c>
      <c r="I283" s="3"/>
      <c r="J283" s="124"/>
      <c r="K283" s="124"/>
      <c r="M283" s="124"/>
      <c r="V283" s="9">
        <v>1</v>
      </c>
      <c r="W283" s="9">
        <v>1</v>
      </c>
      <c r="X283" s="10">
        <v>1</v>
      </c>
      <c r="Y283" s="9">
        <v>1</v>
      </c>
      <c r="Z283" s="9">
        <v>1</v>
      </c>
      <c r="AA283" s="9">
        <v>1</v>
      </c>
      <c r="AB283" s="9">
        <v>1</v>
      </c>
      <c r="AC283" s="9">
        <v>1</v>
      </c>
      <c r="AD283" s="9">
        <v>1</v>
      </c>
      <c r="AE283" s="9">
        <v>1</v>
      </c>
      <c r="AF283" s="9">
        <v>1</v>
      </c>
      <c r="AG283" s="9">
        <v>1</v>
      </c>
      <c r="AH283" s="9">
        <v>1</v>
      </c>
      <c r="AI283" s="9">
        <v>1</v>
      </c>
      <c r="AJ283" s="9">
        <v>1</v>
      </c>
      <c r="AK283" s="9">
        <v>1</v>
      </c>
      <c r="AL283" s="9">
        <v>1</v>
      </c>
      <c r="AM283" s="9">
        <v>1</v>
      </c>
      <c r="AN283" s="9">
        <v>1</v>
      </c>
      <c r="AO283" s="9">
        <v>1</v>
      </c>
      <c r="AP283" s="9">
        <v>1</v>
      </c>
      <c r="AQ283" s="9">
        <v>1</v>
      </c>
      <c r="AR283" s="9">
        <v>1</v>
      </c>
      <c r="AS283" s="9">
        <v>1</v>
      </c>
      <c r="AT283" s="9">
        <v>1</v>
      </c>
      <c r="AU283" s="9">
        <v>1</v>
      </c>
      <c r="AV283" s="9">
        <v>1</v>
      </c>
      <c r="AW283" s="9">
        <v>1</v>
      </c>
      <c r="AX283" s="9">
        <v>1</v>
      </c>
      <c r="AY283" s="9">
        <v>1</v>
      </c>
      <c r="AZ283" s="9">
        <v>1</v>
      </c>
      <c r="BA283" s="9">
        <v>1</v>
      </c>
      <c r="BB283" s="9">
        <v>1</v>
      </c>
      <c r="BC283" s="9">
        <v>1</v>
      </c>
      <c r="BD283" s="9">
        <v>1</v>
      </c>
      <c r="BE283" s="9">
        <v>1</v>
      </c>
      <c r="BF283" s="9">
        <v>1</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1</v>
      </c>
    </row>
    <row r="284" spans="1:76">
      <c r="A284" s="3" t="s">
        <v>66</v>
      </c>
      <c r="B284" t="s">
        <v>3784</v>
      </c>
      <c r="D284" t="s">
        <v>4967</v>
      </c>
      <c r="F284" s="91" t="s">
        <v>4973</v>
      </c>
      <c r="H284" s="3" t="s">
        <v>4984</v>
      </c>
      <c r="I284" s="3"/>
      <c r="J284" s="124"/>
      <c r="K284" s="124"/>
      <c r="M284" s="124"/>
      <c r="V284" s="9">
        <v>1</v>
      </c>
      <c r="W284" s="9">
        <v>1</v>
      </c>
      <c r="X284" s="10">
        <v>1</v>
      </c>
      <c r="Y284" s="9">
        <v>1</v>
      </c>
      <c r="Z284" s="9">
        <v>1</v>
      </c>
      <c r="AA284" s="9">
        <v>1</v>
      </c>
      <c r="AB284" s="9">
        <v>1</v>
      </c>
      <c r="AC284" s="9">
        <v>1</v>
      </c>
      <c r="AD284" s="9">
        <v>1</v>
      </c>
      <c r="AE284" s="9">
        <v>1</v>
      </c>
      <c r="AF284" s="9">
        <v>1</v>
      </c>
      <c r="AG284" s="9">
        <v>1</v>
      </c>
      <c r="AH284" s="9">
        <v>1</v>
      </c>
      <c r="AI284" s="9">
        <v>1</v>
      </c>
      <c r="AJ284" s="9">
        <v>1</v>
      </c>
      <c r="AK284" s="9">
        <v>1</v>
      </c>
      <c r="AL284" s="9">
        <v>1</v>
      </c>
      <c r="AM284" s="9">
        <v>1</v>
      </c>
      <c r="AN284" s="9">
        <v>1</v>
      </c>
      <c r="AO284" s="9">
        <v>1</v>
      </c>
      <c r="AP284" s="9">
        <v>1</v>
      </c>
      <c r="AQ284" s="9">
        <v>1</v>
      </c>
      <c r="AR284" s="9">
        <v>1</v>
      </c>
      <c r="AS284" s="9">
        <v>1</v>
      </c>
      <c r="AT284" s="9">
        <v>1</v>
      </c>
      <c r="AU284" s="9">
        <v>1</v>
      </c>
      <c r="AV284" s="9">
        <v>1</v>
      </c>
      <c r="AW284" s="9">
        <v>1</v>
      </c>
      <c r="AX284" s="9">
        <v>1</v>
      </c>
      <c r="AY284" s="9">
        <v>1</v>
      </c>
      <c r="AZ284" s="9">
        <v>1</v>
      </c>
      <c r="BA284" s="9">
        <v>1</v>
      </c>
      <c r="BB284" s="9">
        <v>1</v>
      </c>
      <c r="BC284" s="9">
        <v>1</v>
      </c>
      <c r="BD284" s="9">
        <v>1</v>
      </c>
      <c r="BE284" s="9">
        <v>1</v>
      </c>
      <c r="BF284" s="9">
        <v>1</v>
      </c>
      <c r="BG284" s="9">
        <v>1</v>
      </c>
      <c r="BH284" s="9">
        <v>1</v>
      </c>
      <c r="BI284" s="9">
        <v>1</v>
      </c>
      <c r="BJ284" s="9">
        <v>1</v>
      </c>
      <c r="BK284" s="9">
        <v>1</v>
      </c>
      <c r="BL284" s="9">
        <v>1</v>
      </c>
      <c r="BM284" s="9">
        <v>1</v>
      </c>
      <c r="BN284" s="9">
        <v>1</v>
      </c>
      <c r="BO284" s="9">
        <v>1</v>
      </c>
      <c r="BP284" s="9">
        <v>1</v>
      </c>
      <c r="BQ284" s="9">
        <v>1</v>
      </c>
      <c r="BR284" s="9">
        <v>1</v>
      </c>
      <c r="BS284" s="9">
        <v>1</v>
      </c>
      <c r="BT284" s="9">
        <v>1</v>
      </c>
      <c r="BU284" s="9">
        <v>1</v>
      </c>
      <c r="BV284" s="9">
        <v>1</v>
      </c>
      <c r="BW284" s="9">
        <v>1</v>
      </c>
      <c r="BX284" s="9">
        <v>1</v>
      </c>
    </row>
    <row r="285" spans="1:76">
      <c r="A285" s="3" t="s">
        <v>66</v>
      </c>
      <c r="B285" t="s">
        <v>3786</v>
      </c>
      <c r="D285" t="s">
        <v>4967</v>
      </c>
      <c r="F285" s="91" t="s">
        <v>4973</v>
      </c>
      <c r="H285" s="3" t="s">
        <v>4984</v>
      </c>
      <c r="I285" s="3"/>
      <c r="J285" s="124"/>
      <c r="K285" s="124"/>
      <c r="M285" s="124"/>
      <c r="V285" s="9">
        <v>1</v>
      </c>
      <c r="W285" s="9">
        <v>1</v>
      </c>
      <c r="X285" s="10">
        <v>1</v>
      </c>
      <c r="Y285" s="9">
        <v>1</v>
      </c>
      <c r="Z285" s="9">
        <v>1</v>
      </c>
      <c r="AA285" s="9">
        <v>1</v>
      </c>
      <c r="AB285" s="9">
        <v>1</v>
      </c>
      <c r="AC285" s="9">
        <v>1</v>
      </c>
      <c r="AD285" s="9">
        <v>1</v>
      </c>
      <c r="AE285" s="9">
        <v>1</v>
      </c>
      <c r="AF285" s="9">
        <v>1</v>
      </c>
      <c r="AG285" s="9">
        <v>1</v>
      </c>
      <c r="AH285" s="9">
        <v>1</v>
      </c>
      <c r="AI285" s="9">
        <v>1</v>
      </c>
      <c r="AJ285" s="9">
        <v>1</v>
      </c>
      <c r="AK285" s="9">
        <v>1</v>
      </c>
      <c r="AL285" s="9">
        <v>1</v>
      </c>
      <c r="AM285" s="9">
        <v>1</v>
      </c>
      <c r="AN285" s="9">
        <v>1</v>
      </c>
      <c r="AO285" s="9">
        <v>1</v>
      </c>
      <c r="AP285" s="9">
        <v>1</v>
      </c>
      <c r="AQ285" s="9">
        <v>1</v>
      </c>
      <c r="AR285" s="9">
        <v>1</v>
      </c>
      <c r="AS285" s="9">
        <v>1</v>
      </c>
      <c r="AT285" s="9">
        <v>1</v>
      </c>
      <c r="AU285" s="9">
        <v>1</v>
      </c>
      <c r="AV285" s="9">
        <v>1</v>
      </c>
      <c r="AW285" s="9">
        <v>1</v>
      </c>
      <c r="AX285" s="9">
        <v>1</v>
      </c>
      <c r="AY285" s="9">
        <v>1</v>
      </c>
      <c r="AZ285" s="9">
        <v>1</v>
      </c>
      <c r="BA285" s="9">
        <v>1</v>
      </c>
      <c r="BB285" s="9">
        <v>1</v>
      </c>
      <c r="BC285" s="9">
        <v>1</v>
      </c>
      <c r="BD285" s="9">
        <v>1</v>
      </c>
      <c r="BE285" s="9">
        <v>1</v>
      </c>
      <c r="BF285" s="9">
        <v>1</v>
      </c>
      <c r="BG285" s="9">
        <v>1</v>
      </c>
      <c r="BH285" s="9">
        <v>1</v>
      </c>
      <c r="BI285" s="9">
        <v>1</v>
      </c>
      <c r="BJ285" s="9">
        <v>1</v>
      </c>
      <c r="BK285" s="9">
        <v>1</v>
      </c>
      <c r="BL285" s="9">
        <v>1</v>
      </c>
      <c r="BM285" s="9">
        <v>1</v>
      </c>
      <c r="BN285" s="9">
        <v>1</v>
      </c>
      <c r="BO285" s="9">
        <v>1</v>
      </c>
      <c r="BP285" s="9">
        <v>1</v>
      </c>
      <c r="BQ285" s="9">
        <v>1</v>
      </c>
      <c r="BR285" s="9">
        <v>1</v>
      </c>
      <c r="BS285" s="9">
        <v>1</v>
      </c>
      <c r="BT285" s="9">
        <v>1</v>
      </c>
      <c r="BU285" s="9">
        <v>1</v>
      </c>
      <c r="BV285" s="9">
        <v>1</v>
      </c>
      <c r="BW285" s="9">
        <v>1</v>
      </c>
      <c r="BX285" s="9">
        <v>1</v>
      </c>
    </row>
    <row r="286" spans="1:76">
      <c r="A286" s="3" t="s">
        <v>66</v>
      </c>
      <c r="B286" t="s">
        <v>3790</v>
      </c>
      <c r="D286" t="s">
        <v>4967</v>
      </c>
      <c r="F286" s="91" t="s">
        <v>4973</v>
      </c>
      <c r="H286" s="3" t="s">
        <v>4984</v>
      </c>
      <c r="I286" s="3"/>
      <c r="J286" s="124"/>
      <c r="K286" s="124"/>
      <c r="M286" s="124"/>
      <c r="V286" s="9">
        <v>1</v>
      </c>
      <c r="W286" s="9">
        <v>1</v>
      </c>
      <c r="X286" s="10">
        <v>1</v>
      </c>
      <c r="Y286" s="9">
        <v>1</v>
      </c>
      <c r="Z286" s="9">
        <v>1</v>
      </c>
      <c r="AA286" s="9">
        <v>1</v>
      </c>
      <c r="AB286" s="9">
        <v>1</v>
      </c>
      <c r="AC286" s="9">
        <v>1</v>
      </c>
      <c r="AD286" s="9">
        <v>1</v>
      </c>
      <c r="AE286" s="9">
        <v>1</v>
      </c>
      <c r="AF286" s="9">
        <v>1</v>
      </c>
      <c r="AG286" s="9">
        <v>1</v>
      </c>
      <c r="AH286" s="9">
        <v>1</v>
      </c>
      <c r="AI286" s="9">
        <v>1</v>
      </c>
      <c r="AJ286" s="9">
        <v>1</v>
      </c>
      <c r="AK286" s="9">
        <v>1</v>
      </c>
      <c r="AL286" s="9">
        <v>1</v>
      </c>
      <c r="AM286" s="9">
        <v>1</v>
      </c>
      <c r="AN286" s="9">
        <v>1</v>
      </c>
      <c r="AO286" s="9">
        <v>1</v>
      </c>
      <c r="AP286" s="9">
        <v>1</v>
      </c>
      <c r="AQ286" s="9">
        <v>1</v>
      </c>
      <c r="AR286" s="9">
        <v>1</v>
      </c>
      <c r="AS286" s="9">
        <v>1</v>
      </c>
      <c r="AT286" s="9">
        <v>1</v>
      </c>
      <c r="AU286" s="9">
        <v>1</v>
      </c>
      <c r="AV286" s="9">
        <v>1</v>
      </c>
      <c r="AW286" s="9">
        <v>1</v>
      </c>
      <c r="AX286" s="9">
        <v>1</v>
      </c>
      <c r="AY286" s="9">
        <v>1</v>
      </c>
      <c r="AZ286" s="9">
        <v>1</v>
      </c>
      <c r="BA286" s="9">
        <v>1</v>
      </c>
      <c r="BB286" s="9">
        <v>1</v>
      </c>
      <c r="BC286" s="9">
        <v>1</v>
      </c>
      <c r="BD286" s="9">
        <v>1</v>
      </c>
      <c r="BE286" s="9">
        <v>1</v>
      </c>
      <c r="BF286" s="9">
        <v>1</v>
      </c>
      <c r="BG286" s="9">
        <v>1</v>
      </c>
      <c r="BH286" s="9">
        <v>1</v>
      </c>
      <c r="BI286" s="9">
        <v>1</v>
      </c>
      <c r="BJ286" s="9">
        <v>1</v>
      </c>
      <c r="BK286" s="9">
        <v>1</v>
      </c>
      <c r="BL286" s="9">
        <v>1</v>
      </c>
      <c r="BM286" s="9">
        <v>1</v>
      </c>
      <c r="BN286" s="9">
        <v>1</v>
      </c>
      <c r="BO286" s="9">
        <v>1</v>
      </c>
      <c r="BP286" s="9">
        <v>1</v>
      </c>
      <c r="BQ286" s="9">
        <v>1</v>
      </c>
      <c r="BR286" s="9">
        <v>1</v>
      </c>
      <c r="BS286" s="9">
        <v>1</v>
      </c>
      <c r="BT286" s="9">
        <v>1</v>
      </c>
      <c r="BU286" s="9">
        <v>1</v>
      </c>
      <c r="BV286" s="9">
        <v>1</v>
      </c>
      <c r="BW286" s="9">
        <v>1</v>
      </c>
      <c r="BX286" s="9">
        <v>1</v>
      </c>
    </row>
    <row r="287" spans="1:76">
      <c r="A287" s="3" t="s">
        <v>66</v>
      </c>
      <c r="B287" t="s">
        <v>5248</v>
      </c>
      <c r="D287" t="s">
        <v>4967</v>
      </c>
      <c r="F287" s="91" t="s">
        <v>4973</v>
      </c>
      <c r="H287" s="3" t="s">
        <v>4984</v>
      </c>
      <c r="I287" s="3"/>
      <c r="J287" s="124"/>
      <c r="K287" s="124"/>
      <c r="M287" s="124"/>
      <c r="V287" s="9">
        <v>1</v>
      </c>
      <c r="W287" s="9">
        <v>1</v>
      </c>
      <c r="X287" s="10">
        <v>1</v>
      </c>
      <c r="Y287" s="9">
        <v>1</v>
      </c>
      <c r="Z287" s="9">
        <v>1</v>
      </c>
      <c r="AA287" s="9">
        <v>1</v>
      </c>
      <c r="AB287" s="9">
        <v>1</v>
      </c>
      <c r="AC287" s="9">
        <v>1</v>
      </c>
      <c r="AD287" s="9">
        <v>1</v>
      </c>
      <c r="AE287" s="9">
        <v>1</v>
      </c>
      <c r="AF287" s="9">
        <v>1</v>
      </c>
      <c r="AG287" s="9">
        <v>1</v>
      </c>
      <c r="AH287" s="9">
        <v>1</v>
      </c>
      <c r="AI287" s="9">
        <v>1</v>
      </c>
      <c r="AJ287" s="9">
        <v>1</v>
      </c>
      <c r="AK287" s="9">
        <v>1</v>
      </c>
      <c r="AL287" s="9">
        <v>1</v>
      </c>
      <c r="AM287" s="9">
        <v>1</v>
      </c>
      <c r="AN287" s="9">
        <v>1</v>
      </c>
      <c r="AO287" s="9">
        <v>1</v>
      </c>
      <c r="AP287" s="9">
        <v>1</v>
      </c>
      <c r="AQ287" s="9">
        <v>1</v>
      </c>
      <c r="AR287" s="9">
        <v>1</v>
      </c>
      <c r="AS287" s="9">
        <v>1</v>
      </c>
      <c r="AT287" s="9">
        <v>1</v>
      </c>
      <c r="AU287" s="9">
        <v>1</v>
      </c>
      <c r="AV287" s="9">
        <v>1</v>
      </c>
      <c r="AW287" s="9">
        <v>1</v>
      </c>
      <c r="AX287" s="9">
        <v>1</v>
      </c>
      <c r="AY287" s="9">
        <v>1</v>
      </c>
      <c r="AZ287" s="9">
        <v>1</v>
      </c>
      <c r="BA287" s="9">
        <v>1</v>
      </c>
      <c r="BB287" s="9">
        <v>1</v>
      </c>
      <c r="BC287" s="9">
        <v>1</v>
      </c>
      <c r="BD287" s="9">
        <v>1</v>
      </c>
      <c r="BE287" s="9">
        <v>1</v>
      </c>
      <c r="BF287" s="9">
        <v>1</v>
      </c>
      <c r="BG287" s="9">
        <v>1</v>
      </c>
      <c r="BH287" s="9">
        <v>1</v>
      </c>
      <c r="BI287" s="9">
        <v>1</v>
      </c>
      <c r="BJ287" s="9">
        <v>1</v>
      </c>
      <c r="BK287" s="9">
        <v>1</v>
      </c>
      <c r="BL287" s="9">
        <v>1</v>
      </c>
      <c r="BM287" s="9">
        <v>1</v>
      </c>
      <c r="BN287" s="9">
        <v>1</v>
      </c>
      <c r="BO287" s="9">
        <v>1</v>
      </c>
      <c r="BP287" s="9">
        <v>1</v>
      </c>
      <c r="BQ287" s="9">
        <v>1</v>
      </c>
      <c r="BR287" s="9">
        <v>1</v>
      </c>
      <c r="BS287" s="9">
        <v>1</v>
      </c>
      <c r="BT287" s="9">
        <v>1</v>
      </c>
      <c r="BU287" s="9">
        <v>1</v>
      </c>
      <c r="BV287" s="9">
        <v>1</v>
      </c>
      <c r="BW287" s="9">
        <v>1</v>
      </c>
      <c r="BX287" s="9">
        <v>1</v>
      </c>
    </row>
    <row r="288" spans="1:76">
      <c r="A288" s="3" t="s">
        <v>66</v>
      </c>
      <c r="B288" t="s">
        <v>5249</v>
      </c>
      <c r="D288" t="s">
        <v>4967</v>
      </c>
      <c r="F288" s="91" t="s">
        <v>4973</v>
      </c>
      <c r="H288" s="3" t="s">
        <v>4984</v>
      </c>
      <c r="I288" s="3"/>
      <c r="J288" s="124"/>
      <c r="K288" s="124"/>
      <c r="M288" s="124"/>
      <c r="V288" s="9">
        <v>1</v>
      </c>
      <c r="W288" s="9">
        <v>1</v>
      </c>
      <c r="X288" s="10">
        <v>1</v>
      </c>
      <c r="Y288" s="9">
        <v>1</v>
      </c>
      <c r="Z288" s="9">
        <v>1</v>
      </c>
      <c r="AA288" s="9">
        <v>1</v>
      </c>
      <c r="AB288" s="9">
        <v>1</v>
      </c>
      <c r="AC288" s="9">
        <v>1</v>
      </c>
      <c r="AD288" s="9">
        <v>1</v>
      </c>
      <c r="AE288" s="9">
        <v>1</v>
      </c>
      <c r="AF288" s="9">
        <v>1</v>
      </c>
      <c r="AG288" s="9">
        <v>1</v>
      </c>
      <c r="AH288" s="9">
        <v>1</v>
      </c>
      <c r="AI288" s="9">
        <v>1</v>
      </c>
      <c r="AJ288" s="9">
        <v>1</v>
      </c>
      <c r="AK288" s="9">
        <v>1</v>
      </c>
      <c r="AL288" s="9">
        <v>1</v>
      </c>
      <c r="AM288" s="9">
        <v>1</v>
      </c>
      <c r="AN288" s="9">
        <v>1</v>
      </c>
      <c r="AO288" s="9">
        <v>1</v>
      </c>
      <c r="AP288" s="9">
        <v>1</v>
      </c>
      <c r="AQ288" s="9">
        <v>1</v>
      </c>
      <c r="AR288" s="9">
        <v>1</v>
      </c>
      <c r="AS288" s="9">
        <v>1</v>
      </c>
      <c r="AT288" s="9">
        <v>1</v>
      </c>
      <c r="AU288" s="9">
        <v>1</v>
      </c>
      <c r="AV288" s="9">
        <v>1</v>
      </c>
      <c r="AW288" s="9">
        <v>1</v>
      </c>
      <c r="AX288" s="9">
        <v>1</v>
      </c>
      <c r="AY288" s="9">
        <v>1</v>
      </c>
      <c r="AZ288" s="9">
        <v>1</v>
      </c>
      <c r="BA288" s="9">
        <v>1</v>
      </c>
      <c r="BB288" s="9">
        <v>1</v>
      </c>
      <c r="BC288" s="9">
        <v>1</v>
      </c>
      <c r="BD288" s="9">
        <v>1</v>
      </c>
      <c r="BE288" s="9">
        <v>1</v>
      </c>
      <c r="BF288" s="9">
        <v>1</v>
      </c>
      <c r="BG288" s="9">
        <v>1</v>
      </c>
      <c r="BH288" s="9">
        <v>1</v>
      </c>
      <c r="BI288" s="9">
        <v>1</v>
      </c>
      <c r="BJ288" s="9">
        <v>1</v>
      </c>
      <c r="BK288" s="9">
        <v>1</v>
      </c>
      <c r="BL288" s="9">
        <v>1</v>
      </c>
      <c r="BM288" s="9">
        <v>1</v>
      </c>
      <c r="BN288" s="9">
        <v>1</v>
      </c>
      <c r="BO288" s="9">
        <v>1</v>
      </c>
      <c r="BP288" s="9">
        <v>1</v>
      </c>
      <c r="BQ288" s="9">
        <v>1</v>
      </c>
      <c r="BR288" s="9">
        <v>1</v>
      </c>
      <c r="BS288" s="9">
        <v>1</v>
      </c>
      <c r="BT288" s="9">
        <v>1</v>
      </c>
      <c r="BU288" s="9">
        <v>1</v>
      </c>
      <c r="BV288" s="9">
        <v>1</v>
      </c>
      <c r="BW288" s="9">
        <v>1</v>
      </c>
      <c r="BX288" s="9">
        <v>1</v>
      </c>
    </row>
    <row r="289" spans="1:76">
      <c r="A289" s="3" t="s">
        <v>66</v>
      </c>
      <c r="B289" t="s">
        <v>4151</v>
      </c>
      <c r="D289" t="s">
        <v>4967</v>
      </c>
      <c r="F289" s="91" t="s">
        <v>4973</v>
      </c>
      <c r="H289" s="3" t="s">
        <v>4984</v>
      </c>
      <c r="I289" s="3"/>
      <c r="J289" s="124"/>
      <c r="K289" s="124"/>
      <c r="M289" s="124"/>
      <c r="V289" s="9">
        <v>1</v>
      </c>
      <c r="W289" s="9">
        <v>1</v>
      </c>
      <c r="X289" s="10">
        <v>1</v>
      </c>
      <c r="Y289" s="9">
        <v>1</v>
      </c>
      <c r="Z289" s="9">
        <v>1</v>
      </c>
      <c r="AA289" s="9">
        <v>1</v>
      </c>
      <c r="AB289" s="9">
        <v>1</v>
      </c>
      <c r="AC289" s="9">
        <v>1</v>
      </c>
      <c r="AD289" s="9">
        <v>1</v>
      </c>
      <c r="AE289" s="9">
        <v>1</v>
      </c>
      <c r="AF289" s="9">
        <v>1</v>
      </c>
      <c r="AG289" s="9">
        <v>1</v>
      </c>
      <c r="AH289" s="9">
        <v>1</v>
      </c>
      <c r="AI289" s="9">
        <v>1</v>
      </c>
      <c r="AJ289" s="9">
        <v>1</v>
      </c>
      <c r="AK289" s="9">
        <v>1</v>
      </c>
      <c r="AL289" s="9">
        <v>1</v>
      </c>
      <c r="AM289" s="9">
        <v>1</v>
      </c>
      <c r="AN289" s="9">
        <v>1</v>
      </c>
      <c r="AO289" s="9">
        <v>1</v>
      </c>
      <c r="AP289" s="9">
        <v>1</v>
      </c>
      <c r="AQ289" s="9">
        <v>1</v>
      </c>
      <c r="AR289" s="9">
        <v>1</v>
      </c>
      <c r="AS289" s="9">
        <v>1</v>
      </c>
      <c r="AT289" s="9">
        <v>1</v>
      </c>
      <c r="AU289" s="9">
        <v>1</v>
      </c>
      <c r="AV289" s="9">
        <v>1</v>
      </c>
      <c r="AW289" s="9">
        <v>1</v>
      </c>
      <c r="AX289" s="9">
        <v>1</v>
      </c>
      <c r="AY289" s="9">
        <v>1</v>
      </c>
      <c r="AZ289" s="9">
        <v>1</v>
      </c>
      <c r="BA289" s="9">
        <v>1</v>
      </c>
      <c r="BB289" s="9">
        <v>1</v>
      </c>
      <c r="BC289" s="9">
        <v>1</v>
      </c>
      <c r="BD289" s="9">
        <v>1</v>
      </c>
      <c r="BE289" s="9">
        <v>1</v>
      </c>
      <c r="BF289" s="9">
        <v>1</v>
      </c>
      <c r="BG289" s="9">
        <v>1</v>
      </c>
      <c r="BH289" s="9">
        <v>1</v>
      </c>
      <c r="BI289" s="9">
        <v>1</v>
      </c>
      <c r="BJ289" s="9">
        <v>1</v>
      </c>
      <c r="BK289" s="9">
        <v>1</v>
      </c>
      <c r="BL289" s="9">
        <v>1</v>
      </c>
      <c r="BM289" s="9">
        <v>1</v>
      </c>
      <c r="BN289" s="9">
        <v>1</v>
      </c>
      <c r="BO289" s="9">
        <v>1</v>
      </c>
      <c r="BP289" s="9">
        <v>1</v>
      </c>
      <c r="BQ289" s="9">
        <v>1</v>
      </c>
      <c r="BR289" s="9">
        <v>1</v>
      </c>
      <c r="BS289" s="9">
        <v>1</v>
      </c>
      <c r="BT289" s="9">
        <v>1</v>
      </c>
      <c r="BU289" s="9">
        <v>1</v>
      </c>
      <c r="BV289" s="9">
        <v>1</v>
      </c>
      <c r="BW289" s="9">
        <v>1</v>
      </c>
      <c r="BX289" s="9">
        <v>1</v>
      </c>
    </row>
    <row r="290" spans="1:76">
      <c r="A290" s="3" t="s">
        <v>66</v>
      </c>
      <c r="B290" t="s">
        <v>4153</v>
      </c>
      <c r="D290" t="s">
        <v>4967</v>
      </c>
      <c r="F290" s="91" t="s">
        <v>4973</v>
      </c>
      <c r="H290" s="3" t="s">
        <v>4984</v>
      </c>
      <c r="I290" s="3"/>
      <c r="J290" s="124"/>
      <c r="K290" s="124"/>
      <c r="M290" s="124"/>
      <c r="V290" s="9">
        <v>1</v>
      </c>
      <c r="W290" s="9">
        <v>1</v>
      </c>
      <c r="X290" s="10">
        <v>1</v>
      </c>
      <c r="Y290" s="9">
        <v>1</v>
      </c>
      <c r="Z290" s="9">
        <v>1</v>
      </c>
      <c r="AA290" s="9">
        <v>1</v>
      </c>
      <c r="AB290" s="9">
        <v>1</v>
      </c>
      <c r="AC290" s="9">
        <v>1</v>
      </c>
      <c r="AD290" s="9">
        <v>1</v>
      </c>
      <c r="AE290" s="9">
        <v>1</v>
      </c>
      <c r="AF290" s="9">
        <v>1</v>
      </c>
      <c r="AG290" s="9">
        <v>1</v>
      </c>
      <c r="AH290" s="9">
        <v>1</v>
      </c>
      <c r="AI290" s="9">
        <v>1</v>
      </c>
      <c r="AJ290" s="9">
        <v>1</v>
      </c>
      <c r="AK290" s="9">
        <v>1</v>
      </c>
      <c r="AL290" s="9">
        <v>1</v>
      </c>
      <c r="AM290" s="9">
        <v>1</v>
      </c>
      <c r="AN290" s="9">
        <v>1</v>
      </c>
      <c r="AO290" s="9">
        <v>1</v>
      </c>
      <c r="AP290" s="9">
        <v>1</v>
      </c>
      <c r="AQ290" s="9">
        <v>1</v>
      </c>
      <c r="AR290" s="9">
        <v>1</v>
      </c>
      <c r="AS290" s="9">
        <v>1</v>
      </c>
      <c r="AT290" s="9">
        <v>1</v>
      </c>
      <c r="AU290" s="9">
        <v>1</v>
      </c>
      <c r="AV290" s="9">
        <v>1</v>
      </c>
      <c r="AW290" s="9">
        <v>1</v>
      </c>
      <c r="AX290" s="9">
        <v>1</v>
      </c>
      <c r="AY290" s="9">
        <v>1</v>
      </c>
      <c r="AZ290" s="9">
        <v>1</v>
      </c>
      <c r="BA290" s="9">
        <v>1</v>
      </c>
      <c r="BB290" s="9">
        <v>1</v>
      </c>
      <c r="BC290" s="9">
        <v>1</v>
      </c>
      <c r="BD290" s="9">
        <v>1</v>
      </c>
      <c r="BE290" s="9">
        <v>1</v>
      </c>
      <c r="BF290" s="9">
        <v>1</v>
      </c>
      <c r="BG290" s="9">
        <v>1</v>
      </c>
      <c r="BH290" s="9">
        <v>1</v>
      </c>
      <c r="BI290" s="9">
        <v>1</v>
      </c>
      <c r="BJ290" s="9">
        <v>1</v>
      </c>
      <c r="BK290" s="9">
        <v>1</v>
      </c>
      <c r="BL290" s="9">
        <v>1</v>
      </c>
      <c r="BM290" s="9">
        <v>1</v>
      </c>
      <c r="BN290" s="9">
        <v>1</v>
      </c>
      <c r="BO290" s="9">
        <v>1</v>
      </c>
      <c r="BP290" s="9">
        <v>1</v>
      </c>
      <c r="BQ290" s="9">
        <v>1</v>
      </c>
      <c r="BR290" s="9">
        <v>1</v>
      </c>
      <c r="BS290" s="9">
        <v>1</v>
      </c>
      <c r="BT290" s="9">
        <v>1</v>
      </c>
      <c r="BU290" s="9">
        <v>1</v>
      </c>
      <c r="BV290" s="9">
        <v>1</v>
      </c>
      <c r="BW290" s="9">
        <v>1</v>
      </c>
      <c r="BX290" s="9">
        <v>1</v>
      </c>
    </row>
    <row r="291" spans="1:76">
      <c r="A291" s="3" t="s">
        <v>66</v>
      </c>
      <c r="B291" t="s">
        <v>4155</v>
      </c>
      <c r="D291" t="s">
        <v>4967</v>
      </c>
      <c r="F291" s="91" t="s">
        <v>4973</v>
      </c>
      <c r="H291" s="3" t="s">
        <v>4984</v>
      </c>
      <c r="I291" s="3"/>
      <c r="J291" s="124"/>
      <c r="K291" s="124"/>
      <c r="M291" s="124"/>
      <c r="V291" s="9">
        <v>1</v>
      </c>
      <c r="W291" s="9">
        <v>1</v>
      </c>
      <c r="X291" s="10">
        <v>1</v>
      </c>
      <c r="Y291" s="9">
        <v>1</v>
      </c>
      <c r="Z291" s="9">
        <v>1</v>
      </c>
      <c r="AA291" s="9">
        <v>1</v>
      </c>
      <c r="AB291" s="9">
        <v>1</v>
      </c>
      <c r="AC291" s="9">
        <v>1</v>
      </c>
      <c r="AD291" s="9">
        <v>1</v>
      </c>
      <c r="AE291" s="9">
        <v>1</v>
      </c>
      <c r="AF291" s="9">
        <v>1</v>
      </c>
      <c r="AG291" s="9">
        <v>1</v>
      </c>
      <c r="AH291" s="9">
        <v>1</v>
      </c>
      <c r="AI291" s="9">
        <v>1</v>
      </c>
      <c r="AJ291" s="9">
        <v>1</v>
      </c>
      <c r="AK291" s="9">
        <v>1</v>
      </c>
      <c r="AL291" s="9">
        <v>1</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9">
        <v>1</v>
      </c>
      <c r="BD291" s="9">
        <v>1</v>
      </c>
      <c r="BE291" s="9">
        <v>1</v>
      </c>
      <c r="BF291" s="9">
        <v>1</v>
      </c>
      <c r="BG291" s="9">
        <v>1</v>
      </c>
      <c r="BH291" s="9">
        <v>1</v>
      </c>
      <c r="BI291" s="9">
        <v>1</v>
      </c>
      <c r="BJ291" s="9">
        <v>1</v>
      </c>
      <c r="BK291" s="9">
        <v>1</v>
      </c>
      <c r="BL291" s="9">
        <v>1</v>
      </c>
      <c r="BM291" s="9">
        <v>1</v>
      </c>
      <c r="BN291" s="9">
        <v>1</v>
      </c>
      <c r="BO291" s="9">
        <v>1</v>
      </c>
      <c r="BP291" s="9">
        <v>1</v>
      </c>
      <c r="BQ291" s="9">
        <v>1</v>
      </c>
      <c r="BR291" s="9">
        <v>1</v>
      </c>
      <c r="BS291" s="9">
        <v>1</v>
      </c>
      <c r="BT291" s="9">
        <v>1</v>
      </c>
      <c r="BU291" s="9">
        <v>1</v>
      </c>
      <c r="BV291" s="9">
        <v>1</v>
      </c>
      <c r="BW291" s="9">
        <v>1</v>
      </c>
      <c r="BX291" s="9">
        <v>1</v>
      </c>
    </row>
    <row r="292" spans="1:76">
      <c r="A292" s="3" t="s">
        <v>66</v>
      </c>
      <c r="B292" t="s">
        <v>4157</v>
      </c>
      <c r="D292" t="s">
        <v>4967</v>
      </c>
      <c r="F292" s="91" t="s">
        <v>4973</v>
      </c>
      <c r="H292" s="3" t="s">
        <v>4984</v>
      </c>
      <c r="I292" s="3"/>
      <c r="J292" s="124"/>
      <c r="K292" s="124"/>
      <c r="M292" s="124"/>
      <c r="V292" s="9">
        <v>1</v>
      </c>
      <c r="W292" s="9">
        <v>1</v>
      </c>
      <c r="X292" s="10">
        <v>1</v>
      </c>
      <c r="Y292" s="9">
        <v>1</v>
      </c>
      <c r="Z292" s="9">
        <v>1</v>
      </c>
      <c r="AA292" s="9">
        <v>1</v>
      </c>
      <c r="AB292" s="9">
        <v>1</v>
      </c>
      <c r="AC292" s="9">
        <v>1</v>
      </c>
      <c r="AD292" s="9">
        <v>1</v>
      </c>
      <c r="AE292" s="9">
        <v>1</v>
      </c>
      <c r="AF292" s="9">
        <v>1</v>
      </c>
      <c r="AG292" s="9">
        <v>1</v>
      </c>
      <c r="AH292" s="9">
        <v>1</v>
      </c>
      <c r="AI292" s="9">
        <v>1</v>
      </c>
      <c r="AJ292" s="9">
        <v>1</v>
      </c>
      <c r="AK292" s="9">
        <v>1</v>
      </c>
      <c r="AL292" s="9">
        <v>1</v>
      </c>
      <c r="AM292" s="9">
        <v>1</v>
      </c>
      <c r="AN292" s="9">
        <v>1</v>
      </c>
      <c r="AO292" s="9">
        <v>1</v>
      </c>
      <c r="AP292" s="9">
        <v>1</v>
      </c>
      <c r="AQ292" s="9">
        <v>1</v>
      </c>
      <c r="AR292" s="9">
        <v>1</v>
      </c>
      <c r="AS292" s="9">
        <v>1</v>
      </c>
      <c r="AT292" s="9">
        <v>1</v>
      </c>
      <c r="AU292" s="9">
        <v>1</v>
      </c>
      <c r="AV292" s="9">
        <v>1</v>
      </c>
      <c r="AW292" s="9">
        <v>1</v>
      </c>
      <c r="AX292" s="9">
        <v>1</v>
      </c>
      <c r="AY292" s="9">
        <v>1</v>
      </c>
      <c r="AZ292" s="9">
        <v>1</v>
      </c>
      <c r="BA292" s="9">
        <v>1</v>
      </c>
      <c r="BB292" s="9">
        <v>1</v>
      </c>
      <c r="BC292" s="9">
        <v>1</v>
      </c>
      <c r="BD292" s="9">
        <v>1</v>
      </c>
      <c r="BE292" s="9">
        <v>1</v>
      </c>
      <c r="BF292" s="9">
        <v>1</v>
      </c>
      <c r="BG292" s="9">
        <v>1</v>
      </c>
      <c r="BH292" s="9">
        <v>1</v>
      </c>
      <c r="BI292" s="9">
        <v>1</v>
      </c>
      <c r="BJ292" s="9">
        <v>1</v>
      </c>
      <c r="BK292" s="9">
        <v>1</v>
      </c>
      <c r="BL292" s="9">
        <v>1</v>
      </c>
      <c r="BM292" s="9">
        <v>1</v>
      </c>
      <c r="BN292" s="9">
        <v>1</v>
      </c>
      <c r="BO292" s="9">
        <v>1</v>
      </c>
      <c r="BP292" s="9">
        <v>1</v>
      </c>
      <c r="BQ292" s="9">
        <v>1</v>
      </c>
      <c r="BR292" s="9">
        <v>1</v>
      </c>
      <c r="BS292" s="9">
        <v>1</v>
      </c>
      <c r="BT292" s="9">
        <v>1</v>
      </c>
      <c r="BU292" s="9">
        <v>1</v>
      </c>
      <c r="BV292" s="9">
        <v>1</v>
      </c>
      <c r="BW292" s="9">
        <v>1</v>
      </c>
      <c r="BX292" s="9">
        <v>1</v>
      </c>
    </row>
    <row r="293" spans="1:76">
      <c r="A293" s="3" t="s">
        <v>66</v>
      </c>
      <c r="B293" t="s">
        <v>4159</v>
      </c>
      <c r="D293" t="s">
        <v>4967</v>
      </c>
      <c r="F293" s="91" t="s">
        <v>4973</v>
      </c>
      <c r="H293" s="3" t="s">
        <v>4984</v>
      </c>
      <c r="I293" s="3"/>
      <c r="J293" s="124"/>
      <c r="K293" s="124"/>
      <c r="M293" s="124"/>
      <c r="V293" s="9">
        <v>1</v>
      </c>
      <c r="W293" s="9">
        <v>1</v>
      </c>
      <c r="X293" s="10">
        <v>1</v>
      </c>
      <c r="Y293" s="9">
        <v>1</v>
      </c>
      <c r="Z293" s="9">
        <v>1</v>
      </c>
      <c r="AA293" s="9">
        <v>1</v>
      </c>
      <c r="AB293" s="9">
        <v>1</v>
      </c>
      <c r="AC293" s="9">
        <v>1</v>
      </c>
      <c r="AD293" s="9">
        <v>1</v>
      </c>
      <c r="AE293" s="9">
        <v>1</v>
      </c>
      <c r="AF293" s="9">
        <v>1</v>
      </c>
      <c r="AG293" s="9">
        <v>1</v>
      </c>
      <c r="AH293" s="9">
        <v>1</v>
      </c>
      <c r="AI293" s="9">
        <v>1</v>
      </c>
      <c r="AJ293" s="9">
        <v>1</v>
      </c>
      <c r="AK293" s="9">
        <v>1</v>
      </c>
      <c r="AL293" s="9">
        <v>1</v>
      </c>
      <c r="AM293" s="9">
        <v>1</v>
      </c>
      <c r="AN293" s="9">
        <v>1</v>
      </c>
      <c r="AO293" s="9">
        <v>1</v>
      </c>
      <c r="AP293" s="9">
        <v>1</v>
      </c>
      <c r="AQ293" s="9">
        <v>1</v>
      </c>
      <c r="AR293" s="9">
        <v>1</v>
      </c>
      <c r="AS293" s="9">
        <v>1</v>
      </c>
      <c r="AT293" s="9">
        <v>1</v>
      </c>
      <c r="AU293" s="9">
        <v>1</v>
      </c>
      <c r="AV293" s="9">
        <v>1</v>
      </c>
      <c r="AW293" s="9">
        <v>1</v>
      </c>
      <c r="AX293" s="9">
        <v>1</v>
      </c>
      <c r="AY293" s="9">
        <v>1</v>
      </c>
      <c r="AZ293" s="9">
        <v>1</v>
      </c>
      <c r="BA293" s="9">
        <v>1</v>
      </c>
      <c r="BB293" s="9">
        <v>1</v>
      </c>
      <c r="BC293" s="9">
        <v>1</v>
      </c>
      <c r="BD293" s="9">
        <v>1</v>
      </c>
      <c r="BE293" s="9">
        <v>1</v>
      </c>
      <c r="BF293" s="9">
        <v>1</v>
      </c>
      <c r="BG293" s="9">
        <v>1</v>
      </c>
      <c r="BH293" s="9">
        <v>1</v>
      </c>
      <c r="BI293" s="9">
        <v>1</v>
      </c>
      <c r="BJ293" s="9">
        <v>1</v>
      </c>
      <c r="BK293" s="9">
        <v>1</v>
      </c>
      <c r="BL293" s="9">
        <v>1</v>
      </c>
      <c r="BM293" s="9">
        <v>1</v>
      </c>
      <c r="BN293" s="9">
        <v>1</v>
      </c>
      <c r="BO293" s="9">
        <v>1</v>
      </c>
      <c r="BP293" s="9">
        <v>1</v>
      </c>
      <c r="BQ293" s="9">
        <v>1</v>
      </c>
      <c r="BR293" s="9">
        <v>1</v>
      </c>
      <c r="BS293" s="9">
        <v>1</v>
      </c>
      <c r="BT293" s="9">
        <v>1</v>
      </c>
      <c r="BU293" s="9">
        <v>1</v>
      </c>
      <c r="BV293" s="9">
        <v>1</v>
      </c>
      <c r="BW293" s="9">
        <v>1</v>
      </c>
      <c r="BX293" s="9">
        <v>1</v>
      </c>
    </row>
    <row r="294" spans="1:76">
      <c r="A294" s="3" t="s">
        <v>66</v>
      </c>
      <c r="B294" t="s">
        <v>5250</v>
      </c>
      <c r="D294" t="s">
        <v>4967</v>
      </c>
      <c r="F294" s="91" t="s">
        <v>4973</v>
      </c>
      <c r="H294" s="3" t="s">
        <v>4984</v>
      </c>
      <c r="I294" s="3"/>
      <c r="J294" s="124"/>
      <c r="K294" s="124"/>
      <c r="M294" s="124"/>
      <c r="V294" s="9">
        <v>1</v>
      </c>
      <c r="W294" s="9">
        <v>1</v>
      </c>
      <c r="X294" s="10">
        <v>1</v>
      </c>
      <c r="Y294" s="9">
        <v>1</v>
      </c>
      <c r="Z294" s="9">
        <v>1</v>
      </c>
      <c r="AA294" s="9">
        <v>1</v>
      </c>
      <c r="AB294" s="9">
        <v>1</v>
      </c>
      <c r="AC294" s="9">
        <v>1</v>
      </c>
      <c r="AD294" s="9">
        <v>1</v>
      </c>
      <c r="AE294" s="9">
        <v>1</v>
      </c>
      <c r="AF294" s="9">
        <v>1</v>
      </c>
      <c r="AG294" s="9">
        <v>1</v>
      </c>
      <c r="AH294" s="9">
        <v>1</v>
      </c>
      <c r="AI294" s="9">
        <v>1</v>
      </c>
      <c r="AJ294" s="9">
        <v>1</v>
      </c>
      <c r="AK294" s="9">
        <v>1</v>
      </c>
      <c r="AL294" s="9">
        <v>1</v>
      </c>
      <c r="AM294" s="9">
        <v>1</v>
      </c>
      <c r="AN294" s="9">
        <v>1</v>
      </c>
      <c r="AO294" s="9">
        <v>1</v>
      </c>
      <c r="AP294" s="9">
        <v>1</v>
      </c>
      <c r="AQ294" s="9">
        <v>1</v>
      </c>
      <c r="AR294" s="9">
        <v>1</v>
      </c>
      <c r="AS294" s="9">
        <v>1</v>
      </c>
      <c r="AT294" s="9">
        <v>1</v>
      </c>
      <c r="AU294" s="9">
        <v>1</v>
      </c>
      <c r="AV294" s="9">
        <v>1</v>
      </c>
      <c r="AW294" s="9">
        <v>1</v>
      </c>
      <c r="AX294" s="9">
        <v>1</v>
      </c>
      <c r="AY294" s="9">
        <v>1</v>
      </c>
      <c r="AZ294" s="9">
        <v>1</v>
      </c>
      <c r="BA294" s="9">
        <v>1</v>
      </c>
      <c r="BB294" s="9">
        <v>1</v>
      </c>
      <c r="BC294" s="9">
        <v>1</v>
      </c>
      <c r="BD294" s="9">
        <v>1</v>
      </c>
      <c r="BE294" s="9">
        <v>1</v>
      </c>
      <c r="BF294" s="9">
        <v>1</v>
      </c>
      <c r="BG294" s="9">
        <v>1</v>
      </c>
      <c r="BH294" s="9">
        <v>1</v>
      </c>
      <c r="BI294" s="9">
        <v>1</v>
      </c>
      <c r="BJ294" s="9">
        <v>1</v>
      </c>
      <c r="BK294" s="9">
        <v>1</v>
      </c>
      <c r="BL294" s="9">
        <v>1</v>
      </c>
      <c r="BM294" s="9">
        <v>1</v>
      </c>
      <c r="BN294" s="9">
        <v>1</v>
      </c>
      <c r="BO294" s="9">
        <v>1</v>
      </c>
      <c r="BP294" s="9">
        <v>1</v>
      </c>
      <c r="BQ294" s="9">
        <v>1</v>
      </c>
      <c r="BR294" s="9">
        <v>1</v>
      </c>
      <c r="BS294" s="9">
        <v>1</v>
      </c>
      <c r="BT294" s="9">
        <v>1</v>
      </c>
      <c r="BU294" s="9">
        <v>1</v>
      </c>
      <c r="BV294" s="9">
        <v>1</v>
      </c>
      <c r="BW294" s="9">
        <v>1</v>
      </c>
      <c r="BX294" s="9">
        <v>1</v>
      </c>
    </row>
    <row r="295" spans="1:76">
      <c r="A295" s="3" t="s">
        <v>66</v>
      </c>
      <c r="B295" t="s">
        <v>5251</v>
      </c>
      <c r="D295" t="s">
        <v>4967</v>
      </c>
      <c r="F295" s="91" t="s">
        <v>4973</v>
      </c>
      <c r="H295" s="3" t="s">
        <v>4984</v>
      </c>
      <c r="I295" s="3"/>
      <c r="J295" s="124"/>
      <c r="K295" s="124"/>
      <c r="M295" s="124"/>
      <c r="V295" s="9">
        <v>1</v>
      </c>
      <c r="W295" s="9">
        <v>1</v>
      </c>
      <c r="X295" s="10">
        <v>1</v>
      </c>
      <c r="Y295" s="9">
        <v>1</v>
      </c>
      <c r="Z295" s="9">
        <v>1</v>
      </c>
      <c r="AA295" s="9">
        <v>1</v>
      </c>
      <c r="AB295" s="9">
        <v>1</v>
      </c>
      <c r="AC295" s="9">
        <v>1</v>
      </c>
      <c r="AD295" s="9">
        <v>1</v>
      </c>
      <c r="AE295" s="9">
        <v>1</v>
      </c>
      <c r="AF295" s="9">
        <v>1</v>
      </c>
      <c r="AG295" s="9">
        <v>1</v>
      </c>
      <c r="AH295" s="9">
        <v>1</v>
      </c>
      <c r="AI295" s="9">
        <v>1</v>
      </c>
      <c r="AJ295" s="9">
        <v>1</v>
      </c>
      <c r="AK295" s="9">
        <v>1</v>
      </c>
      <c r="AL295" s="9">
        <v>1</v>
      </c>
      <c r="AM295" s="9">
        <v>1</v>
      </c>
      <c r="AN295" s="9">
        <v>1</v>
      </c>
      <c r="AO295" s="9">
        <v>1</v>
      </c>
      <c r="AP295" s="9">
        <v>1</v>
      </c>
      <c r="AQ295" s="9">
        <v>1</v>
      </c>
      <c r="AR295" s="9">
        <v>1</v>
      </c>
      <c r="AS295" s="9">
        <v>1</v>
      </c>
      <c r="AT295" s="9">
        <v>1</v>
      </c>
      <c r="AU295" s="9">
        <v>1</v>
      </c>
      <c r="AV295" s="9">
        <v>1</v>
      </c>
      <c r="AW295" s="9">
        <v>1</v>
      </c>
      <c r="AX295" s="9">
        <v>1</v>
      </c>
      <c r="AY295" s="9">
        <v>1</v>
      </c>
      <c r="AZ295" s="9">
        <v>1</v>
      </c>
      <c r="BA295" s="9">
        <v>1</v>
      </c>
      <c r="BB295" s="9">
        <v>1</v>
      </c>
      <c r="BC295" s="9">
        <v>1</v>
      </c>
      <c r="BD295" s="9">
        <v>1</v>
      </c>
      <c r="BE295" s="9">
        <v>1</v>
      </c>
      <c r="BF295" s="9">
        <v>1</v>
      </c>
      <c r="BG295" s="9">
        <v>1</v>
      </c>
      <c r="BH295" s="9">
        <v>1</v>
      </c>
      <c r="BI295" s="9">
        <v>1</v>
      </c>
      <c r="BJ295" s="9">
        <v>1</v>
      </c>
      <c r="BK295" s="9">
        <v>1</v>
      </c>
      <c r="BL295" s="9">
        <v>1</v>
      </c>
      <c r="BM295" s="9">
        <v>1</v>
      </c>
      <c r="BN295" s="9">
        <v>1</v>
      </c>
      <c r="BO295" s="9">
        <v>1</v>
      </c>
      <c r="BP295" s="9">
        <v>1</v>
      </c>
      <c r="BQ295" s="9">
        <v>1</v>
      </c>
      <c r="BR295" s="9">
        <v>1</v>
      </c>
      <c r="BS295" s="9">
        <v>1</v>
      </c>
      <c r="BT295" s="9">
        <v>1</v>
      </c>
      <c r="BU295" s="9">
        <v>1</v>
      </c>
      <c r="BV295" s="9">
        <v>1</v>
      </c>
      <c r="BW295" s="9">
        <v>1</v>
      </c>
      <c r="BX295" s="9">
        <v>1</v>
      </c>
    </row>
    <row r="296" spans="1:76">
      <c r="A296" s="3" t="s">
        <v>66</v>
      </c>
      <c r="B296" t="s">
        <v>5252</v>
      </c>
      <c r="D296" t="s">
        <v>4967</v>
      </c>
      <c r="F296" s="91" t="s">
        <v>4973</v>
      </c>
      <c r="H296" s="3" t="s">
        <v>4984</v>
      </c>
      <c r="I296" s="3"/>
      <c r="J296" s="124"/>
      <c r="K296" s="124"/>
      <c r="M296" s="124"/>
      <c r="V296" s="9">
        <v>1</v>
      </c>
      <c r="W296" s="9">
        <v>1</v>
      </c>
      <c r="X296" s="10">
        <v>1</v>
      </c>
      <c r="Y296" s="9">
        <v>1</v>
      </c>
      <c r="Z296" s="9">
        <v>1</v>
      </c>
      <c r="AA296" s="9">
        <v>1</v>
      </c>
      <c r="AB296" s="9">
        <v>1</v>
      </c>
      <c r="AC296" s="9">
        <v>1</v>
      </c>
      <c r="AD296" s="9">
        <v>1</v>
      </c>
      <c r="AE296" s="9">
        <v>1</v>
      </c>
      <c r="AF296" s="9">
        <v>1</v>
      </c>
      <c r="AG296" s="9">
        <v>1</v>
      </c>
      <c r="AH296" s="9">
        <v>1</v>
      </c>
      <c r="AI296" s="9">
        <v>1</v>
      </c>
      <c r="AJ296" s="9">
        <v>1</v>
      </c>
      <c r="AK296" s="9">
        <v>1</v>
      </c>
      <c r="AL296" s="9">
        <v>1</v>
      </c>
      <c r="AM296" s="9">
        <v>1</v>
      </c>
      <c r="AN296" s="9">
        <v>1</v>
      </c>
      <c r="AO296" s="9">
        <v>1</v>
      </c>
      <c r="AP296" s="9">
        <v>1</v>
      </c>
      <c r="AQ296" s="9">
        <v>1</v>
      </c>
      <c r="AR296" s="9">
        <v>1</v>
      </c>
      <c r="AS296" s="9">
        <v>1</v>
      </c>
      <c r="AT296" s="9">
        <v>1</v>
      </c>
      <c r="AU296" s="9">
        <v>1</v>
      </c>
      <c r="AV296" s="9">
        <v>1</v>
      </c>
      <c r="AW296" s="9">
        <v>1</v>
      </c>
      <c r="AX296" s="9">
        <v>1</v>
      </c>
      <c r="AY296" s="9">
        <v>1</v>
      </c>
      <c r="AZ296" s="9">
        <v>1</v>
      </c>
      <c r="BA296" s="9">
        <v>1</v>
      </c>
      <c r="BB296" s="9">
        <v>1</v>
      </c>
      <c r="BC296" s="9">
        <v>1</v>
      </c>
      <c r="BD296" s="9">
        <v>1</v>
      </c>
      <c r="BE296" s="9">
        <v>1</v>
      </c>
      <c r="BF296" s="9">
        <v>1</v>
      </c>
      <c r="BG296" s="9">
        <v>1</v>
      </c>
      <c r="BH296" s="9">
        <v>1</v>
      </c>
      <c r="BI296" s="9">
        <v>1</v>
      </c>
      <c r="BJ296" s="9">
        <v>1</v>
      </c>
      <c r="BK296" s="9">
        <v>1</v>
      </c>
      <c r="BL296" s="9">
        <v>1</v>
      </c>
      <c r="BM296" s="9">
        <v>1</v>
      </c>
      <c r="BN296" s="9">
        <v>1</v>
      </c>
      <c r="BO296" s="9">
        <v>1</v>
      </c>
      <c r="BP296" s="9">
        <v>1</v>
      </c>
      <c r="BQ296" s="9">
        <v>1</v>
      </c>
      <c r="BR296" s="9">
        <v>1</v>
      </c>
      <c r="BS296" s="9">
        <v>1</v>
      </c>
      <c r="BT296" s="9">
        <v>1</v>
      </c>
      <c r="BU296" s="9">
        <v>1</v>
      </c>
      <c r="BV296" s="9">
        <v>1</v>
      </c>
      <c r="BW296" s="9">
        <v>1</v>
      </c>
      <c r="BX296" s="9">
        <v>1</v>
      </c>
    </row>
    <row r="297" spans="1:76">
      <c r="A297" s="3" t="s">
        <v>66</v>
      </c>
      <c r="B297" t="s">
        <v>4161</v>
      </c>
      <c r="D297" t="s">
        <v>4967</v>
      </c>
      <c r="F297" s="91" t="s">
        <v>4973</v>
      </c>
      <c r="H297" s="3" t="s">
        <v>4984</v>
      </c>
      <c r="I297" s="3"/>
      <c r="J297" s="124"/>
      <c r="K297" s="124"/>
      <c r="M297" s="124"/>
      <c r="V297" s="9">
        <v>1</v>
      </c>
      <c r="W297" s="9">
        <v>1</v>
      </c>
      <c r="X297" s="10">
        <v>1</v>
      </c>
      <c r="Y297" s="9">
        <v>1</v>
      </c>
      <c r="Z297" s="9">
        <v>1</v>
      </c>
      <c r="AA297" s="9">
        <v>1</v>
      </c>
      <c r="AB297" s="9">
        <v>1</v>
      </c>
      <c r="AC297" s="9">
        <v>1</v>
      </c>
      <c r="AD297" s="9">
        <v>1</v>
      </c>
      <c r="AE297" s="9">
        <v>1</v>
      </c>
      <c r="AF297" s="9">
        <v>1</v>
      </c>
      <c r="AG297" s="9">
        <v>1</v>
      </c>
      <c r="AH297" s="9">
        <v>1</v>
      </c>
      <c r="AI297" s="9">
        <v>1</v>
      </c>
      <c r="AJ297" s="9">
        <v>1</v>
      </c>
      <c r="AK297" s="9">
        <v>1</v>
      </c>
      <c r="AL297" s="9">
        <v>1</v>
      </c>
      <c r="AM297" s="9">
        <v>1</v>
      </c>
      <c r="AN297" s="9">
        <v>1</v>
      </c>
      <c r="AO297" s="9">
        <v>1</v>
      </c>
      <c r="AP297" s="9">
        <v>1</v>
      </c>
      <c r="AQ297" s="9">
        <v>1</v>
      </c>
      <c r="AR297" s="9">
        <v>1</v>
      </c>
      <c r="AS297" s="9">
        <v>1</v>
      </c>
      <c r="AT297" s="9">
        <v>1</v>
      </c>
      <c r="AU297" s="9">
        <v>1</v>
      </c>
      <c r="AV297" s="9">
        <v>1</v>
      </c>
      <c r="AW297" s="9">
        <v>1</v>
      </c>
      <c r="AX297" s="9">
        <v>1</v>
      </c>
      <c r="AY297" s="9">
        <v>1</v>
      </c>
      <c r="AZ297" s="9">
        <v>1</v>
      </c>
      <c r="BA297" s="9">
        <v>1</v>
      </c>
      <c r="BB297" s="9">
        <v>1</v>
      </c>
      <c r="BC297" s="9">
        <v>1</v>
      </c>
      <c r="BD297" s="9">
        <v>1</v>
      </c>
      <c r="BE297" s="9">
        <v>1</v>
      </c>
      <c r="BF297" s="9">
        <v>1</v>
      </c>
      <c r="BG297" s="9">
        <v>1</v>
      </c>
      <c r="BH297" s="9">
        <v>1</v>
      </c>
      <c r="BI297" s="9">
        <v>1</v>
      </c>
      <c r="BJ297" s="9">
        <v>1</v>
      </c>
      <c r="BK297" s="9">
        <v>1</v>
      </c>
      <c r="BL297" s="9">
        <v>1</v>
      </c>
      <c r="BM297" s="9">
        <v>1</v>
      </c>
      <c r="BN297" s="9">
        <v>1</v>
      </c>
      <c r="BO297" s="9">
        <v>1</v>
      </c>
      <c r="BP297" s="9">
        <v>1</v>
      </c>
      <c r="BQ297" s="9">
        <v>1</v>
      </c>
      <c r="BR297" s="9">
        <v>1</v>
      </c>
      <c r="BS297" s="9">
        <v>1</v>
      </c>
      <c r="BT297" s="9">
        <v>1</v>
      </c>
      <c r="BU297" s="9">
        <v>1</v>
      </c>
      <c r="BV297" s="9">
        <v>1</v>
      </c>
      <c r="BW297" s="9">
        <v>1</v>
      </c>
      <c r="BX297" s="9">
        <v>1</v>
      </c>
    </row>
    <row r="298" spans="1:76">
      <c r="A298" s="3" t="s">
        <v>66</v>
      </c>
      <c r="B298" t="s">
        <v>4163</v>
      </c>
      <c r="D298" t="s">
        <v>4967</v>
      </c>
      <c r="F298" s="91" t="s">
        <v>4973</v>
      </c>
      <c r="H298" s="3" t="s">
        <v>4984</v>
      </c>
      <c r="I298" s="3"/>
      <c r="J298" s="124"/>
      <c r="K298" s="124"/>
      <c r="M298" s="124"/>
      <c r="V298" s="9">
        <v>1</v>
      </c>
      <c r="W298" s="9">
        <v>1</v>
      </c>
      <c r="X298" s="10">
        <v>1</v>
      </c>
      <c r="Y298" s="9">
        <v>1</v>
      </c>
      <c r="Z298" s="9">
        <v>1</v>
      </c>
      <c r="AA298" s="9">
        <v>1</v>
      </c>
      <c r="AB298" s="9">
        <v>1</v>
      </c>
      <c r="AC298" s="9">
        <v>1</v>
      </c>
      <c r="AD298" s="9">
        <v>1</v>
      </c>
      <c r="AE298" s="9">
        <v>1</v>
      </c>
      <c r="AF298" s="9">
        <v>1</v>
      </c>
      <c r="AG298" s="9">
        <v>1</v>
      </c>
      <c r="AH298" s="9">
        <v>1</v>
      </c>
      <c r="AI298" s="9">
        <v>1</v>
      </c>
      <c r="AJ298" s="9">
        <v>1</v>
      </c>
      <c r="AK298" s="9">
        <v>1</v>
      </c>
      <c r="AL298" s="9">
        <v>1</v>
      </c>
      <c r="AM298" s="9">
        <v>1</v>
      </c>
      <c r="AN298" s="9">
        <v>1</v>
      </c>
      <c r="AO298" s="9">
        <v>1</v>
      </c>
      <c r="AP298" s="9">
        <v>1</v>
      </c>
      <c r="AQ298" s="9">
        <v>1</v>
      </c>
      <c r="AR298" s="9">
        <v>1</v>
      </c>
      <c r="AS298" s="9">
        <v>1</v>
      </c>
      <c r="AT298" s="9">
        <v>1</v>
      </c>
      <c r="AU298" s="9">
        <v>1</v>
      </c>
      <c r="AV298" s="9">
        <v>1</v>
      </c>
      <c r="AW298" s="9">
        <v>1</v>
      </c>
      <c r="AX298" s="9">
        <v>1</v>
      </c>
      <c r="AY298" s="9">
        <v>1</v>
      </c>
      <c r="AZ298" s="9">
        <v>1</v>
      </c>
      <c r="BA298" s="9">
        <v>1</v>
      </c>
      <c r="BB298" s="9">
        <v>1</v>
      </c>
      <c r="BC298" s="9">
        <v>1</v>
      </c>
      <c r="BD298" s="9">
        <v>1</v>
      </c>
      <c r="BE298" s="9">
        <v>1</v>
      </c>
      <c r="BF298" s="9">
        <v>1</v>
      </c>
      <c r="BG298" s="9">
        <v>1</v>
      </c>
      <c r="BH298" s="9">
        <v>1</v>
      </c>
      <c r="BI298" s="9">
        <v>1</v>
      </c>
      <c r="BJ298" s="9">
        <v>1</v>
      </c>
      <c r="BK298" s="9">
        <v>1</v>
      </c>
      <c r="BL298" s="9">
        <v>1</v>
      </c>
      <c r="BM298" s="9">
        <v>1</v>
      </c>
      <c r="BN298" s="9">
        <v>1</v>
      </c>
      <c r="BO298" s="9">
        <v>1</v>
      </c>
      <c r="BP298" s="9">
        <v>1</v>
      </c>
      <c r="BQ298" s="9">
        <v>1</v>
      </c>
      <c r="BR298" s="9">
        <v>1</v>
      </c>
      <c r="BS298" s="9">
        <v>1</v>
      </c>
      <c r="BT298" s="9">
        <v>1</v>
      </c>
      <c r="BU298" s="9">
        <v>1</v>
      </c>
      <c r="BV298" s="9">
        <v>1</v>
      </c>
      <c r="BW298" s="9">
        <v>1</v>
      </c>
      <c r="BX298" s="9">
        <v>1</v>
      </c>
    </row>
    <row r="299" spans="1:76">
      <c r="A299" s="3" t="s">
        <v>66</v>
      </c>
      <c r="B299" t="s">
        <v>4165</v>
      </c>
      <c r="D299" t="s">
        <v>4967</v>
      </c>
      <c r="F299" s="91" t="s">
        <v>4973</v>
      </c>
      <c r="H299" s="3" t="s">
        <v>4984</v>
      </c>
      <c r="I299" s="3"/>
      <c r="J299" s="124"/>
      <c r="K299" s="124"/>
      <c r="M299" s="124"/>
      <c r="V299" s="9">
        <v>1</v>
      </c>
      <c r="W299" s="9">
        <v>1</v>
      </c>
      <c r="X299" s="10">
        <v>1</v>
      </c>
      <c r="Y299" s="9">
        <v>1</v>
      </c>
      <c r="Z299" s="9">
        <v>1</v>
      </c>
      <c r="AA299" s="9">
        <v>1</v>
      </c>
      <c r="AB299" s="9">
        <v>1</v>
      </c>
      <c r="AC299" s="9">
        <v>1</v>
      </c>
      <c r="AD299" s="9">
        <v>1</v>
      </c>
      <c r="AE299" s="9">
        <v>1</v>
      </c>
      <c r="AF299" s="9">
        <v>1</v>
      </c>
      <c r="AG299" s="9">
        <v>1</v>
      </c>
      <c r="AH299" s="9">
        <v>1</v>
      </c>
      <c r="AI299" s="9">
        <v>1</v>
      </c>
      <c r="AJ299" s="9">
        <v>1</v>
      </c>
      <c r="AK299" s="9">
        <v>1</v>
      </c>
      <c r="AL299" s="9">
        <v>1</v>
      </c>
      <c r="AM299" s="9">
        <v>1</v>
      </c>
      <c r="AN299" s="9">
        <v>1</v>
      </c>
      <c r="AO299" s="9">
        <v>1</v>
      </c>
      <c r="AP299" s="9">
        <v>1</v>
      </c>
      <c r="AQ299" s="9">
        <v>1</v>
      </c>
      <c r="AR299" s="9">
        <v>1</v>
      </c>
      <c r="AS299" s="9">
        <v>1</v>
      </c>
      <c r="AT299" s="9">
        <v>1</v>
      </c>
      <c r="AU299" s="9">
        <v>1</v>
      </c>
      <c r="AV299" s="9">
        <v>1</v>
      </c>
      <c r="AW299" s="9">
        <v>1</v>
      </c>
      <c r="AX299" s="9">
        <v>1</v>
      </c>
      <c r="AY299" s="9">
        <v>1</v>
      </c>
      <c r="AZ299" s="9">
        <v>1</v>
      </c>
      <c r="BA299" s="9">
        <v>1</v>
      </c>
      <c r="BB299" s="9">
        <v>1</v>
      </c>
      <c r="BC299" s="9">
        <v>1</v>
      </c>
      <c r="BD299" s="9">
        <v>1</v>
      </c>
      <c r="BE299" s="9">
        <v>1</v>
      </c>
      <c r="BF299" s="9">
        <v>1</v>
      </c>
      <c r="BG299" s="9">
        <v>1</v>
      </c>
      <c r="BH299" s="9">
        <v>1</v>
      </c>
      <c r="BI299" s="9">
        <v>1</v>
      </c>
      <c r="BJ299" s="9">
        <v>1</v>
      </c>
      <c r="BK299" s="9">
        <v>1</v>
      </c>
      <c r="BL299" s="9">
        <v>1</v>
      </c>
      <c r="BM299" s="9">
        <v>1</v>
      </c>
      <c r="BN299" s="9">
        <v>1</v>
      </c>
      <c r="BO299" s="9">
        <v>1</v>
      </c>
      <c r="BP299" s="9">
        <v>1</v>
      </c>
      <c r="BQ299" s="9">
        <v>1</v>
      </c>
      <c r="BR299" s="9">
        <v>1</v>
      </c>
      <c r="BS299" s="9">
        <v>1</v>
      </c>
      <c r="BT299" s="9">
        <v>1</v>
      </c>
      <c r="BU299" s="9">
        <v>1</v>
      </c>
      <c r="BV299" s="9">
        <v>1</v>
      </c>
      <c r="BW299" s="9">
        <v>1</v>
      </c>
      <c r="BX299" s="9">
        <v>1</v>
      </c>
    </row>
    <row r="300" spans="1:76">
      <c r="A300" s="3" t="s">
        <v>66</v>
      </c>
      <c r="B300" t="s">
        <v>4167</v>
      </c>
      <c r="D300" t="s">
        <v>4967</v>
      </c>
      <c r="F300" s="91" t="s">
        <v>4973</v>
      </c>
      <c r="H300" s="3" t="s">
        <v>4984</v>
      </c>
      <c r="I300" s="3"/>
      <c r="J300" s="124"/>
      <c r="K300" s="124"/>
      <c r="M300" s="124"/>
      <c r="V300" s="9">
        <v>1</v>
      </c>
      <c r="W300" s="9">
        <v>1</v>
      </c>
      <c r="X300" s="10">
        <v>1</v>
      </c>
      <c r="Y300" s="9">
        <v>1</v>
      </c>
      <c r="Z300" s="9">
        <v>1</v>
      </c>
      <c r="AA300" s="9">
        <v>1</v>
      </c>
      <c r="AB300" s="9">
        <v>1</v>
      </c>
      <c r="AC300" s="9">
        <v>1</v>
      </c>
      <c r="AD300" s="9">
        <v>1</v>
      </c>
      <c r="AE300" s="9">
        <v>1</v>
      </c>
      <c r="AF300" s="9">
        <v>1</v>
      </c>
      <c r="AG300" s="9">
        <v>1</v>
      </c>
      <c r="AH300" s="9">
        <v>1</v>
      </c>
      <c r="AI300" s="9">
        <v>1</v>
      </c>
      <c r="AJ300" s="9">
        <v>1</v>
      </c>
      <c r="AK300" s="9">
        <v>1</v>
      </c>
      <c r="AL300" s="9">
        <v>1</v>
      </c>
      <c r="AM300" s="9">
        <v>1</v>
      </c>
      <c r="AN300" s="9">
        <v>1</v>
      </c>
      <c r="AO300" s="9">
        <v>1</v>
      </c>
      <c r="AP300" s="9">
        <v>1</v>
      </c>
      <c r="AQ300" s="9">
        <v>1</v>
      </c>
      <c r="AR300" s="9">
        <v>1</v>
      </c>
      <c r="AS300" s="9">
        <v>1</v>
      </c>
      <c r="AT300" s="9">
        <v>1</v>
      </c>
      <c r="AU300" s="9">
        <v>1</v>
      </c>
      <c r="AV300" s="9">
        <v>1</v>
      </c>
      <c r="AW300" s="9">
        <v>1</v>
      </c>
      <c r="AX300" s="9">
        <v>1</v>
      </c>
      <c r="AY300" s="9">
        <v>1</v>
      </c>
      <c r="AZ300" s="9">
        <v>1</v>
      </c>
      <c r="BA300" s="9">
        <v>1</v>
      </c>
      <c r="BB300" s="9">
        <v>1</v>
      </c>
      <c r="BC300" s="9">
        <v>1</v>
      </c>
      <c r="BD300" s="9">
        <v>1</v>
      </c>
      <c r="BE300" s="9">
        <v>1</v>
      </c>
      <c r="BF300" s="9">
        <v>1</v>
      </c>
      <c r="BG300" s="9">
        <v>1</v>
      </c>
      <c r="BH300" s="9">
        <v>1</v>
      </c>
      <c r="BI300" s="9">
        <v>1</v>
      </c>
      <c r="BJ300" s="9">
        <v>1</v>
      </c>
      <c r="BK300" s="9">
        <v>1</v>
      </c>
      <c r="BL300" s="9">
        <v>1</v>
      </c>
      <c r="BM300" s="9">
        <v>1</v>
      </c>
      <c r="BN300" s="9">
        <v>1</v>
      </c>
      <c r="BO300" s="9">
        <v>1</v>
      </c>
      <c r="BP300" s="9">
        <v>1</v>
      </c>
      <c r="BQ300" s="9">
        <v>1</v>
      </c>
      <c r="BR300" s="9">
        <v>1</v>
      </c>
      <c r="BS300" s="9">
        <v>1</v>
      </c>
      <c r="BT300" s="9">
        <v>1</v>
      </c>
      <c r="BU300" s="9">
        <v>1</v>
      </c>
      <c r="BV300" s="9">
        <v>1</v>
      </c>
      <c r="BW300" s="9">
        <v>1</v>
      </c>
      <c r="BX300" s="9">
        <v>1</v>
      </c>
    </row>
    <row r="301" spans="1:76">
      <c r="A301" s="3" t="s">
        <v>66</v>
      </c>
      <c r="B301" t="s">
        <v>4169</v>
      </c>
      <c r="D301" t="s">
        <v>4967</v>
      </c>
      <c r="F301" s="91" t="s">
        <v>4973</v>
      </c>
      <c r="H301" s="3" t="s">
        <v>4984</v>
      </c>
      <c r="I301" s="3"/>
      <c r="J301" s="124"/>
      <c r="K301" s="124"/>
      <c r="M301" s="124"/>
      <c r="V301" s="9">
        <v>1</v>
      </c>
      <c r="W301" s="9">
        <v>1</v>
      </c>
      <c r="X301" s="10">
        <v>1</v>
      </c>
      <c r="Y301" s="9">
        <v>1</v>
      </c>
      <c r="Z301" s="9">
        <v>1</v>
      </c>
      <c r="AA301" s="9">
        <v>1</v>
      </c>
      <c r="AB301" s="9">
        <v>1</v>
      </c>
      <c r="AC301" s="9">
        <v>1</v>
      </c>
      <c r="AD301" s="9">
        <v>1</v>
      </c>
      <c r="AE301" s="9">
        <v>1</v>
      </c>
      <c r="AF301" s="9">
        <v>1</v>
      </c>
      <c r="AG301" s="9">
        <v>1</v>
      </c>
      <c r="AH301" s="9">
        <v>1</v>
      </c>
      <c r="AI301" s="9">
        <v>1</v>
      </c>
      <c r="AJ301" s="9">
        <v>1</v>
      </c>
      <c r="AK301" s="9">
        <v>1</v>
      </c>
      <c r="AL301" s="9">
        <v>1</v>
      </c>
      <c r="AM301" s="9">
        <v>1</v>
      </c>
      <c r="AN301" s="9">
        <v>1</v>
      </c>
      <c r="AO301" s="9">
        <v>1</v>
      </c>
      <c r="AP301" s="9">
        <v>1</v>
      </c>
      <c r="AQ301" s="9">
        <v>1</v>
      </c>
      <c r="AR301" s="9">
        <v>1</v>
      </c>
      <c r="AS301" s="9">
        <v>1</v>
      </c>
      <c r="AT301" s="9">
        <v>1</v>
      </c>
      <c r="AU301" s="9">
        <v>1</v>
      </c>
      <c r="AV301" s="9">
        <v>1</v>
      </c>
      <c r="AW301" s="9">
        <v>1</v>
      </c>
      <c r="AX301" s="9">
        <v>1</v>
      </c>
      <c r="AY301" s="9">
        <v>1</v>
      </c>
      <c r="AZ301" s="9">
        <v>1</v>
      </c>
      <c r="BA301" s="9">
        <v>1</v>
      </c>
      <c r="BB301" s="9">
        <v>1</v>
      </c>
      <c r="BC301" s="9">
        <v>1</v>
      </c>
      <c r="BD301" s="9">
        <v>1</v>
      </c>
      <c r="BE301" s="9">
        <v>1</v>
      </c>
      <c r="BF301" s="9">
        <v>1</v>
      </c>
      <c r="BG301" s="9">
        <v>1</v>
      </c>
      <c r="BH301" s="9">
        <v>1</v>
      </c>
      <c r="BI301" s="9">
        <v>1</v>
      </c>
      <c r="BJ301" s="9">
        <v>1</v>
      </c>
      <c r="BK301" s="9">
        <v>1</v>
      </c>
      <c r="BL301" s="9">
        <v>1</v>
      </c>
      <c r="BM301" s="9">
        <v>1</v>
      </c>
      <c r="BN301" s="9">
        <v>1</v>
      </c>
      <c r="BO301" s="9">
        <v>1</v>
      </c>
      <c r="BP301" s="9">
        <v>1</v>
      </c>
      <c r="BQ301" s="9">
        <v>1</v>
      </c>
      <c r="BR301" s="9">
        <v>1</v>
      </c>
      <c r="BS301" s="9">
        <v>1</v>
      </c>
      <c r="BT301" s="9">
        <v>1</v>
      </c>
      <c r="BU301" s="9">
        <v>1</v>
      </c>
      <c r="BV301" s="9">
        <v>1</v>
      </c>
      <c r="BW301" s="9">
        <v>1</v>
      </c>
      <c r="BX301" s="9">
        <v>1</v>
      </c>
    </row>
    <row r="302" spans="1:76">
      <c r="A302" s="3" t="s">
        <v>66</v>
      </c>
      <c r="B302" t="s">
        <v>5253</v>
      </c>
      <c r="D302" t="s">
        <v>4967</v>
      </c>
      <c r="F302" s="91" t="s">
        <v>4973</v>
      </c>
      <c r="H302" s="3" t="s">
        <v>4984</v>
      </c>
      <c r="I302" s="3"/>
      <c r="J302" s="124"/>
      <c r="K302" s="124"/>
      <c r="M302" s="124"/>
      <c r="V302" s="9">
        <v>1</v>
      </c>
      <c r="W302" s="9">
        <v>1</v>
      </c>
      <c r="X302" s="10">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9">
        <v>1</v>
      </c>
      <c r="BD302" s="9">
        <v>1</v>
      </c>
      <c r="BE302" s="9">
        <v>1</v>
      </c>
      <c r="BF302" s="9">
        <v>1</v>
      </c>
      <c r="BG302" s="9">
        <v>1</v>
      </c>
      <c r="BH302" s="9">
        <v>1</v>
      </c>
      <c r="BI302" s="9">
        <v>1</v>
      </c>
      <c r="BJ302" s="9">
        <v>1</v>
      </c>
      <c r="BK302" s="9">
        <v>1</v>
      </c>
      <c r="BL302" s="9">
        <v>1</v>
      </c>
      <c r="BM302" s="9">
        <v>1</v>
      </c>
      <c r="BN302" s="9">
        <v>1</v>
      </c>
      <c r="BO302" s="9">
        <v>1</v>
      </c>
      <c r="BP302" s="9">
        <v>1</v>
      </c>
      <c r="BQ302" s="9">
        <v>1</v>
      </c>
      <c r="BR302" s="9">
        <v>1</v>
      </c>
      <c r="BS302" s="9">
        <v>1</v>
      </c>
      <c r="BT302" s="9">
        <v>1</v>
      </c>
      <c r="BU302" s="9">
        <v>1</v>
      </c>
      <c r="BV302" s="9">
        <v>1</v>
      </c>
      <c r="BW302" s="9">
        <v>1</v>
      </c>
      <c r="BX302" s="9">
        <v>1</v>
      </c>
    </row>
    <row r="303" spans="1:76">
      <c r="A303" s="3" t="s">
        <v>66</v>
      </c>
      <c r="B303" t="s">
        <v>4171</v>
      </c>
      <c r="D303" t="s">
        <v>4967</v>
      </c>
      <c r="F303" s="91" t="s">
        <v>4973</v>
      </c>
      <c r="H303" s="3" t="s">
        <v>4984</v>
      </c>
      <c r="I303" s="3"/>
      <c r="J303" s="124"/>
      <c r="K303" s="124"/>
      <c r="M303" s="124"/>
      <c r="V303" s="9">
        <v>1</v>
      </c>
      <c r="W303" s="9">
        <v>1</v>
      </c>
      <c r="X303" s="10">
        <v>1</v>
      </c>
      <c r="Y303" s="9">
        <v>1</v>
      </c>
      <c r="Z303" s="9">
        <v>1</v>
      </c>
      <c r="AA303" s="9">
        <v>1</v>
      </c>
      <c r="AB303" s="9">
        <v>1</v>
      </c>
      <c r="AC303" s="9">
        <v>1</v>
      </c>
      <c r="AD303" s="9">
        <v>1</v>
      </c>
      <c r="AE303" s="9">
        <v>1</v>
      </c>
      <c r="AF303" s="9">
        <v>1</v>
      </c>
      <c r="AG303" s="9">
        <v>1</v>
      </c>
      <c r="AH303" s="9">
        <v>1</v>
      </c>
      <c r="AI303" s="9">
        <v>1</v>
      </c>
      <c r="AJ303" s="9">
        <v>1</v>
      </c>
      <c r="AK303" s="9">
        <v>1</v>
      </c>
      <c r="AL303" s="9">
        <v>1</v>
      </c>
      <c r="AM303" s="9">
        <v>1</v>
      </c>
      <c r="AN303" s="9">
        <v>1</v>
      </c>
      <c r="AO303" s="9">
        <v>1</v>
      </c>
      <c r="AP303" s="9">
        <v>1</v>
      </c>
      <c r="AQ303" s="9">
        <v>1</v>
      </c>
      <c r="AR303" s="9">
        <v>1</v>
      </c>
      <c r="AS303" s="9">
        <v>1</v>
      </c>
      <c r="AT303" s="9">
        <v>1</v>
      </c>
      <c r="AU303" s="9">
        <v>1</v>
      </c>
      <c r="AV303" s="9">
        <v>1</v>
      </c>
      <c r="AW303" s="9">
        <v>1</v>
      </c>
      <c r="AX303" s="9">
        <v>1</v>
      </c>
      <c r="AY303" s="9">
        <v>1</v>
      </c>
      <c r="AZ303" s="9">
        <v>1</v>
      </c>
      <c r="BA303" s="9">
        <v>1</v>
      </c>
      <c r="BB303" s="9">
        <v>1</v>
      </c>
      <c r="BC303" s="9">
        <v>1</v>
      </c>
      <c r="BD303" s="9">
        <v>1</v>
      </c>
      <c r="BE303" s="9">
        <v>1</v>
      </c>
      <c r="BF303" s="9">
        <v>1</v>
      </c>
      <c r="BG303" s="9">
        <v>1</v>
      </c>
      <c r="BH303" s="9">
        <v>1</v>
      </c>
      <c r="BI303" s="9">
        <v>1</v>
      </c>
      <c r="BJ303" s="9">
        <v>1</v>
      </c>
      <c r="BK303" s="9">
        <v>1</v>
      </c>
      <c r="BL303" s="9">
        <v>1</v>
      </c>
      <c r="BM303" s="9">
        <v>1</v>
      </c>
      <c r="BN303" s="9">
        <v>1</v>
      </c>
      <c r="BO303" s="9">
        <v>1</v>
      </c>
      <c r="BP303" s="9">
        <v>1</v>
      </c>
      <c r="BQ303" s="9">
        <v>1</v>
      </c>
      <c r="BR303" s="9">
        <v>1</v>
      </c>
      <c r="BS303" s="9">
        <v>1</v>
      </c>
      <c r="BT303" s="9">
        <v>1</v>
      </c>
      <c r="BU303" s="9">
        <v>1</v>
      </c>
      <c r="BV303" s="9">
        <v>1</v>
      </c>
      <c r="BW303" s="9">
        <v>1</v>
      </c>
      <c r="BX303" s="9">
        <v>1</v>
      </c>
    </row>
    <row r="304" spans="1:76">
      <c r="A304" s="3" t="s">
        <v>66</v>
      </c>
      <c r="B304" t="s">
        <v>5254</v>
      </c>
      <c r="D304" t="s">
        <v>4967</v>
      </c>
      <c r="F304" s="91" t="s">
        <v>4973</v>
      </c>
      <c r="H304" s="3" t="s">
        <v>4984</v>
      </c>
      <c r="I304" s="3"/>
      <c r="J304" s="124"/>
      <c r="K304" s="124"/>
      <c r="M304" s="124"/>
      <c r="V304" s="9">
        <v>1</v>
      </c>
      <c r="W304" s="9">
        <v>1</v>
      </c>
      <c r="X304" s="10">
        <v>1</v>
      </c>
      <c r="Y304" s="9">
        <v>1</v>
      </c>
      <c r="Z304" s="9">
        <v>1</v>
      </c>
      <c r="AA304" s="9">
        <v>1</v>
      </c>
      <c r="AB304" s="9">
        <v>1</v>
      </c>
      <c r="AC304" s="9">
        <v>1</v>
      </c>
      <c r="AD304" s="9">
        <v>1</v>
      </c>
      <c r="AE304" s="9">
        <v>1</v>
      </c>
      <c r="AF304" s="9">
        <v>1</v>
      </c>
      <c r="AG304" s="9">
        <v>1</v>
      </c>
      <c r="AH304" s="9">
        <v>1</v>
      </c>
      <c r="AI304" s="9">
        <v>1</v>
      </c>
      <c r="AJ304" s="9">
        <v>1</v>
      </c>
      <c r="AK304" s="9">
        <v>1</v>
      </c>
      <c r="AL304" s="9">
        <v>1</v>
      </c>
      <c r="AM304" s="9">
        <v>1</v>
      </c>
      <c r="AN304" s="9">
        <v>1</v>
      </c>
      <c r="AO304" s="9">
        <v>1</v>
      </c>
      <c r="AP304" s="9">
        <v>1</v>
      </c>
      <c r="AQ304" s="9">
        <v>1</v>
      </c>
      <c r="AR304" s="9">
        <v>1</v>
      </c>
      <c r="AS304" s="9">
        <v>1</v>
      </c>
      <c r="AT304" s="9">
        <v>1</v>
      </c>
      <c r="AU304" s="9">
        <v>1</v>
      </c>
      <c r="AV304" s="9">
        <v>1</v>
      </c>
      <c r="AW304" s="9">
        <v>1</v>
      </c>
      <c r="AX304" s="9">
        <v>1</v>
      </c>
      <c r="AY304" s="9">
        <v>1</v>
      </c>
      <c r="AZ304" s="9">
        <v>1</v>
      </c>
      <c r="BA304" s="9">
        <v>1</v>
      </c>
      <c r="BB304" s="9">
        <v>1</v>
      </c>
      <c r="BC304" s="9">
        <v>1</v>
      </c>
      <c r="BD304" s="9">
        <v>1</v>
      </c>
      <c r="BE304" s="9">
        <v>1</v>
      </c>
      <c r="BF304" s="9">
        <v>1</v>
      </c>
      <c r="BG304" s="9">
        <v>1</v>
      </c>
      <c r="BH304" s="9">
        <v>1</v>
      </c>
      <c r="BI304" s="9">
        <v>1</v>
      </c>
      <c r="BJ304" s="9">
        <v>1</v>
      </c>
      <c r="BK304" s="9">
        <v>1</v>
      </c>
      <c r="BL304" s="9">
        <v>1</v>
      </c>
      <c r="BM304" s="9">
        <v>1</v>
      </c>
      <c r="BN304" s="9">
        <v>1</v>
      </c>
      <c r="BO304" s="9">
        <v>1</v>
      </c>
      <c r="BP304" s="9">
        <v>1</v>
      </c>
      <c r="BQ304" s="9">
        <v>1</v>
      </c>
      <c r="BR304" s="9">
        <v>1</v>
      </c>
      <c r="BS304" s="9">
        <v>1</v>
      </c>
      <c r="BT304" s="9">
        <v>1</v>
      </c>
      <c r="BU304" s="9">
        <v>1</v>
      </c>
      <c r="BV304" s="9">
        <v>1</v>
      </c>
      <c r="BW304" s="9">
        <v>1</v>
      </c>
      <c r="BX304" s="9">
        <v>1</v>
      </c>
    </row>
    <row r="305" spans="1:76">
      <c r="A305" s="3" t="s">
        <v>66</v>
      </c>
      <c r="B305" t="s">
        <v>4173</v>
      </c>
      <c r="D305" t="s">
        <v>4967</v>
      </c>
      <c r="F305" s="91" t="s">
        <v>4973</v>
      </c>
      <c r="H305" s="3" t="s">
        <v>4984</v>
      </c>
      <c r="I305" s="3"/>
      <c r="J305" s="124"/>
      <c r="K305" s="124"/>
      <c r="M305" s="124"/>
      <c r="V305" s="9">
        <v>1</v>
      </c>
      <c r="W305" s="9">
        <v>1</v>
      </c>
      <c r="X305" s="10">
        <v>1</v>
      </c>
      <c r="Y305" s="9">
        <v>1</v>
      </c>
      <c r="Z305" s="9">
        <v>1</v>
      </c>
      <c r="AA305" s="9">
        <v>1</v>
      </c>
      <c r="AB305" s="9">
        <v>1</v>
      </c>
      <c r="AC305" s="9">
        <v>1</v>
      </c>
      <c r="AD305" s="9">
        <v>1</v>
      </c>
      <c r="AE305" s="9">
        <v>1</v>
      </c>
      <c r="AF305" s="9">
        <v>1</v>
      </c>
      <c r="AG305" s="9">
        <v>1</v>
      </c>
      <c r="AH305" s="9">
        <v>1</v>
      </c>
      <c r="AI305" s="9">
        <v>1</v>
      </c>
      <c r="AJ305" s="9">
        <v>1</v>
      </c>
      <c r="AK305" s="9">
        <v>1</v>
      </c>
      <c r="AL305" s="9">
        <v>1</v>
      </c>
      <c r="AM305" s="9">
        <v>1</v>
      </c>
      <c r="AN305" s="9">
        <v>1</v>
      </c>
      <c r="AO305" s="9">
        <v>1</v>
      </c>
      <c r="AP305" s="9">
        <v>1</v>
      </c>
      <c r="AQ305" s="9">
        <v>1</v>
      </c>
      <c r="AR305" s="9">
        <v>1</v>
      </c>
      <c r="AS305" s="9">
        <v>1</v>
      </c>
      <c r="AT305" s="9">
        <v>1</v>
      </c>
      <c r="AU305" s="9">
        <v>1</v>
      </c>
      <c r="AV305" s="9">
        <v>1</v>
      </c>
      <c r="AW305" s="9">
        <v>1</v>
      </c>
      <c r="AX305" s="9">
        <v>1</v>
      </c>
      <c r="AY305" s="9">
        <v>1</v>
      </c>
      <c r="AZ305" s="9">
        <v>1</v>
      </c>
      <c r="BA305" s="9">
        <v>1</v>
      </c>
      <c r="BB305" s="9">
        <v>1</v>
      </c>
      <c r="BC305" s="9">
        <v>1</v>
      </c>
      <c r="BD305" s="9">
        <v>1</v>
      </c>
      <c r="BE305" s="9">
        <v>1</v>
      </c>
      <c r="BF305" s="9">
        <v>1</v>
      </c>
      <c r="BG305" s="9">
        <v>1</v>
      </c>
      <c r="BH305" s="9">
        <v>1</v>
      </c>
      <c r="BI305" s="9">
        <v>1</v>
      </c>
      <c r="BJ305" s="9">
        <v>1</v>
      </c>
      <c r="BK305" s="9">
        <v>1</v>
      </c>
      <c r="BL305" s="9">
        <v>1</v>
      </c>
      <c r="BM305" s="9">
        <v>1</v>
      </c>
      <c r="BN305" s="9">
        <v>1</v>
      </c>
      <c r="BO305" s="9">
        <v>1</v>
      </c>
      <c r="BP305" s="9">
        <v>1</v>
      </c>
      <c r="BQ305" s="9">
        <v>1</v>
      </c>
      <c r="BR305" s="9">
        <v>1</v>
      </c>
      <c r="BS305" s="9">
        <v>1</v>
      </c>
      <c r="BT305" s="9">
        <v>1</v>
      </c>
      <c r="BU305" s="9">
        <v>1</v>
      </c>
      <c r="BV305" s="9">
        <v>1</v>
      </c>
      <c r="BW305" s="9">
        <v>1</v>
      </c>
      <c r="BX305" s="9">
        <v>1</v>
      </c>
    </row>
    <row r="306" spans="1:76">
      <c r="A306" s="3" t="s">
        <v>66</v>
      </c>
      <c r="B306" t="s">
        <v>4175</v>
      </c>
      <c r="D306" t="s">
        <v>4967</v>
      </c>
      <c r="F306" s="91" t="s">
        <v>4973</v>
      </c>
      <c r="H306" s="3" t="s">
        <v>4984</v>
      </c>
      <c r="I306" s="3"/>
      <c r="J306" s="124"/>
      <c r="K306" s="124"/>
      <c r="M306" s="124"/>
      <c r="V306" s="9">
        <v>1</v>
      </c>
      <c r="W306" s="9">
        <v>1</v>
      </c>
      <c r="X306" s="10">
        <v>1</v>
      </c>
      <c r="Y306" s="9">
        <v>1</v>
      </c>
      <c r="Z306" s="9">
        <v>1</v>
      </c>
      <c r="AA306" s="9">
        <v>1</v>
      </c>
      <c r="AB306" s="9">
        <v>1</v>
      </c>
      <c r="AC306" s="9">
        <v>1</v>
      </c>
      <c r="AD306" s="9">
        <v>1</v>
      </c>
      <c r="AE306" s="9">
        <v>1</v>
      </c>
      <c r="AF306" s="9">
        <v>1</v>
      </c>
      <c r="AG306" s="9">
        <v>1</v>
      </c>
      <c r="AH306" s="9">
        <v>1</v>
      </c>
      <c r="AI306" s="9">
        <v>1</v>
      </c>
      <c r="AJ306" s="9">
        <v>1</v>
      </c>
      <c r="AK306" s="9">
        <v>1</v>
      </c>
      <c r="AL306" s="9">
        <v>1</v>
      </c>
      <c r="AM306" s="9">
        <v>1</v>
      </c>
      <c r="AN306" s="9">
        <v>1</v>
      </c>
      <c r="AO306" s="9">
        <v>1</v>
      </c>
      <c r="AP306" s="9">
        <v>1</v>
      </c>
      <c r="AQ306" s="9">
        <v>1</v>
      </c>
      <c r="AR306" s="9">
        <v>1</v>
      </c>
      <c r="AS306" s="9">
        <v>1</v>
      </c>
      <c r="AT306" s="9">
        <v>1</v>
      </c>
      <c r="AU306" s="9">
        <v>1</v>
      </c>
      <c r="AV306" s="9">
        <v>1</v>
      </c>
      <c r="AW306" s="9">
        <v>1</v>
      </c>
      <c r="AX306" s="9">
        <v>1</v>
      </c>
      <c r="AY306" s="9">
        <v>1</v>
      </c>
      <c r="AZ306" s="9">
        <v>1</v>
      </c>
      <c r="BA306" s="9">
        <v>1</v>
      </c>
      <c r="BB306" s="9">
        <v>1</v>
      </c>
      <c r="BC306" s="9">
        <v>1</v>
      </c>
      <c r="BD306" s="9">
        <v>1</v>
      </c>
      <c r="BE306" s="9">
        <v>1</v>
      </c>
      <c r="BF306" s="9">
        <v>1</v>
      </c>
      <c r="BG306" s="9">
        <v>1</v>
      </c>
      <c r="BH306" s="9">
        <v>1</v>
      </c>
      <c r="BI306" s="9">
        <v>1</v>
      </c>
      <c r="BJ306" s="9">
        <v>1</v>
      </c>
      <c r="BK306" s="9">
        <v>1</v>
      </c>
      <c r="BL306" s="9">
        <v>1</v>
      </c>
      <c r="BM306" s="9">
        <v>1</v>
      </c>
      <c r="BN306" s="9">
        <v>1</v>
      </c>
      <c r="BO306" s="9">
        <v>1</v>
      </c>
      <c r="BP306" s="9">
        <v>1</v>
      </c>
      <c r="BQ306" s="9">
        <v>1</v>
      </c>
      <c r="BR306" s="9">
        <v>1</v>
      </c>
      <c r="BS306" s="9">
        <v>1</v>
      </c>
      <c r="BT306" s="9">
        <v>1</v>
      </c>
      <c r="BU306" s="9">
        <v>1</v>
      </c>
      <c r="BV306" s="9">
        <v>1</v>
      </c>
      <c r="BW306" s="9">
        <v>1</v>
      </c>
      <c r="BX306" s="9">
        <v>1</v>
      </c>
    </row>
    <row r="307" spans="1:76">
      <c r="A307" s="3" t="s">
        <v>66</v>
      </c>
      <c r="B307" t="s">
        <v>4177</v>
      </c>
      <c r="D307" t="s">
        <v>4967</v>
      </c>
      <c r="F307" s="91" t="s">
        <v>4973</v>
      </c>
      <c r="H307" s="3" t="s">
        <v>4984</v>
      </c>
      <c r="I307" s="3"/>
      <c r="J307" s="124"/>
      <c r="K307" s="124"/>
      <c r="M307" s="124"/>
      <c r="V307" s="9">
        <v>1</v>
      </c>
      <c r="W307" s="9">
        <v>1</v>
      </c>
      <c r="X307" s="10">
        <v>1</v>
      </c>
      <c r="Y307" s="9">
        <v>1</v>
      </c>
      <c r="Z307" s="9">
        <v>1</v>
      </c>
      <c r="AA307" s="9">
        <v>1</v>
      </c>
      <c r="AB307" s="9">
        <v>1</v>
      </c>
      <c r="AC307" s="9">
        <v>1</v>
      </c>
      <c r="AD307" s="9">
        <v>1</v>
      </c>
      <c r="AE307" s="9">
        <v>1</v>
      </c>
      <c r="AF307" s="9">
        <v>1</v>
      </c>
      <c r="AG307" s="9">
        <v>1</v>
      </c>
      <c r="AH307" s="9">
        <v>1</v>
      </c>
      <c r="AI307" s="9">
        <v>1</v>
      </c>
      <c r="AJ307" s="9">
        <v>1</v>
      </c>
      <c r="AK307" s="9">
        <v>1</v>
      </c>
      <c r="AL307" s="9">
        <v>1</v>
      </c>
      <c r="AM307" s="9">
        <v>1</v>
      </c>
      <c r="AN307" s="9">
        <v>1</v>
      </c>
      <c r="AO307" s="9">
        <v>1</v>
      </c>
      <c r="AP307" s="9">
        <v>1</v>
      </c>
      <c r="AQ307" s="9">
        <v>1</v>
      </c>
      <c r="AR307" s="9">
        <v>1</v>
      </c>
      <c r="AS307" s="9">
        <v>1</v>
      </c>
      <c r="AT307" s="9">
        <v>1</v>
      </c>
      <c r="AU307" s="9">
        <v>1</v>
      </c>
      <c r="AV307" s="9">
        <v>1</v>
      </c>
      <c r="AW307" s="9">
        <v>1</v>
      </c>
      <c r="AX307" s="9">
        <v>1</v>
      </c>
      <c r="AY307" s="9">
        <v>1</v>
      </c>
      <c r="AZ307" s="9">
        <v>1</v>
      </c>
      <c r="BA307" s="9">
        <v>1</v>
      </c>
      <c r="BB307" s="9">
        <v>1</v>
      </c>
      <c r="BC307" s="9">
        <v>1</v>
      </c>
      <c r="BD307" s="9">
        <v>1</v>
      </c>
      <c r="BE307" s="9">
        <v>1</v>
      </c>
      <c r="BF307" s="9">
        <v>1</v>
      </c>
      <c r="BG307" s="9">
        <v>1</v>
      </c>
      <c r="BH307" s="9">
        <v>1</v>
      </c>
      <c r="BI307" s="9">
        <v>1</v>
      </c>
      <c r="BJ307" s="9">
        <v>1</v>
      </c>
      <c r="BK307" s="9">
        <v>1</v>
      </c>
      <c r="BL307" s="9">
        <v>1</v>
      </c>
      <c r="BM307" s="9">
        <v>1</v>
      </c>
      <c r="BN307" s="9">
        <v>1</v>
      </c>
      <c r="BO307" s="9">
        <v>1</v>
      </c>
      <c r="BP307" s="9">
        <v>1</v>
      </c>
      <c r="BQ307" s="9">
        <v>1</v>
      </c>
      <c r="BR307" s="9">
        <v>1</v>
      </c>
      <c r="BS307" s="9">
        <v>1</v>
      </c>
      <c r="BT307" s="9">
        <v>1</v>
      </c>
      <c r="BU307" s="9">
        <v>1</v>
      </c>
      <c r="BV307" s="9">
        <v>1</v>
      </c>
      <c r="BW307" s="9">
        <v>1</v>
      </c>
      <c r="BX307" s="9">
        <v>1</v>
      </c>
    </row>
    <row r="308" spans="1:76">
      <c r="A308" s="3" t="s">
        <v>66</v>
      </c>
      <c r="B308" t="s">
        <v>3761</v>
      </c>
      <c r="D308" t="s">
        <v>4967</v>
      </c>
      <c r="F308" s="91" t="s">
        <v>4973</v>
      </c>
      <c r="H308" s="3" t="s">
        <v>4984</v>
      </c>
      <c r="I308" s="3"/>
      <c r="J308" s="124"/>
      <c r="K308" s="124"/>
      <c r="M308" s="124"/>
      <c r="V308" s="9">
        <v>1</v>
      </c>
      <c r="W308" s="9">
        <v>1</v>
      </c>
      <c r="X308" s="10">
        <v>1</v>
      </c>
      <c r="Y308" s="9">
        <v>1</v>
      </c>
      <c r="Z308" s="9">
        <v>1</v>
      </c>
      <c r="AA308" s="9">
        <v>1</v>
      </c>
      <c r="AB308" s="9">
        <v>1</v>
      </c>
      <c r="AC308" s="9">
        <v>1</v>
      </c>
      <c r="AD308" s="9">
        <v>1</v>
      </c>
      <c r="AE308" s="9">
        <v>1</v>
      </c>
      <c r="AF308" s="9">
        <v>1</v>
      </c>
      <c r="AG308" s="9">
        <v>1</v>
      </c>
      <c r="AH308" s="9">
        <v>1</v>
      </c>
      <c r="AI308" s="9">
        <v>1</v>
      </c>
      <c r="AJ308" s="9">
        <v>1</v>
      </c>
      <c r="AK308" s="9">
        <v>1</v>
      </c>
      <c r="AL308" s="9">
        <v>1</v>
      </c>
      <c r="AM308" s="9">
        <v>1</v>
      </c>
      <c r="AN308" s="9">
        <v>1</v>
      </c>
      <c r="AO308" s="9">
        <v>1</v>
      </c>
      <c r="AP308" s="9">
        <v>1</v>
      </c>
      <c r="AQ308" s="9">
        <v>1</v>
      </c>
      <c r="AR308" s="9">
        <v>1</v>
      </c>
      <c r="AS308" s="9">
        <v>1</v>
      </c>
      <c r="AT308" s="9">
        <v>1</v>
      </c>
      <c r="AU308" s="9">
        <v>1</v>
      </c>
      <c r="AV308" s="9">
        <v>1</v>
      </c>
      <c r="AW308" s="9">
        <v>1</v>
      </c>
      <c r="AX308" s="9">
        <v>1</v>
      </c>
      <c r="AY308" s="9">
        <v>1</v>
      </c>
      <c r="AZ308" s="9">
        <v>1</v>
      </c>
      <c r="BA308" s="9">
        <v>1</v>
      </c>
      <c r="BB308" s="9">
        <v>1</v>
      </c>
      <c r="BC308" s="9">
        <v>1</v>
      </c>
      <c r="BD308" s="9">
        <v>1</v>
      </c>
      <c r="BE308" s="9">
        <v>1</v>
      </c>
      <c r="BF308" s="9">
        <v>1</v>
      </c>
      <c r="BG308" s="9">
        <v>1</v>
      </c>
      <c r="BH308" s="9">
        <v>1</v>
      </c>
      <c r="BI308" s="9">
        <v>1</v>
      </c>
      <c r="BJ308" s="9">
        <v>1</v>
      </c>
      <c r="BK308" s="9">
        <v>1</v>
      </c>
      <c r="BL308" s="9">
        <v>1</v>
      </c>
      <c r="BM308" s="9">
        <v>1</v>
      </c>
      <c r="BN308" s="9">
        <v>1</v>
      </c>
      <c r="BO308" s="9">
        <v>1</v>
      </c>
      <c r="BP308" s="9">
        <v>1</v>
      </c>
      <c r="BQ308" s="9">
        <v>1</v>
      </c>
      <c r="BR308" s="9">
        <v>1</v>
      </c>
      <c r="BS308" s="9">
        <v>1</v>
      </c>
      <c r="BT308" s="9">
        <v>1</v>
      </c>
      <c r="BU308" s="9">
        <v>1</v>
      </c>
      <c r="BV308" s="9">
        <v>1</v>
      </c>
      <c r="BW308" s="9">
        <v>1</v>
      </c>
      <c r="BX308" s="9">
        <v>1</v>
      </c>
    </row>
    <row r="309" spans="1:76">
      <c r="A309" s="3" t="s">
        <v>66</v>
      </c>
      <c r="B309" t="s">
        <v>3765</v>
      </c>
      <c r="D309" t="s">
        <v>4967</v>
      </c>
      <c r="F309" s="91" t="s">
        <v>4973</v>
      </c>
      <c r="H309" s="3" t="s">
        <v>4984</v>
      </c>
      <c r="I309" s="3"/>
      <c r="J309" s="124"/>
      <c r="K309" s="124"/>
      <c r="M309" s="124"/>
      <c r="V309" s="9">
        <v>1</v>
      </c>
      <c r="W309" s="9">
        <v>1</v>
      </c>
      <c r="X309" s="10">
        <v>1</v>
      </c>
      <c r="Y309" s="9">
        <v>1</v>
      </c>
      <c r="Z309" s="9">
        <v>1</v>
      </c>
      <c r="AA309" s="9">
        <v>1</v>
      </c>
      <c r="AB309" s="9">
        <v>1</v>
      </c>
      <c r="AC309" s="9">
        <v>1</v>
      </c>
      <c r="AD309" s="9">
        <v>1</v>
      </c>
      <c r="AE309" s="9">
        <v>1</v>
      </c>
      <c r="AF309" s="9">
        <v>1</v>
      </c>
      <c r="AG309" s="9">
        <v>1</v>
      </c>
      <c r="AH309" s="9">
        <v>1</v>
      </c>
      <c r="AI309" s="9">
        <v>1</v>
      </c>
      <c r="AJ309" s="9">
        <v>1</v>
      </c>
      <c r="AK309" s="9">
        <v>1</v>
      </c>
      <c r="AL309" s="9">
        <v>1</v>
      </c>
      <c r="AM309" s="9">
        <v>1</v>
      </c>
      <c r="AN309" s="9">
        <v>1</v>
      </c>
      <c r="AO309" s="9">
        <v>1</v>
      </c>
      <c r="AP309" s="9">
        <v>1</v>
      </c>
      <c r="AQ309" s="9">
        <v>1</v>
      </c>
      <c r="AR309" s="9">
        <v>1</v>
      </c>
      <c r="AS309" s="9">
        <v>1</v>
      </c>
      <c r="AT309" s="9">
        <v>1</v>
      </c>
      <c r="AU309" s="9">
        <v>1</v>
      </c>
      <c r="AV309" s="9">
        <v>1</v>
      </c>
      <c r="AW309" s="9">
        <v>1</v>
      </c>
      <c r="AX309" s="9">
        <v>1</v>
      </c>
      <c r="AY309" s="9">
        <v>1</v>
      </c>
      <c r="AZ309" s="9">
        <v>1</v>
      </c>
      <c r="BA309" s="9">
        <v>1</v>
      </c>
      <c r="BB309" s="9">
        <v>1</v>
      </c>
      <c r="BC309" s="9">
        <v>1</v>
      </c>
      <c r="BD309" s="9">
        <v>1</v>
      </c>
      <c r="BE309" s="9">
        <v>1</v>
      </c>
      <c r="BF309" s="9">
        <v>1</v>
      </c>
      <c r="BG309" s="9">
        <v>1</v>
      </c>
      <c r="BH309" s="9">
        <v>1</v>
      </c>
      <c r="BI309" s="9">
        <v>1</v>
      </c>
      <c r="BJ309" s="9">
        <v>1</v>
      </c>
      <c r="BK309" s="9">
        <v>1</v>
      </c>
      <c r="BL309" s="9">
        <v>1</v>
      </c>
      <c r="BM309" s="9">
        <v>1</v>
      </c>
      <c r="BN309" s="9">
        <v>1</v>
      </c>
      <c r="BO309" s="9">
        <v>1</v>
      </c>
      <c r="BP309" s="9">
        <v>1</v>
      </c>
      <c r="BQ309" s="9">
        <v>1</v>
      </c>
      <c r="BR309" s="9">
        <v>1</v>
      </c>
      <c r="BS309" s="9">
        <v>1</v>
      </c>
      <c r="BT309" s="9">
        <v>1</v>
      </c>
      <c r="BU309" s="9">
        <v>1</v>
      </c>
      <c r="BV309" s="9">
        <v>1</v>
      </c>
      <c r="BW309" s="9">
        <v>1</v>
      </c>
      <c r="BX309" s="9">
        <v>1</v>
      </c>
    </row>
    <row r="310" spans="1:76">
      <c r="A310" s="3" t="s">
        <v>66</v>
      </c>
      <c r="B310" t="s">
        <v>4082</v>
      </c>
      <c r="D310" t="s">
        <v>4967</v>
      </c>
      <c r="F310" s="91" t="s">
        <v>4973</v>
      </c>
      <c r="H310" s="3" t="s">
        <v>4984</v>
      </c>
      <c r="I310" s="3"/>
      <c r="J310" s="124"/>
      <c r="K310" s="124"/>
      <c r="M310" s="124"/>
      <c r="V310" s="9">
        <v>1</v>
      </c>
      <c r="W310" s="9">
        <v>1</v>
      </c>
      <c r="X310" s="10">
        <v>1</v>
      </c>
      <c r="Y310" s="9">
        <v>1</v>
      </c>
      <c r="Z310" s="9">
        <v>1</v>
      </c>
      <c r="AA310" s="9">
        <v>1</v>
      </c>
      <c r="AB310" s="9">
        <v>1</v>
      </c>
      <c r="AC310" s="9">
        <v>1</v>
      </c>
      <c r="AD310" s="9">
        <v>1</v>
      </c>
      <c r="AE310" s="9">
        <v>1</v>
      </c>
      <c r="AF310" s="9">
        <v>1</v>
      </c>
      <c r="AG310" s="9">
        <v>1</v>
      </c>
      <c r="AH310" s="9">
        <v>1</v>
      </c>
      <c r="AI310" s="9">
        <v>1</v>
      </c>
      <c r="AJ310" s="9">
        <v>1</v>
      </c>
      <c r="AK310" s="9">
        <v>1</v>
      </c>
      <c r="AL310" s="9">
        <v>1</v>
      </c>
      <c r="AM310" s="9">
        <v>1</v>
      </c>
      <c r="AN310" s="9">
        <v>1</v>
      </c>
      <c r="AO310" s="9">
        <v>1</v>
      </c>
      <c r="AP310" s="9">
        <v>1</v>
      </c>
      <c r="AQ310" s="9">
        <v>1</v>
      </c>
      <c r="AR310" s="9">
        <v>1</v>
      </c>
      <c r="AS310" s="9">
        <v>1</v>
      </c>
      <c r="AT310" s="9">
        <v>1</v>
      </c>
      <c r="AU310" s="9">
        <v>1</v>
      </c>
      <c r="AV310" s="9">
        <v>1</v>
      </c>
      <c r="AW310" s="9">
        <v>1</v>
      </c>
      <c r="AX310" s="9">
        <v>1</v>
      </c>
      <c r="AY310" s="9">
        <v>1</v>
      </c>
      <c r="AZ310" s="9">
        <v>1</v>
      </c>
      <c r="BA310" s="9">
        <v>1</v>
      </c>
      <c r="BB310" s="9">
        <v>1</v>
      </c>
      <c r="BC310" s="9">
        <v>1</v>
      </c>
      <c r="BD310" s="9">
        <v>1</v>
      </c>
      <c r="BE310" s="9">
        <v>1</v>
      </c>
      <c r="BF310" s="9">
        <v>1</v>
      </c>
      <c r="BG310" s="9">
        <v>1</v>
      </c>
      <c r="BH310" s="9">
        <v>1</v>
      </c>
      <c r="BI310" s="9">
        <v>1</v>
      </c>
      <c r="BJ310" s="9">
        <v>1</v>
      </c>
      <c r="BK310" s="9">
        <v>1</v>
      </c>
      <c r="BL310" s="9">
        <v>1</v>
      </c>
      <c r="BM310" s="9">
        <v>1</v>
      </c>
      <c r="BN310" s="9">
        <v>1</v>
      </c>
      <c r="BO310" s="9">
        <v>1</v>
      </c>
      <c r="BP310" s="9">
        <v>1</v>
      </c>
      <c r="BQ310" s="9">
        <v>1</v>
      </c>
      <c r="BR310" s="9">
        <v>1</v>
      </c>
      <c r="BS310" s="9">
        <v>1</v>
      </c>
      <c r="BT310" s="9">
        <v>1</v>
      </c>
      <c r="BU310" s="9">
        <v>1</v>
      </c>
      <c r="BV310" s="9">
        <v>1</v>
      </c>
      <c r="BW310" s="9">
        <v>1</v>
      </c>
      <c r="BX310" s="9">
        <v>1</v>
      </c>
    </row>
    <row r="311" spans="1:76">
      <c r="A311" s="3" t="s">
        <v>66</v>
      </c>
      <c r="B311" t="s">
        <v>4085</v>
      </c>
      <c r="D311" t="s">
        <v>4967</v>
      </c>
      <c r="F311" s="91" t="s">
        <v>4973</v>
      </c>
      <c r="H311" s="3" t="s">
        <v>4984</v>
      </c>
      <c r="I311" s="3"/>
      <c r="J311" s="124"/>
      <c r="K311" s="124"/>
      <c r="M311" s="124"/>
      <c r="V311" s="9">
        <v>1</v>
      </c>
      <c r="W311" s="9">
        <v>1</v>
      </c>
      <c r="X311" s="10">
        <v>1</v>
      </c>
      <c r="Y311" s="9">
        <v>1</v>
      </c>
      <c r="Z311" s="9">
        <v>1</v>
      </c>
      <c r="AA311" s="9">
        <v>1</v>
      </c>
      <c r="AB311" s="9">
        <v>1</v>
      </c>
      <c r="AC311" s="9">
        <v>1</v>
      </c>
      <c r="AD311" s="9">
        <v>1</v>
      </c>
      <c r="AE311" s="9">
        <v>1</v>
      </c>
      <c r="AF311" s="9">
        <v>1</v>
      </c>
      <c r="AG311" s="9">
        <v>1</v>
      </c>
      <c r="AH311" s="9">
        <v>1</v>
      </c>
      <c r="AI311" s="9">
        <v>1</v>
      </c>
      <c r="AJ311" s="9">
        <v>1</v>
      </c>
      <c r="AK311" s="9">
        <v>1</v>
      </c>
      <c r="AL311" s="9">
        <v>1</v>
      </c>
      <c r="AM311" s="9">
        <v>1</v>
      </c>
      <c r="AN311" s="9">
        <v>1</v>
      </c>
      <c r="AO311" s="9">
        <v>1</v>
      </c>
      <c r="AP311" s="9">
        <v>1</v>
      </c>
      <c r="AQ311" s="9">
        <v>1</v>
      </c>
      <c r="AR311" s="9">
        <v>1</v>
      </c>
      <c r="AS311" s="9">
        <v>1</v>
      </c>
      <c r="AT311" s="9">
        <v>1</v>
      </c>
      <c r="AU311" s="9">
        <v>1</v>
      </c>
      <c r="AV311" s="9">
        <v>1</v>
      </c>
      <c r="AW311" s="9">
        <v>1</v>
      </c>
      <c r="AX311" s="9">
        <v>1</v>
      </c>
      <c r="AY311" s="9">
        <v>1</v>
      </c>
      <c r="AZ311" s="9">
        <v>1</v>
      </c>
      <c r="BA311" s="9">
        <v>1</v>
      </c>
      <c r="BB311" s="9">
        <v>1</v>
      </c>
      <c r="BC311" s="9">
        <v>1</v>
      </c>
      <c r="BD311" s="9">
        <v>1</v>
      </c>
      <c r="BE311" s="9">
        <v>1</v>
      </c>
      <c r="BF311" s="9">
        <v>1</v>
      </c>
      <c r="BG311" s="9">
        <v>1</v>
      </c>
      <c r="BH311" s="9">
        <v>1</v>
      </c>
      <c r="BI311" s="9">
        <v>1</v>
      </c>
      <c r="BJ311" s="9">
        <v>1</v>
      </c>
      <c r="BK311" s="9">
        <v>1</v>
      </c>
      <c r="BL311" s="9">
        <v>1</v>
      </c>
      <c r="BM311" s="9">
        <v>1</v>
      </c>
      <c r="BN311" s="9">
        <v>1</v>
      </c>
      <c r="BO311" s="9">
        <v>1</v>
      </c>
      <c r="BP311" s="9">
        <v>1</v>
      </c>
      <c r="BQ311" s="9">
        <v>1</v>
      </c>
      <c r="BR311" s="9">
        <v>1</v>
      </c>
      <c r="BS311" s="9">
        <v>1</v>
      </c>
      <c r="BT311" s="9">
        <v>1</v>
      </c>
      <c r="BU311" s="9">
        <v>1</v>
      </c>
      <c r="BV311" s="9">
        <v>1</v>
      </c>
      <c r="BW311" s="9">
        <v>1</v>
      </c>
      <c r="BX311" s="9">
        <v>1</v>
      </c>
    </row>
    <row r="312" spans="1:76">
      <c r="A312" s="3" t="s">
        <v>66</v>
      </c>
      <c r="B312" t="s">
        <v>4087</v>
      </c>
      <c r="D312" t="s">
        <v>4967</v>
      </c>
      <c r="F312" s="91" t="s">
        <v>4973</v>
      </c>
      <c r="H312" s="3" t="s">
        <v>4984</v>
      </c>
      <c r="I312" s="3"/>
      <c r="J312" s="124"/>
      <c r="K312" s="124"/>
      <c r="M312" s="124"/>
      <c r="V312" s="9">
        <v>1</v>
      </c>
      <c r="W312" s="9">
        <v>1</v>
      </c>
      <c r="X312" s="10">
        <v>1</v>
      </c>
      <c r="Y312" s="9">
        <v>1</v>
      </c>
      <c r="Z312" s="9">
        <v>1</v>
      </c>
      <c r="AA312" s="9">
        <v>1</v>
      </c>
      <c r="AB312" s="9">
        <v>1</v>
      </c>
      <c r="AC312" s="9">
        <v>1</v>
      </c>
      <c r="AD312" s="9">
        <v>1</v>
      </c>
      <c r="AE312" s="9">
        <v>1</v>
      </c>
      <c r="AF312" s="9">
        <v>1</v>
      </c>
      <c r="AG312" s="9">
        <v>1</v>
      </c>
      <c r="AH312" s="9">
        <v>1</v>
      </c>
      <c r="AI312" s="9">
        <v>1</v>
      </c>
      <c r="AJ312" s="9">
        <v>1</v>
      </c>
      <c r="AK312" s="9">
        <v>1</v>
      </c>
      <c r="AL312" s="9">
        <v>1</v>
      </c>
      <c r="AM312" s="9">
        <v>1</v>
      </c>
      <c r="AN312" s="9">
        <v>1</v>
      </c>
      <c r="AO312" s="9">
        <v>1</v>
      </c>
      <c r="AP312" s="9">
        <v>1</v>
      </c>
      <c r="AQ312" s="9">
        <v>1</v>
      </c>
      <c r="AR312" s="9">
        <v>1</v>
      </c>
      <c r="AS312" s="9">
        <v>1</v>
      </c>
      <c r="AT312" s="9">
        <v>1</v>
      </c>
      <c r="AU312" s="9">
        <v>1</v>
      </c>
      <c r="AV312" s="9">
        <v>1</v>
      </c>
      <c r="AW312" s="9">
        <v>1</v>
      </c>
      <c r="AX312" s="9">
        <v>1</v>
      </c>
      <c r="AY312" s="9">
        <v>1</v>
      </c>
      <c r="AZ312" s="9">
        <v>1</v>
      </c>
      <c r="BA312" s="9">
        <v>1</v>
      </c>
      <c r="BB312" s="9">
        <v>1</v>
      </c>
      <c r="BC312" s="9">
        <v>1</v>
      </c>
      <c r="BD312" s="9">
        <v>1</v>
      </c>
      <c r="BE312" s="9">
        <v>1</v>
      </c>
      <c r="BF312" s="9">
        <v>1</v>
      </c>
      <c r="BG312" s="9">
        <v>1</v>
      </c>
      <c r="BH312" s="9">
        <v>1</v>
      </c>
      <c r="BI312" s="9">
        <v>1</v>
      </c>
      <c r="BJ312" s="9">
        <v>1</v>
      </c>
      <c r="BK312" s="9">
        <v>1</v>
      </c>
      <c r="BL312" s="9">
        <v>1</v>
      </c>
      <c r="BM312" s="9">
        <v>1</v>
      </c>
      <c r="BN312" s="9">
        <v>1</v>
      </c>
      <c r="BO312" s="9">
        <v>1</v>
      </c>
      <c r="BP312" s="9">
        <v>1</v>
      </c>
      <c r="BQ312" s="9">
        <v>1</v>
      </c>
      <c r="BR312" s="9">
        <v>1</v>
      </c>
      <c r="BS312" s="9">
        <v>1</v>
      </c>
      <c r="BT312" s="9">
        <v>1</v>
      </c>
      <c r="BU312" s="9">
        <v>1</v>
      </c>
      <c r="BV312" s="9">
        <v>1</v>
      </c>
      <c r="BW312" s="9">
        <v>1</v>
      </c>
      <c r="BX312" s="9">
        <v>1</v>
      </c>
    </row>
    <row r="313" spans="1:76">
      <c r="A313" s="3" t="s">
        <v>66</v>
      </c>
      <c r="B313" t="s">
        <v>4089</v>
      </c>
      <c r="D313" t="s">
        <v>4967</v>
      </c>
      <c r="F313" s="91" t="s">
        <v>4973</v>
      </c>
      <c r="H313" s="3" t="s">
        <v>4984</v>
      </c>
      <c r="I313" s="3"/>
      <c r="J313" s="124"/>
      <c r="K313" s="124"/>
      <c r="M313" s="124"/>
      <c r="V313" s="9">
        <v>1</v>
      </c>
      <c r="W313" s="9">
        <v>1</v>
      </c>
      <c r="X313" s="10">
        <v>1</v>
      </c>
      <c r="Y313" s="9">
        <v>1</v>
      </c>
      <c r="Z313" s="9">
        <v>1</v>
      </c>
      <c r="AA313" s="9">
        <v>1</v>
      </c>
      <c r="AB313" s="9">
        <v>1</v>
      </c>
      <c r="AC313" s="9">
        <v>1</v>
      </c>
      <c r="AD313" s="9">
        <v>1</v>
      </c>
      <c r="AE313" s="9">
        <v>1</v>
      </c>
      <c r="AF313" s="9">
        <v>1</v>
      </c>
      <c r="AG313" s="9">
        <v>1</v>
      </c>
      <c r="AH313" s="9">
        <v>1</v>
      </c>
      <c r="AI313" s="9">
        <v>1</v>
      </c>
      <c r="AJ313" s="9">
        <v>1</v>
      </c>
      <c r="AK313" s="9">
        <v>1</v>
      </c>
      <c r="AL313" s="9">
        <v>1</v>
      </c>
      <c r="AM313" s="9">
        <v>1</v>
      </c>
      <c r="AN313" s="9">
        <v>1</v>
      </c>
      <c r="AO313" s="9">
        <v>1</v>
      </c>
      <c r="AP313" s="9">
        <v>1</v>
      </c>
      <c r="AQ313" s="9">
        <v>1</v>
      </c>
      <c r="AR313" s="9">
        <v>1</v>
      </c>
      <c r="AS313" s="9">
        <v>1</v>
      </c>
      <c r="AT313" s="9">
        <v>1</v>
      </c>
      <c r="AU313" s="9">
        <v>1</v>
      </c>
      <c r="AV313" s="9">
        <v>1</v>
      </c>
      <c r="AW313" s="9">
        <v>1</v>
      </c>
      <c r="AX313" s="9">
        <v>1</v>
      </c>
      <c r="AY313" s="9">
        <v>1</v>
      </c>
      <c r="AZ313" s="9">
        <v>1</v>
      </c>
      <c r="BA313" s="9">
        <v>1</v>
      </c>
      <c r="BB313" s="9">
        <v>1</v>
      </c>
      <c r="BC313" s="9">
        <v>1</v>
      </c>
      <c r="BD313" s="9">
        <v>1</v>
      </c>
      <c r="BE313" s="9">
        <v>1</v>
      </c>
      <c r="BF313" s="9">
        <v>1</v>
      </c>
      <c r="BG313" s="9">
        <v>1</v>
      </c>
      <c r="BH313" s="9">
        <v>1</v>
      </c>
      <c r="BI313" s="9">
        <v>1</v>
      </c>
      <c r="BJ313" s="9">
        <v>1</v>
      </c>
      <c r="BK313" s="9">
        <v>1</v>
      </c>
      <c r="BL313" s="9">
        <v>1</v>
      </c>
      <c r="BM313" s="9">
        <v>1</v>
      </c>
      <c r="BN313" s="9">
        <v>1</v>
      </c>
      <c r="BO313" s="9">
        <v>1</v>
      </c>
      <c r="BP313" s="9">
        <v>1</v>
      </c>
      <c r="BQ313" s="9">
        <v>1</v>
      </c>
      <c r="BR313" s="9">
        <v>1</v>
      </c>
      <c r="BS313" s="9">
        <v>1</v>
      </c>
      <c r="BT313" s="9">
        <v>1</v>
      </c>
      <c r="BU313" s="9">
        <v>1</v>
      </c>
      <c r="BV313" s="9">
        <v>1</v>
      </c>
      <c r="BW313" s="9">
        <v>1</v>
      </c>
      <c r="BX313" s="9">
        <v>1</v>
      </c>
    </row>
    <row r="314" spans="1:76">
      <c r="A314" s="3" t="s">
        <v>66</v>
      </c>
      <c r="B314" t="s">
        <v>4091</v>
      </c>
      <c r="D314" t="s">
        <v>4967</v>
      </c>
      <c r="F314" s="91" t="s">
        <v>4973</v>
      </c>
      <c r="H314" s="3" t="s">
        <v>4984</v>
      </c>
      <c r="I314" s="3"/>
      <c r="J314" s="124"/>
      <c r="K314" s="124"/>
      <c r="M314" s="124"/>
      <c r="V314" s="9">
        <v>1</v>
      </c>
      <c r="W314" s="9">
        <v>1</v>
      </c>
      <c r="X314" s="10">
        <v>1</v>
      </c>
      <c r="Y314" s="9">
        <v>1</v>
      </c>
      <c r="Z314" s="9">
        <v>1</v>
      </c>
      <c r="AA314" s="9">
        <v>1</v>
      </c>
      <c r="AB314" s="9">
        <v>1</v>
      </c>
      <c r="AC314" s="9">
        <v>1</v>
      </c>
      <c r="AD314" s="9">
        <v>1</v>
      </c>
      <c r="AE314" s="9">
        <v>1</v>
      </c>
      <c r="AF314" s="9">
        <v>1</v>
      </c>
      <c r="AG314" s="9">
        <v>1</v>
      </c>
      <c r="AH314" s="9">
        <v>1</v>
      </c>
      <c r="AI314" s="9">
        <v>1</v>
      </c>
      <c r="AJ314" s="9">
        <v>1</v>
      </c>
      <c r="AK314" s="9">
        <v>1</v>
      </c>
      <c r="AL314" s="9">
        <v>1</v>
      </c>
      <c r="AM314" s="9">
        <v>1</v>
      </c>
      <c r="AN314" s="9">
        <v>1</v>
      </c>
      <c r="AO314" s="9">
        <v>1</v>
      </c>
      <c r="AP314" s="9">
        <v>1</v>
      </c>
      <c r="AQ314" s="9">
        <v>1</v>
      </c>
      <c r="AR314" s="9">
        <v>1</v>
      </c>
      <c r="AS314" s="9">
        <v>1</v>
      </c>
      <c r="AT314" s="9">
        <v>1</v>
      </c>
      <c r="AU314" s="9">
        <v>1</v>
      </c>
      <c r="AV314" s="9">
        <v>1</v>
      </c>
      <c r="AW314" s="9">
        <v>1</v>
      </c>
      <c r="AX314" s="9">
        <v>1</v>
      </c>
      <c r="AY314" s="9">
        <v>1</v>
      </c>
      <c r="AZ314" s="9">
        <v>1</v>
      </c>
      <c r="BA314" s="9">
        <v>1</v>
      </c>
      <c r="BB314" s="9">
        <v>1</v>
      </c>
      <c r="BC314" s="9">
        <v>1</v>
      </c>
      <c r="BD314" s="9">
        <v>1</v>
      </c>
      <c r="BE314" s="9">
        <v>1</v>
      </c>
      <c r="BF314" s="9">
        <v>1</v>
      </c>
      <c r="BG314" s="9">
        <v>1</v>
      </c>
      <c r="BH314" s="9">
        <v>1</v>
      </c>
      <c r="BI314" s="9">
        <v>1</v>
      </c>
      <c r="BJ314" s="9">
        <v>1</v>
      </c>
      <c r="BK314" s="9">
        <v>1</v>
      </c>
      <c r="BL314" s="9">
        <v>1</v>
      </c>
      <c r="BM314" s="9">
        <v>1</v>
      </c>
      <c r="BN314" s="9">
        <v>1</v>
      </c>
      <c r="BO314" s="9">
        <v>1</v>
      </c>
      <c r="BP314" s="9">
        <v>1</v>
      </c>
      <c r="BQ314" s="9">
        <v>1</v>
      </c>
      <c r="BR314" s="9">
        <v>1</v>
      </c>
      <c r="BS314" s="9">
        <v>1</v>
      </c>
      <c r="BT314" s="9">
        <v>1</v>
      </c>
      <c r="BU314" s="9">
        <v>1</v>
      </c>
      <c r="BV314" s="9">
        <v>1</v>
      </c>
      <c r="BW314" s="9">
        <v>1</v>
      </c>
      <c r="BX314" s="9">
        <v>1</v>
      </c>
    </row>
    <row r="315" spans="1:76">
      <c r="A315" s="3" t="s">
        <v>66</v>
      </c>
      <c r="B315" t="s">
        <v>4093</v>
      </c>
      <c r="D315" t="s">
        <v>4967</v>
      </c>
      <c r="F315" s="91" t="s">
        <v>4973</v>
      </c>
      <c r="H315" s="3" t="s">
        <v>4984</v>
      </c>
      <c r="I315" s="3"/>
      <c r="J315" s="124"/>
      <c r="K315" s="124"/>
      <c r="M315" s="124"/>
      <c r="V315" s="9">
        <v>1</v>
      </c>
      <c r="W315" s="9">
        <v>1</v>
      </c>
      <c r="X315" s="10">
        <v>1</v>
      </c>
      <c r="Y315" s="9">
        <v>1</v>
      </c>
      <c r="Z315" s="9">
        <v>1</v>
      </c>
      <c r="AA315" s="9">
        <v>1</v>
      </c>
      <c r="AB315" s="9">
        <v>1</v>
      </c>
      <c r="AC315" s="9">
        <v>1</v>
      </c>
      <c r="AD315" s="9">
        <v>1</v>
      </c>
      <c r="AE315" s="9">
        <v>1</v>
      </c>
      <c r="AF315" s="9">
        <v>1</v>
      </c>
      <c r="AG315" s="9">
        <v>1</v>
      </c>
      <c r="AH315" s="9">
        <v>1</v>
      </c>
      <c r="AI315" s="9">
        <v>1</v>
      </c>
      <c r="AJ315" s="9">
        <v>1</v>
      </c>
      <c r="AK315" s="9">
        <v>1</v>
      </c>
      <c r="AL315" s="9">
        <v>1</v>
      </c>
      <c r="AM315" s="9">
        <v>1</v>
      </c>
      <c r="AN315" s="9">
        <v>1</v>
      </c>
      <c r="AO315" s="9">
        <v>1</v>
      </c>
      <c r="AP315" s="9">
        <v>1</v>
      </c>
      <c r="AQ315" s="9">
        <v>1</v>
      </c>
      <c r="AR315" s="9">
        <v>1</v>
      </c>
      <c r="AS315" s="9">
        <v>1</v>
      </c>
      <c r="AT315" s="9">
        <v>1</v>
      </c>
      <c r="AU315" s="9">
        <v>1</v>
      </c>
      <c r="AV315" s="9">
        <v>1</v>
      </c>
      <c r="AW315" s="9">
        <v>1</v>
      </c>
      <c r="AX315" s="9">
        <v>1</v>
      </c>
      <c r="AY315" s="9">
        <v>1</v>
      </c>
      <c r="AZ315" s="9">
        <v>1</v>
      </c>
      <c r="BA315" s="9">
        <v>1</v>
      </c>
      <c r="BB315" s="9">
        <v>1</v>
      </c>
      <c r="BC315" s="9">
        <v>1</v>
      </c>
      <c r="BD315" s="9">
        <v>1</v>
      </c>
      <c r="BE315" s="9">
        <v>1</v>
      </c>
      <c r="BF315" s="9">
        <v>1</v>
      </c>
      <c r="BG315" s="9">
        <v>1</v>
      </c>
      <c r="BH315" s="9">
        <v>1</v>
      </c>
      <c r="BI315" s="9">
        <v>1</v>
      </c>
      <c r="BJ315" s="9">
        <v>1</v>
      </c>
      <c r="BK315" s="9">
        <v>1</v>
      </c>
      <c r="BL315" s="9">
        <v>1</v>
      </c>
      <c r="BM315" s="9">
        <v>1</v>
      </c>
      <c r="BN315" s="9">
        <v>1</v>
      </c>
      <c r="BO315" s="9">
        <v>1</v>
      </c>
      <c r="BP315" s="9">
        <v>1</v>
      </c>
      <c r="BQ315" s="9">
        <v>1</v>
      </c>
      <c r="BR315" s="9">
        <v>1</v>
      </c>
      <c r="BS315" s="9">
        <v>1</v>
      </c>
      <c r="BT315" s="9">
        <v>1</v>
      </c>
      <c r="BU315" s="9">
        <v>1</v>
      </c>
      <c r="BV315" s="9">
        <v>1</v>
      </c>
      <c r="BW315" s="9">
        <v>1</v>
      </c>
      <c r="BX315" s="9">
        <v>1</v>
      </c>
    </row>
    <row r="316" spans="1:76">
      <c r="A316" s="3" t="s">
        <v>66</v>
      </c>
      <c r="B316" t="s">
        <v>4095</v>
      </c>
      <c r="D316" t="s">
        <v>4967</v>
      </c>
      <c r="F316" s="91" t="s">
        <v>4973</v>
      </c>
      <c r="H316" s="3" t="s">
        <v>4984</v>
      </c>
      <c r="I316" s="3"/>
      <c r="J316" s="124"/>
      <c r="K316" s="124"/>
      <c r="M316" s="124"/>
      <c r="V316" s="9">
        <v>1</v>
      </c>
      <c r="W316" s="9">
        <v>1</v>
      </c>
      <c r="X316" s="10">
        <v>1</v>
      </c>
      <c r="Y316" s="9">
        <v>1</v>
      </c>
      <c r="Z316" s="9">
        <v>1</v>
      </c>
      <c r="AA316" s="9">
        <v>1</v>
      </c>
      <c r="AB316" s="9">
        <v>1</v>
      </c>
      <c r="AC316" s="9">
        <v>1</v>
      </c>
      <c r="AD316" s="9">
        <v>1</v>
      </c>
      <c r="AE316" s="9">
        <v>1</v>
      </c>
      <c r="AF316" s="9">
        <v>1</v>
      </c>
      <c r="AG316" s="9">
        <v>1</v>
      </c>
      <c r="AH316" s="9">
        <v>1</v>
      </c>
      <c r="AI316" s="9">
        <v>1</v>
      </c>
      <c r="AJ316" s="9">
        <v>1</v>
      </c>
      <c r="AK316" s="9">
        <v>1</v>
      </c>
      <c r="AL316" s="9">
        <v>1</v>
      </c>
      <c r="AM316" s="9">
        <v>1</v>
      </c>
      <c r="AN316" s="9">
        <v>1</v>
      </c>
      <c r="AO316" s="9">
        <v>1</v>
      </c>
      <c r="AP316" s="9">
        <v>1</v>
      </c>
      <c r="AQ316" s="9">
        <v>1</v>
      </c>
      <c r="AR316" s="9">
        <v>1</v>
      </c>
      <c r="AS316" s="9">
        <v>1</v>
      </c>
      <c r="AT316" s="9">
        <v>1</v>
      </c>
      <c r="AU316" s="9">
        <v>1</v>
      </c>
      <c r="AV316" s="9">
        <v>1</v>
      </c>
      <c r="AW316" s="9">
        <v>1</v>
      </c>
      <c r="AX316" s="9">
        <v>1</v>
      </c>
      <c r="AY316" s="9">
        <v>1</v>
      </c>
      <c r="AZ316" s="9">
        <v>1</v>
      </c>
      <c r="BA316" s="9">
        <v>1</v>
      </c>
      <c r="BB316" s="9">
        <v>1</v>
      </c>
      <c r="BC316" s="9">
        <v>1</v>
      </c>
      <c r="BD316" s="9">
        <v>1</v>
      </c>
      <c r="BE316" s="9">
        <v>1</v>
      </c>
      <c r="BF316" s="9">
        <v>1</v>
      </c>
      <c r="BG316" s="9">
        <v>1</v>
      </c>
      <c r="BH316" s="9">
        <v>1</v>
      </c>
      <c r="BI316" s="9">
        <v>1</v>
      </c>
      <c r="BJ316" s="9">
        <v>1</v>
      </c>
      <c r="BK316" s="9">
        <v>1</v>
      </c>
      <c r="BL316" s="9">
        <v>1</v>
      </c>
      <c r="BM316" s="9">
        <v>1</v>
      </c>
      <c r="BN316" s="9">
        <v>1</v>
      </c>
      <c r="BO316" s="9">
        <v>1</v>
      </c>
      <c r="BP316" s="9">
        <v>1</v>
      </c>
      <c r="BQ316" s="9">
        <v>1</v>
      </c>
      <c r="BR316" s="9">
        <v>1</v>
      </c>
      <c r="BS316" s="9">
        <v>1</v>
      </c>
      <c r="BT316" s="9">
        <v>1</v>
      </c>
      <c r="BU316" s="9">
        <v>1</v>
      </c>
      <c r="BV316" s="9">
        <v>1</v>
      </c>
      <c r="BW316" s="9">
        <v>1</v>
      </c>
      <c r="BX316" s="9">
        <v>1</v>
      </c>
    </row>
    <row r="317" spans="1:76">
      <c r="A317" s="3" t="s">
        <v>66</v>
      </c>
      <c r="B317" t="s">
        <v>4097</v>
      </c>
      <c r="D317" t="s">
        <v>4967</v>
      </c>
      <c r="F317" s="91" t="s">
        <v>4973</v>
      </c>
      <c r="H317" s="3" t="s">
        <v>4984</v>
      </c>
      <c r="I317" s="3"/>
      <c r="J317" s="124"/>
      <c r="K317" s="124"/>
      <c r="M317" s="124"/>
      <c r="V317" s="9">
        <v>1</v>
      </c>
      <c r="W317" s="9">
        <v>1</v>
      </c>
      <c r="X317" s="10">
        <v>1</v>
      </c>
      <c r="Y317" s="9">
        <v>1</v>
      </c>
      <c r="Z317" s="9">
        <v>1</v>
      </c>
      <c r="AA317" s="9">
        <v>1</v>
      </c>
      <c r="AB317" s="9">
        <v>1</v>
      </c>
      <c r="AC317" s="9">
        <v>1</v>
      </c>
      <c r="AD317" s="9">
        <v>1</v>
      </c>
      <c r="AE317" s="9">
        <v>1</v>
      </c>
      <c r="AF317" s="9">
        <v>1</v>
      </c>
      <c r="AG317" s="9">
        <v>1</v>
      </c>
      <c r="AH317" s="9">
        <v>1</v>
      </c>
      <c r="AI317" s="9">
        <v>1</v>
      </c>
      <c r="AJ317" s="9">
        <v>1</v>
      </c>
      <c r="AK317" s="9">
        <v>1</v>
      </c>
      <c r="AL317" s="9">
        <v>1</v>
      </c>
      <c r="AM317" s="9">
        <v>1</v>
      </c>
      <c r="AN317" s="9">
        <v>1</v>
      </c>
      <c r="AO317" s="9">
        <v>1</v>
      </c>
      <c r="AP317" s="9">
        <v>1</v>
      </c>
      <c r="AQ317" s="9">
        <v>1</v>
      </c>
      <c r="AR317" s="9">
        <v>1</v>
      </c>
      <c r="AS317" s="9">
        <v>1</v>
      </c>
      <c r="AT317" s="9">
        <v>1</v>
      </c>
      <c r="AU317" s="9">
        <v>1</v>
      </c>
      <c r="AV317" s="9">
        <v>1</v>
      </c>
      <c r="AW317" s="9">
        <v>1</v>
      </c>
      <c r="AX317" s="9">
        <v>1</v>
      </c>
      <c r="AY317" s="9">
        <v>1</v>
      </c>
      <c r="AZ317" s="9">
        <v>1</v>
      </c>
      <c r="BA317" s="9">
        <v>1</v>
      </c>
      <c r="BB317" s="9">
        <v>1</v>
      </c>
      <c r="BC317" s="9">
        <v>1</v>
      </c>
      <c r="BD317" s="9">
        <v>1</v>
      </c>
      <c r="BE317" s="9">
        <v>1</v>
      </c>
      <c r="BF317" s="9">
        <v>1</v>
      </c>
      <c r="BG317" s="9">
        <v>1</v>
      </c>
      <c r="BH317" s="9">
        <v>1</v>
      </c>
      <c r="BI317" s="9">
        <v>1</v>
      </c>
      <c r="BJ317" s="9">
        <v>1</v>
      </c>
      <c r="BK317" s="9">
        <v>1</v>
      </c>
      <c r="BL317" s="9">
        <v>1</v>
      </c>
      <c r="BM317" s="9">
        <v>1</v>
      </c>
      <c r="BN317" s="9">
        <v>1</v>
      </c>
      <c r="BO317" s="9">
        <v>1</v>
      </c>
      <c r="BP317" s="9">
        <v>1</v>
      </c>
      <c r="BQ317" s="9">
        <v>1</v>
      </c>
      <c r="BR317" s="9">
        <v>1</v>
      </c>
      <c r="BS317" s="9">
        <v>1</v>
      </c>
      <c r="BT317" s="9">
        <v>1</v>
      </c>
      <c r="BU317" s="9">
        <v>1</v>
      </c>
      <c r="BV317" s="9">
        <v>1</v>
      </c>
      <c r="BW317" s="9">
        <v>1</v>
      </c>
      <c r="BX317" s="9">
        <v>1</v>
      </c>
    </row>
    <row r="318" spans="1:76">
      <c r="A318" s="3" t="s">
        <v>66</v>
      </c>
      <c r="B318" t="s">
        <v>4099</v>
      </c>
      <c r="D318" t="s">
        <v>4967</v>
      </c>
      <c r="F318" s="91" t="s">
        <v>4973</v>
      </c>
      <c r="H318" s="3" t="s">
        <v>4984</v>
      </c>
      <c r="I318" s="3"/>
      <c r="J318" s="124"/>
      <c r="K318" s="124"/>
      <c r="M318" s="124"/>
      <c r="V318" s="9">
        <v>1</v>
      </c>
      <c r="W318" s="9">
        <v>1</v>
      </c>
      <c r="X318" s="10">
        <v>1</v>
      </c>
      <c r="Y318" s="9">
        <v>1</v>
      </c>
      <c r="Z318" s="9">
        <v>1</v>
      </c>
      <c r="AA318" s="9">
        <v>1</v>
      </c>
      <c r="AB318" s="9">
        <v>1</v>
      </c>
      <c r="AC318" s="9">
        <v>1</v>
      </c>
      <c r="AD318" s="9">
        <v>1</v>
      </c>
      <c r="AE318" s="9">
        <v>1</v>
      </c>
      <c r="AF318" s="9">
        <v>1</v>
      </c>
      <c r="AG318" s="9">
        <v>1</v>
      </c>
      <c r="AH318" s="9">
        <v>1</v>
      </c>
      <c r="AI318" s="9">
        <v>1</v>
      </c>
      <c r="AJ318" s="9">
        <v>1</v>
      </c>
      <c r="AK318" s="9">
        <v>1</v>
      </c>
      <c r="AL318" s="9">
        <v>1</v>
      </c>
      <c r="AM318" s="9">
        <v>1</v>
      </c>
      <c r="AN318" s="9">
        <v>1</v>
      </c>
      <c r="AO318" s="9">
        <v>1</v>
      </c>
      <c r="AP318" s="9">
        <v>1</v>
      </c>
      <c r="AQ318" s="9">
        <v>1</v>
      </c>
      <c r="AR318" s="9">
        <v>1</v>
      </c>
      <c r="AS318" s="9">
        <v>1</v>
      </c>
      <c r="AT318" s="9">
        <v>1</v>
      </c>
      <c r="AU318" s="9">
        <v>1</v>
      </c>
      <c r="AV318" s="9">
        <v>1</v>
      </c>
      <c r="AW318" s="9">
        <v>1</v>
      </c>
      <c r="AX318" s="9">
        <v>1</v>
      </c>
      <c r="AY318" s="9">
        <v>1</v>
      </c>
      <c r="AZ318" s="9">
        <v>1</v>
      </c>
      <c r="BA318" s="9">
        <v>1</v>
      </c>
      <c r="BB318" s="9">
        <v>1</v>
      </c>
      <c r="BC318" s="9">
        <v>1</v>
      </c>
      <c r="BD318" s="9">
        <v>1</v>
      </c>
      <c r="BE318" s="9">
        <v>1</v>
      </c>
      <c r="BF318" s="9">
        <v>1</v>
      </c>
      <c r="BG318" s="9">
        <v>1</v>
      </c>
      <c r="BH318" s="9">
        <v>1</v>
      </c>
      <c r="BI318" s="9">
        <v>1</v>
      </c>
      <c r="BJ318" s="9">
        <v>1</v>
      </c>
      <c r="BK318" s="9">
        <v>1</v>
      </c>
      <c r="BL318" s="9">
        <v>1</v>
      </c>
      <c r="BM318" s="9">
        <v>1</v>
      </c>
      <c r="BN318" s="9">
        <v>1</v>
      </c>
      <c r="BO318" s="9">
        <v>1</v>
      </c>
      <c r="BP318" s="9">
        <v>1</v>
      </c>
      <c r="BQ318" s="9">
        <v>1</v>
      </c>
      <c r="BR318" s="9">
        <v>1</v>
      </c>
      <c r="BS318" s="9">
        <v>1</v>
      </c>
      <c r="BT318" s="9">
        <v>1</v>
      </c>
      <c r="BU318" s="9">
        <v>1</v>
      </c>
      <c r="BV318" s="9">
        <v>1</v>
      </c>
      <c r="BW318" s="9">
        <v>1</v>
      </c>
      <c r="BX318" s="9">
        <v>1</v>
      </c>
    </row>
    <row r="319" spans="1:76">
      <c r="A319" s="3" t="s">
        <v>66</v>
      </c>
      <c r="B319" t="s">
        <v>4101</v>
      </c>
      <c r="D319" t="s">
        <v>4967</v>
      </c>
      <c r="F319" s="91" t="s">
        <v>4973</v>
      </c>
      <c r="H319" s="3" t="s">
        <v>4984</v>
      </c>
      <c r="I319" s="3"/>
      <c r="J319" s="124"/>
      <c r="K319" s="124"/>
      <c r="M319" s="124"/>
      <c r="V319" s="9">
        <v>1</v>
      </c>
      <c r="W319" s="9">
        <v>1</v>
      </c>
      <c r="X319" s="10">
        <v>1</v>
      </c>
      <c r="Y319" s="9">
        <v>1</v>
      </c>
      <c r="Z319" s="9">
        <v>1</v>
      </c>
      <c r="AA319" s="9">
        <v>1</v>
      </c>
      <c r="AB319" s="9">
        <v>1</v>
      </c>
      <c r="AC319" s="9">
        <v>1</v>
      </c>
      <c r="AD319" s="9">
        <v>1</v>
      </c>
      <c r="AE319" s="9">
        <v>1</v>
      </c>
      <c r="AF319" s="9">
        <v>1</v>
      </c>
      <c r="AG319" s="9">
        <v>1</v>
      </c>
      <c r="AH319" s="9">
        <v>1</v>
      </c>
      <c r="AI319" s="9">
        <v>1</v>
      </c>
      <c r="AJ319" s="9">
        <v>1</v>
      </c>
      <c r="AK319" s="9">
        <v>1</v>
      </c>
      <c r="AL319" s="9">
        <v>1</v>
      </c>
      <c r="AM319" s="9">
        <v>1</v>
      </c>
      <c r="AN319" s="9">
        <v>1</v>
      </c>
      <c r="AO319" s="9">
        <v>1</v>
      </c>
      <c r="AP319" s="9">
        <v>1</v>
      </c>
      <c r="AQ319" s="9">
        <v>1</v>
      </c>
      <c r="AR319" s="9">
        <v>1</v>
      </c>
      <c r="AS319" s="9">
        <v>1</v>
      </c>
      <c r="AT319" s="9">
        <v>1</v>
      </c>
      <c r="AU319" s="9">
        <v>1</v>
      </c>
      <c r="AV319" s="9">
        <v>1</v>
      </c>
      <c r="AW319" s="9">
        <v>1</v>
      </c>
      <c r="AX319" s="9">
        <v>1</v>
      </c>
      <c r="AY319" s="9">
        <v>1</v>
      </c>
      <c r="AZ319" s="9">
        <v>1</v>
      </c>
      <c r="BA319" s="9">
        <v>1</v>
      </c>
      <c r="BB319" s="9">
        <v>1</v>
      </c>
      <c r="BC319" s="9">
        <v>1</v>
      </c>
      <c r="BD319" s="9">
        <v>1</v>
      </c>
      <c r="BE319" s="9">
        <v>1</v>
      </c>
      <c r="BF319" s="9">
        <v>1</v>
      </c>
      <c r="BG319" s="9">
        <v>1</v>
      </c>
      <c r="BH319" s="9">
        <v>1</v>
      </c>
      <c r="BI319" s="9">
        <v>1</v>
      </c>
      <c r="BJ319" s="9">
        <v>1</v>
      </c>
      <c r="BK319" s="9">
        <v>1</v>
      </c>
      <c r="BL319" s="9">
        <v>1</v>
      </c>
      <c r="BM319" s="9">
        <v>1</v>
      </c>
      <c r="BN319" s="9">
        <v>1</v>
      </c>
      <c r="BO319" s="9">
        <v>1</v>
      </c>
      <c r="BP319" s="9">
        <v>1</v>
      </c>
      <c r="BQ319" s="9">
        <v>1</v>
      </c>
      <c r="BR319" s="9">
        <v>1</v>
      </c>
      <c r="BS319" s="9">
        <v>1</v>
      </c>
      <c r="BT319" s="9">
        <v>1</v>
      </c>
      <c r="BU319" s="9">
        <v>1</v>
      </c>
      <c r="BV319" s="9">
        <v>1</v>
      </c>
      <c r="BW319" s="9">
        <v>1</v>
      </c>
      <c r="BX319" s="9">
        <v>1</v>
      </c>
    </row>
    <row r="320" spans="1:76">
      <c r="A320" s="3" t="s">
        <v>66</v>
      </c>
      <c r="B320" t="s">
        <v>4103</v>
      </c>
      <c r="D320" t="s">
        <v>4967</v>
      </c>
      <c r="F320" s="91" t="s">
        <v>4973</v>
      </c>
      <c r="H320" s="3" t="s">
        <v>4984</v>
      </c>
      <c r="I320" s="3"/>
      <c r="J320" s="124"/>
      <c r="K320" s="124"/>
      <c r="M320" s="124"/>
      <c r="V320" s="9">
        <v>1</v>
      </c>
      <c r="W320" s="9">
        <v>1</v>
      </c>
      <c r="X320" s="10">
        <v>1</v>
      </c>
      <c r="Y320" s="9">
        <v>1</v>
      </c>
      <c r="Z320" s="9">
        <v>1</v>
      </c>
      <c r="AA320" s="9">
        <v>1</v>
      </c>
      <c r="AB320" s="9">
        <v>1</v>
      </c>
      <c r="AC320" s="9">
        <v>1</v>
      </c>
      <c r="AD320" s="9">
        <v>1</v>
      </c>
      <c r="AE320" s="9">
        <v>1</v>
      </c>
      <c r="AF320" s="9">
        <v>1</v>
      </c>
      <c r="AG320" s="9">
        <v>1</v>
      </c>
      <c r="AH320" s="9">
        <v>1</v>
      </c>
      <c r="AI320" s="9">
        <v>1</v>
      </c>
      <c r="AJ320" s="9">
        <v>1</v>
      </c>
      <c r="AK320" s="9">
        <v>1</v>
      </c>
      <c r="AL320" s="9">
        <v>1</v>
      </c>
      <c r="AM320" s="9">
        <v>1</v>
      </c>
      <c r="AN320" s="9">
        <v>1</v>
      </c>
      <c r="AO320" s="9">
        <v>1</v>
      </c>
      <c r="AP320" s="9">
        <v>1</v>
      </c>
      <c r="AQ320" s="9">
        <v>1</v>
      </c>
      <c r="AR320" s="9">
        <v>1</v>
      </c>
      <c r="AS320" s="9">
        <v>1</v>
      </c>
      <c r="AT320" s="9">
        <v>1</v>
      </c>
      <c r="AU320" s="9">
        <v>1</v>
      </c>
      <c r="AV320" s="9">
        <v>1</v>
      </c>
      <c r="AW320" s="9">
        <v>1</v>
      </c>
      <c r="AX320" s="9">
        <v>1</v>
      </c>
      <c r="AY320" s="9">
        <v>1</v>
      </c>
      <c r="AZ320" s="9">
        <v>1</v>
      </c>
      <c r="BA320" s="9">
        <v>1</v>
      </c>
      <c r="BB320" s="9">
        <v>1</v>
      </c>
      <c r="BC320" s="9">
        <v>1</v>
      </c>
      <c r="BD320" s="9">
        <v>1</v>
      </c>
      <c r="BE320" s="9">
        <v>1</v>
      </c>
      <c r="BF320" s="9">
        <v>1</v>
      </c>
      <c r="BG320" s="9">
        <v>1</v>
      </c>
      <c r="BH320" s="9">
        <v>1</v>
      </c>
      <c r="BI320" s="9">
        <v>1</v>
      </c>
      <c r="BJ320" s="9">
        <v>1</v>
      </c>
      <c r="BK320" s="9">
        <v>1</v>
      </c>
      <c r="BL320" s="9">
        <v>1</v>
      </c>
      <c r="BM320" s="9">
        <v>1</v>
      </c>
      <c r="BN320" s="9">
        <v>1</v>
      </c>
      <c r="BO320" s="9">
        <v>1</v>
      </c>
      <c r="BP320" s="9">
        <v>1</v>
      </c>
      <c r="BQ320" s="9">
        <v>1</v>
      </c>
      <c r="BR320" s="9">
        <v>1</v>
      </c>
      <c r="BS320" s="9">
        <v>1</v>
      </c>
      <c r="BT320" s="9">
        <v>1</v>
      </c>
      <c r="BU320" s="9">
        <v>1</v>
      </c>
      <c r="BV320" s="9">
        <v>1</v>
      </c>
      <c r="BW320" s="9">
        <v>1</v>
      </c>
      <c r="BX320" s="9">
        <v>1</v>
      </c>
    </row>
    <row r="321" spans="1:76">
      <c r="A321" s="3" t="s">
        <v>66</v>
      </c>
      <c r="B321" t="s">
        <v>4105</v>
      </c>
      <c r="D321" t="s">
        <v>4967</v>
      </c>
      <c r="F321" s="91" t="s">
        <v>4973</v>
      </c>
      <c r="H321" s="3" t="s">
        <v>4984</v>
      </c>
      <c r="I321" s="3"/>
      <c r="J321" s="124"/>
      <c r="K321" s="124"/>
      <c r="M321" s="124"/>
      <c r="V321" s="9">
        <v>1</v>
      </c>
      <c r="W321" s="9">
        <v>1</v>
      </c>
      <c r="X321" s="10">
        <v>1</v>
      </c>
      <c r="Y321" s="9">
        <v>1</v>
      </c>
      <c r="Z321" s="9">
        <v>1</v>
      </c>
      <c r="AA321" s="9">
        <v>1</v>
      </c>
      <c r="AB321" s="9">
        <v>1</v>
      </c>
      <c r="AC321" s="9">
        <v>1</v>
      </c>
      <c r="AD321" s="9">
        <v>1</v>
      </c>
      <c r="AE321" s="9">
        <v>1</v>
      </c>
      <c r="AF321" s="9">
        <v>1</v>
      </c>
      <c r="AG321" s="9">
        <v>1</v>
      </c>
      <c r="AH321" s="9">
        <v>1</v>
      </c>
      <c r="AI321" s="9">
        <v>1</v>
      </c>
      <c r="AJ321" s="9">
        <v>1</v>
      </c>
      <c r="AK321" s="9">
        <v>1</v>
      </c>
      <c r="AL321" s="9">
        <v>1</v>
      </c>
      <c r="AM321" s="9">
        <v>1</v>
      </c>
      <c r="AN321" s="9">
        <v>1</v>
      </c>
      <c r="AO321" s="9">
        <v>1</v>
      </c>
      <c r="AP321" s="9">
        <v>1</v>
      </c>
      <c r="AQ321" s="9">
        <v>1</v>
      </c>
      <c r="AR321" s="9">
        <v>1</v>
      </c>
      <c r="AS321" s="9">
        <v>1</v>
      </c>
      <c r="AT321" s="9">
        <v>1</v>
      </c>
      <c r="AU321" s="9">
        <v>1</v>
      </c>
      <c r="AV321" s="9">
        <v>1</v>
      </c>
      <c r="AW321" s="9">
        <v>1</v>
      </c>
      <c r="AX321" s="9">
        <v>1</v>
      </c>
      <c r="AY321" s="9">
        <v>1</v>
      </c>
      <c r="AZ321" s="9">
        <v>1</v>
      </c>
      <c r="BA321" s="9">
        <v>1</v>
      </c>
      <c r="BB321" s="9">
        <v>1</v>
      </c>
      <c r="BC321" s="9">
        <v>1</v>
      </c>
      <c r="BD321" s="9">
        <v>1</v>
      </c>
      <c r="BE321" s="9">
        <v>1</v>
      </c>
      <c r="BF321" s="9">
        <v>1</v>
      </c>
      <c r="BG321" s="9">
        <v>1</v>
      </c>
      <c r="BH321" s="9">
        <v>1</v>
      </c>
      <c r="BI321" s="9">
        <v>1</v>
      </c>
      <c r="BJ321" s="9">
        <v>1</v>
      </c>
      <c r="BK321" s="9">
        <v>1</v>
      </c>
      <c r="BL321" s="9">
        <v>1</v>
      </c>
      <c r="BM321" s="9">
        <v>1</v>
      </c>
      <c r="BN321" s="9">
        <v>1</v>
      </c>
      <c r="BO321" s="9">
        <v>1</v>
      </c>
      <c r="BP321" s="9">
        <v>1</v>
      </c>
      <c r="BQ321" s="9">
        <v>1</v>
      </c>
      <c r="BR321" s="9">
        <v>1</v>
      </c>
      <c r="BS321" s="9">
        <v>1</v>
      </c>
      <c r="BT321" s="9">
        <v>1</v>
      </c>
      <c r="BU321" s="9">
        <v>1</v>
      </c>
      <c r="BV321" s="9">
        <v>1</v>
      </c>
      <c r="BW321" s="9">
        <v>1</v>
      </c>
      <c r="BX321" s="9">
        <v>1</v>
      </c>
    </row>
    <row r="322" spans="1:76">
      <c r="A322" s="3" t="s">
        <v>66</v>
      </c>
      <c r="B322" t="s">
        <v>5255</v>
      </c>
      <c r="D322" t="s">
        <v>4967</v>
      </c>
      <c r="F322" s="91" t="s">
        <v>4973</v>
      </c>
      <c r="H322" s="3" t="s">
        <v>4984</v>
      </c>
      <c r="I322" s="3"/>
      <c r="J322" s="124"/>
      <c r="K322" s="124"/>
      <c r="M322" s="124"/>
      <c r="V322" s="9">
        <v>1</v>
      </c>
      <c r="W322" s="9">
        <v>1</v>
      </c>
      <c r="X322" s="10">
        <v>1</v>
      </c>
      <c r="Y322" s="9">
        <v>1</v>
      </c>
      <c r="Z322" s="9">
        <v>1</v>
      </c>
      <c r="AA322" s="9">
        <v>1</v>
      </c>
      <c r="AB322" s="9">
        <v>1</v>
      </c>
      <c r="AC322" s="9">
        <v>1</v>
      </c>
      <c r="AD322" s="9">
        <v>1</v>
      </c>
      <c r="AE322" s="9">
        <v>1</v>
      </c>
      <c r="AF322" s="9">
        <v>1</v>
      </c>
      <c r="AG322" s="9">
        <v>1</v>
      </c>
      <c r="AH322" s="9">
        <v>1</v>
      </c>
      <c r="AI322" s="9">
        <v>1</v>
      </c>
      <c r="AJ322" s="9">
        <v>1</v>
      </c>
      <c r="AK322" s="9">
        <v>1</v>
      </c>
      <c r="AL322" s="9">
        <v>1</v>
      </c>
      <c r="AM322" s="9">
        <v>1</v>
      </c>
      <c r="AN322" s="9">
        <v>1</v>
      </c>
      <c r="AO322" s="9">
        <v>1</v>
      </c>
      <c r="AP322" s="9">
        <v>1</v>
      </c>
      <c r="AQ322" s="9">
        <v>1</v>
      </c>
      <c r="AR322" s="9">
        <v>1</v>
      </c>
      <c r="AS322" s="9">
        <v>1</v>
      </c>
      <c r="AT322" s="9">
        <v>1</v>
      </c>
      <c r="AU322" s="9">
        <v>1</v>
      </c>
      <c r="AV322" s="9">
        <v>1</v>
      </c>
      <c r="AW322" s="9">
        <v>1</v>
      </c>
      <c r="AX322" s="9">
        <v>1</v>
      </c>
      <c r="AY322" s="9">
        <v>1</v>
      </c>
      <c r="AZ322" s="9">
        <v>1</v>
      </c>
      <c r="BA322" s="9">
        <v>1</v>
      </c>
      <c r="BB322" s="9">
        <v>1</v>
      </c>
      <c r="BC322" s="9">
        <v>1</v>
      </c>
      <c r="BD322" s="9">
        <v>1</v>
      </c>
      <c r="BE322" s="9">
        <v>1</v>
      </c>
      <c r="BF322" s="9">
        <v>1</v>
      </c>
      <c r="BG322" s="9">
        <v>1</v>
      </c>
      <c r="BH322" s="9">
        <v>1</v>
      </c>
      <c r="BI322" s="9">
        <v>1</v>
      </c>
      <c r="BJ322" s="9">
        <v>1</v>
      </c>
      <c r="BK322" s="9">
        <v>1</v>
      </c>
      <c r="BL322" s="9">
        <v>1</v>
      </c>
      <c r="BM322" s="9">
        <v>1</v>
      </c>
      <c r="BN322" s="9">
        <v>1</v>
      </c>
      <c r="BO322" s="9">
        <v>1</v>
      </c>
      <c r="BP322" s="9">
        <v>1</v>
      </c>
      <c r="BQ322" s="9">
        <v>1</v>
      </c>
      <c r="BR322" s="9">
        <v>1</v>
      </c>
      <c r="BS322" s="9">
        <v>1</v>
      </c>
      <c r="BT322" s="9">
        <v>1</v>
      </c>
      <c r="BU322" s="9">
        <v>1</v>
      </c>
      <c r="BV322" s="9">
        <v>1</v>
      </c>
      <c r="BW322" s="9">
        <v>1</v>
      </c>
      <c r="BX322" s="9">
        <v>1</v>
      </c>
    </row>
    <row r="323" spans="1:76">
      <c r="A323" s="3" t="s">
        <v>66</v>
      </c>
      <c r="B323" t="s">
        <v>5259</v>
      </c>
      <c r="D323" t="s">
        <v>4967</v>
      </c>
      <c r="F323" s="91" t="s">
        <v>4973</v>
      </c>
      <c r="H323" s="3" t="s">
        <v>4984</v>
      </c>
      <c r="I323" s="3"/>
      <c r="J323" s="124"/>
      <c r="K323" s="124"/>
      <c r="M323" s="124"/>
      <c r="V323" s="9">
        <v>1</v>
      </c>
      <c r="W323" s="9">
        <v>1</v>
      </c>
      <c r="X323" s="10">
        <v>1</v>
      </c>
      <c r="Y323" s="9">
        <v>1</v>
      </c>
      <c r="Z323" s="9">
        <v>1</v>
      </c>
      <c r="AA323" s="9">
        <v>1</v>
      </c>
      <c r="AB323" s="9">
        <v>1</v>
      </c>
      <c r="AC323" s="9">
        <v>1</v>
      </c>
      <c r="AD323" s="9">
        <v>1</v>
      </c>
      <c r="AE323" s="9">
        <v>1</v>
      </c>
      <c r="AF323" s="9">
        <v>1</v>
      </c>
      <c r="AG323" s="9">
        <v>1</v>
      </c>
      <c r="AH323" s="9">
        <v>1</v>
      </c>
      <c r="AI323" s="9">
        <v>1</v>
      </c>
      <c r="AJ323" s="9">
        <v>1</v>
      </c>
      <c r="AK323" s="9">
        <v>1</v>
      </c>
      <c r="AL323" s="9">
        <v>1</v>
      </c>
      <c r="AM323" s="9">
        <v>1</v>
      </c>
      <c r="AN323" s="9">
        <v>1</v>
      </c>
      <c r="AO323" s="9">
        <v>1</v>
      </c>
      <c r="AP323" s="9">
        <v>1</v>
      </c>
      <c r="AQ323" s="9">
        <v>1</v>
      </c>
      <c r="AR323" s="9">
        <v>1</v>
      </c>
      <c r="AS323" s="9">
        <v>1</v>
      </c>
      <c r="AT323" s="9">
        <v>1</v>
      </c>
      <c r="AU323" s="9">
        <v>1</v>
      </c>
      <c r="AV323" s="9">
        <v>1</v>
      </c>
      <c r="AW323" s="9">
        <v>1</v>
      </c>
      <c r="AX323" s="9">
        <v>1</v>
      </c>
      <c r="AY323" s="9">
        <v>1</v>
      </c>
      <c r="AZ323" s="9">
        <v>1</v>
      </c>
      <c r="BA323" s="9">
        <v>1</v>
      </c>
      <c r="BB323" s="9">
        <v>1</v>
      </c>
      <c r="BC323" s="9">
        <v>1</v>
      </c>
      <c r="BD323" s="9">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row>
    <row r="324" spans="1:76">
      <c r="A324" s="3" t="s">
        <v>66</v>
      </c>
      <c r="B324" t="s">
        <v>4107</v>
      </c>
      <c r="D324" t="s">
        <v>4967</v>
      </c>
      <c r="F324" s="91" t="s">
        <v>4973</v>
      </c>
      <c r="H324" s="3" t="s">
        <v>4984</v>
      </c>
      <c r="I324" s="3"/>
      <c r="J324" s="124"/>
      <c r="K324" s="124"/>
      <c r="M324" s="124"/>
      <c r="V324" s="9">
        <v>1</v>
      </c>
      <c r="W324" s="9">
        <v>1</v>
      </c>
      <c r="X324" s="10">
        <v>1</v>
      </c>
      <c r="Y324" s="9">
        <v>1</v>
      </c>
      <c r="Z324" s="9">
        <v>1</v>
      </c>
      <c r="AA324" s="9">
        <v>1</v>
      </c>
      <c r="AB324" s="9">
        <v>1</v>
      </c>
      <c r="AC324" s="9">
        <v>1</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1</v>
      </c>
      <c r="AT324" s="9">
        <v>1</v>
      </c>
      <c r="AU324" s="9">
        <v>1</v>
      </c>
      <c r="AV324" s="9">
        <v>1</v>
      </c>
      <c r="AW324" s="9">
        <v>1</v>
      </c>
      <c r="AX324" s="9">
        <v>1</v>
      </c>
      <c r="AY324" s="9">
        <v>1</v>
      </c>
      <c r="AZ324" s="9">
        <v>1</v>
      </c>
      <c r="BA324" s="9">
        <v>1</v>
      </c>
      <c r="BB324" s="9">
        <v>1</v>
      </c>
      <c r="BC324" s="9">
        <v>1</v>
      </c>
      <c r="BD324" s="9">
        <v>1</v>
      </c>
      <c r="BE324" s="9">
        <v>1</v>
      </c>
      <c r="BF324" s="9">
        <v>1</v>
      </c>
      <c r="BG324" s="9">
        <v>1</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row>
    <row r="325" spans="1:76">
      <c r="A325" s="3" t="s">
        <v>66</v>
      </c>
      <c r="B325" t="s">
        <v>5256</v>
      </c>
      <c r="D325" t="s">
        <v>4967</v>
      </c>
      <c r="F325" s="91" t="s">
        <v>4973</v>
      </c>
      <c r="H325" s="3" t="s">
        <v>4984</v>
      </c>
      <c r="I325" s="3"/>
      <c r="J325" s="124"/>
      <c r="K325" s="124"/>
      <c r="M325" s="124"/>
      <c r="V325" s="9">
        <v>1</v>
      </c>
      <c r="W325" s="9">
        <v>1</v>
      </c>
      <c r="X325" s="10">
        <v>1</v>
      </c>
      <c r="Y325" s="9">
        <v>1</v>
      </c>
      <c r="Z325" s="9">
        <v>1</v>
      </c>
      <c r="AA325" s="9">
        <v>1</v>
      </c>
      <c r="AB325" s="9">
        <v>1</v>
      </c>
      <c r="AC325" s="9">
        <v>1</v>
      </c>
      <c r="AD325" s="9">
        <v>1</v>
      </c>
      <c r="AE325" s="9">
        <v>1</v>
      </c>
      <c r="AF325" s="9">
        <v>1</v>
      </c>
      <c r="AG325" s="9">
        <v>1</v>
      </c>
      <c r="AH325" s="9">
        <v>1</v>
      </c>
      <c r="AI325" s="9">
        <v>1</v>
      </c>
      <c r="AJ325" s="9">
        <v>1</v>
      </c>
      <c r="AK325" s="9">
        <v>1</v>
      </c>
      <c r="AL325" s="9">
        <v>1</v>
      </c>
      <c r="AM325" s="9">
        <v>1</v>
      </c>
      <c r="AN325" s="9">
        <v>1</v>
      </c>
      <c r="AO325" s="9">
        <v>1</v>
      </c>
      <c r="AP325" s="9">
        <v>1</v>
      </c>
      <c r="AQ325" s="9">
        <v>1</v>
      </c>
      <c r="AR325" s="9">
        <v>1</v>
      </c>
      <c r="AS325" s="9">
        <v>1</v>
      </c>
      <c r="AT325" s="9">
        <v>1</v>
      </c>
      <c r="AU325" s="9">
        <v>1</v>
      </c>
      <c r="AV325" s="9">
        <v>1</v>
      </c>
      <c r="AW325" s="9">
        <v>1</v>
      </c>
      <c r="AX325" s="9">
        <v>1</v>
      </c>
      <c r="AY325" s="9">
        <v>1</v>
      </c>
      <c r="AZ325" s="9">
        <v>1</v>
      </c>
      <c r="BA325" s="9">
        <v>1</v>
      </c>
      <c r="BB325" s="9">
        <v>1</v>
      </c>
      <c r="BC325" s="9">
        <v>1</v>
      </c>
      <c r="BD325" s="9">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row>
    <row r="326" spans="1:76">
      <c r="A326" s="3" t="s">
        <v>66</v>
      </c>
      <c r="B326" t="s">
        <v>4109</v>
      </c>
      <c r="D326" t="s">
        <v>4967</v>
      </c>
      <c r="F326" s="91" t="s">
        <v>4973</v>
      </c>
      <c r="H326" s="3" t="s">
        <v>4984</v>
      </c>
      <c r="I326" s="3"/>
      <c r="J326" s="124"/>
      <c r="K326" s="124"/>
      <c r="M326" s="124"/>
      <c r="V326" s="9">
        <v>1</v>
      </c>
      <c r="W326" s="9">
        <v>1</v>
      </c>
      <c r="X326" s="10">
        <v>1</v>
      </c>
      <c r="Y326" s="9">
        <v>1</v>
      </c>
      <c r="Z326" s="9">
        <v>1</v>
      </c>
      <c r="AA326" s="9">
        <v>1</v>
      </c>
      <c r="AB326" s="9">
        <v>1</v>
      </c>
      <c r="AC326" s="9">
        <v>1</v>
      </c>
      <c r="AD326" s="9">
        <v>1</v>
      </c>
      <c r="AE326" s="9">
        <v>1</v>
      </c>
      <c r="AF326" s="9">
        <v>1</v>
      </c>
      <c r="AG326" s="9">
        <v>1</v>
      </c>
      <c r="AH326" s="9">
        <v>1</v>
      </c>
      <c r="AI326" s="9">
        <v>1</v>
      </c>
      <c r="AJ326" s="9">
        <v>1</v>
      </c>
      <c r="AK326" s="9">
        <v>1</v>
      </c>
      <c r="AL326" s="9">
        <v>1</v>
      </c>
      <c r="AM326" s="9">
        <v>1</v>
      </c>
      <c r="AN326" s="9">
        <v>1</v>
      </c>
      <c r="AO326" s="9">
        <v>1</v>
      </c>
      <c r="AP326" s="9">
        <v>1</v>
      </c>
      <c r="AQ326" s="9">
        <v>1</v>
      </c>
      <c r="AR326" s="9">
        <v>1</v>
      </c>
      <c r="AS326" s="9">
        <v>1</v>
      </c>
      <c r="AT326" s="9">
        <v>1</v>
      </c>
      <c r="AU326" s="9">
        <v>1</v>
      </c>
      <c r="AV326" s="9">
        <v>1</v>
      </c>
      <c r="AW326" s="9">
        <v>1</v>
      </c>
      <c r="AX326" s="9">
        <v>1</v>
      </c>
      <c r="AY326" s="9">
        <v>1</v>
      </c>
      <c r="AZ326" s="9">
        <v>1</v>
      </c>
      <c r="BA326" s="9">
        <v>1</v>
      </c>
      <c r="BB326" s="9">
        <v>1</v>
      </c>
      <c r="BC326" s="9">
        <v>1</v>
      </c>
      <c r="BD326" s="9">
        <v>1</v>
      </c>
      <c r="BE326" s="9">
        <v>1</v>
      </c>
      <c r="BF326" s="9">
        <v>1</v>
      </c>
      <c r="BG326" s="9">
        <v>1</v>
      </c>
      <c r="BH326" s="9">
        <v>1</v>
      </c>
      <c r="BI326" s="9">
        <v>1</v>
      </c>
      <c r="BJ326" s="9">
        <v>1</v>
      </c>
      <c r="BK326" s="9">
        <v>1</v>
      </c>
      <c r="BL326" s="9">
        <v>1</v>
      </c>
      <c r="BM326" s="9">
        <v>1</v>
      </c>
      <c r="BN326" s="9">
        <v>1</v>
      </c>
      <c r="BO326" s="9">
        <v>1</v>
      </c>
      <c r="BP326" s="9">
        <v>1</v>
      </c>
      <c r="BQ326" s="9">
        <v>1</v>
      </c>
      <c r="BR326" s="9">
        <v>1</v>
      </c>
      <c r="BS326" s="9">
        <v>1</v>
      </c>
      <c r="BT326" s="9">
        <v>1</v>
      </c>
      <c r="BU326" s="9">
        <v>1</v>
      </c>
      <c r="BV326" s="9">
        <v>1</v>
      </c>
      <c r="BW326" s="9">
        <v>1</v>
      </c>
      <c r="BX326" s="9">
        <v>1</v>
      </c>
    </row>
    <row r="327" spans="1:76">
      <c r="A327" s="3" t="s">
        <v>66</v>
      </c>
      <c r="B327" t="s">
        <v>4111</v>
      </c>
      <c r="D327" t="s">
        <v>4967</v>
      </c>
      <c r="F327" s="91" t="s">
        <v>4973</v>
      </c>
      <c r="H327" s="3" t="s">
        <v>4984</v>
      </c>
      <c r="I327" s="3"/>
      <c r="J327" s="124"/>
      <c r="K327" s="124"/>
      <c r="M327" s="124"/>
      <c r="V327" s="9">
        <v>1</v>
      </c>
      <c r="W327" s="9">
        <v>1</v>
      </c>
      <c r="X327" s="10">
        <v>1</v>
      </c>
      <c r="Y327" s="9">
        <v>1</v>
      </c>
      <c r="Z327" s="9">
        <v>1</v>
      </c>
      <c r="AA327" s="9">
        <v>1</v>
      </c>
      <c r="AB327" s="9">
        <v>1</v>
      </c>
      <c r="AC327" s="9">
        <v>1</v>
      </c>
      <c r="AD327" s="9">
        <v>1</v>
      </c>
      <c r="AE327" s="9">
        <v>1</v>
      </c>
      <c r="AF327" s="9">
        <v>1</v>
      </c>
      <c r="AG327" s="9">
        <v>1</v>
      </c>
      <c r="AH327" s="9">
        <v>1</v>
      </c>
      <c r="AI327" s="9">
        <v>1</v>
      </c>
      <c r="AJ327" s="9">
        <v>1</v>
      </c>
      <c r="AK327" s="9">
        <v>1</v>
      </c>
      <c r="AL327" s="9">
        <v>1</v>
      </c>
      <c r="AM327" s="9">
        <v>1</v>
      </c>
      <c r="AN327" s="9">
        <v>1</v>
      </c>
      <c r="AO327" s="9">
        <v>1</v>
      </c>
      <c r="AP327" s="9">
        <v>1</v>
      </c>
      <c r="AQ327" s="9">
        <v>1</v>
      </c>
      <c r="AR327" s="9">
        <v>1</v>
      </c>
      <c r="AS327" s="9">
        <v>1</v>
      </c>
      <c r="AT327" s="9">
        <v>1</v>
      </c>
      <c r="AU327" s="9">
        <v>1</v>
      </c>
      <c r="AV327" s="9">
        <v>1</v>
      </c>
      <c r="AW327" s="9">
        <v>1</v>
      </c>
      <c r="AX327" s="9">
        <v>1</v>
      </c>
      <c r="AY327" s="9">
        <v>1</v>
      </c>
      <c r="AZ327" s="9">
        <v>1</v>
      </c>
      <c r="BA327" s="9">
        <v>1</v>
      </c>
      <c r="BB327" s="9">
        <v>1</v>
      </c>
      <c r="BC327" s="9">
        <v>1</v>
      </c>
      <c r="BD327" s="9">
        <v>1</v>
      </c>
      <c r="BE327" s="9">
        <v>1</v>
      </c>
      <c r="BF327" s="9">
        <v>1</v>
      </c>
      <c r="BG327" s="9">
        <v>1</v>
      </c>
      <c r="BH327" s="9">
        <v>1</v>
      </c>
      <c r="BI327" s="9">
        <v>1</v>
      </c>
      <c r="BJ327" s="9">
        <v>1</v>
      </c>
      <c r="BK327" s="9">
        <v>1</v>
      </c>
      <c r="BL327" s="9">
        <v>1</v>
      </c>
      <c r="BM327" s="9">
        <v>1</v>
      </c>
      <c r="BN327" s="9">
        <v>1</v>
      </c>
      <c r="BO327" s="9">
        <v>1</v>
      </c>
      <c r="BP327" s="9">
        <v>1</v>
      </c>
      <c r="BQ327" s="9">
        <v>1</v>
      </c>
      <c r="BR327" s="9">
        <v>1</v>
      </c>
      <c r="BS327" s="9">
        <v>1</v>
      </c>
      <c r="BT327" s="9">
        <v>1</v>
      </c>
      <c r="BU327" s="9">
        <v>1</v>
      </c>
      <c r="BV327" s="9">
        <v>1</v>
      </c>
      <c r="BW327" s="9">
        <v>1</v>
      </c>
      <c r="BX327" s="9">
        <v>1</v>
      </c>
    </row>
    <row r="328" spans="1:76">
      <c r="A328" s="3" t="s">
        <v>66</v>
      </c>
      <c r="B328" t="s">
        <v>4113</v>
      </c>
      <c r="D328" t="s">
        <v>4967</v>
      </c>
      <c r="F328" s="91" t="s">
        <v>4973</v>
      </c>
      <c r="H328" s="3" t="s">
        <v>4984</v>
      </c>
      <c r="I328" s="3"/>
      <c r="J328" s="124"/>
      <c r="K328" s="124"/>
      <c r="M328" s="124"/>
      <c r="V328" s="9">
        <v>1</v>
      </c>
      <c r="W328" s="9">
        <v>1</v>
      </c>
      <c r="X328" s="10">
        <v>1</v>
      </c>
      <c r="Y328" s="9">
        <v>1</v>
      </c>
      <c r="Z328" s="9">
        <v>1</v>
      </c>
      <c r="AA328" s="9">
        <v>1</v>
      </c>
      <c r="AB328" s="9">
        <v>1</v>
      </c>
      <c r="AC328" s="9">
        <v>1</v>
      </c>
      <c r="AD328" s="9">
        <v>1</v>
      </c>
      <c r="AE328" s="9">
        <v>1</v>
      </c>
      <c r="AF328" s="9">
        <v>1</v>
      </c>
      <c r="AG328" s="9">
        <v>1</v>
      </c>
      <c r="AH328" s="9">
        <v>1</v>
      </c>
      <c r="AI328" s="9">
        <v>1</v>
      </c>
      <c r="AJ328" s="9">
        <v>1</v>
      </c>
      <c r="AK328" s="9">
        <v>1</v>
      </c>
      <c r="AL328" s="9">
        <v>1</v>
      </c>
      <c r="AM328" s="9">
        <v>1</v>
      </c>
      <c r="AN328" s="9">
        <v>1</v>
      </c>
      <c r="AO328" s="9">
        <v>1</v>
      </c>
      <c r="AP328" s="9">
        <v>1</v>
      </c>
      <c r="AQ328" s="9">
        <v>1</v>
      </c>
      <c r="AR328" s="9">
        <v>1</v>
      </c>
      <c r="AS328" s="9">
        <v>1</v>
      </c>
      <c r="AT328" s="9">
        <v>1</v>
      </c>
      <c r="AU328" s="9">
        <v>1</v>
      </c>
      <c r="AV328" s="9">
        <v>1</v>
      </c>
      <c r="AW328" s="9">
        <v>1</v>
      </c>
      <c r="AX328" s="9">
        <v>1</v>
      </c>
      <c r="AY328" s="9">
        <v>1</v>
      </c>
      <c r="AZ328" s="9">
        <v>1</v>
      </c>
      <c r="BA328" s="9">
        <v>1</v>
      </c>
      <c r="BB328" s="9">
        <v>1</v>
      </c>
      <c r="BC328" s="9">
        <v>1</v>
      </c>
      <c r="BD328" s="9">
        <v>1</v>
      </c>
      <c r="BE328" s="9">
        <v>1</v>
      </c>
      <c r="BF328" s="9">
        <v>1</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row>
    <row r="329" spans="1:76">
      <c r="A329" s="3" t="s">
        <v>66</v>
      </c>
      <c r="B329" t="s">
        <v>4116</v>
      </c>
      <c r="D329" t="s">
        <v>4967</v>
      </c>
      <c r="F329" s="91" t="s">
        <v>4973</v>
      </c>
      <c r="H329" s="3" t="s">
        <v>4984</v>
      </c>
      <c r="I329" s="3"/>
      <c r="J329" s="124"/>
      <c r="K329" s="124"/>
      <c r="M329" s="124"/>
      <c r="V329" s="9">
        <v>1</v>
      </c>
      <c r="W329" s="9">
        <v>1</v>
      </c>
      <c r="X329" s="10">
        <v>1</v>
      </c>
      <c r="Y329" s="9">
        <v>1</v>
      </c>
      <c r="Z329" s="9">
        <v>1</v>
      </c>
      <c r="AA329" s="9">
        <v>1</v>
      </c>
      <c r="AB329" s="9">
        <v>1</v>
      </c>
      <c r="AC329" s="9">
        <v>1</v>
      </c>
      <c r="AD329" s="9">
        <v>1</v>
      </c>
      <c r="AE329" s="9">
        <v>1</v>
      </c>
      <c r="AF329" s="9">
        <v>1</v>
      </c>
      <c r="AG329" s="9">
        <v>1</v>
      </c>
      <c r="AH329" s="9">
        <v>1</v>
      </c>
      <c r="AI329" s="9">
        <v>1</v>
      </c>
      <c r="AJ329" s="9">
        <v>1</v>
      </c>
      <c r="AK329" s="9">
        <v>1</v>
      </c>
      <c r="AL329" s="9">
        <v>1</v>
      </c>
      <c r="AM329" s="9">
        <v>1</v>
      </c>
      <c r="AN329" s="9">
        <v>1</v>
      </c>
      <c r="AO329" s="9">
        <v>1</v>
      </c>
      <c r="AP329" s="9">
        <v>1</v>
      </c>
      <c r="AQ329" s="9">
        <v>1</v>
      </c>
      <c r="AR329" s="9">
        <v>1</v>
      </c>
      <c r="AS329" s="9">
        <v>1</v>
      </c>
      <c r="AT329" s="9">
        <v>1</v>
      </c>
      <c r="AU329" s="9">
        <v>1</v>
      </c>
      <c r="AV329" s="9">
        <v>1</v>
      </c>
      <c r="AW329" s="9">
        <v>1</v>
      </c>
      <c r="AX329" s="9">
        <v>1</v>
      </c>
      <c r="AY329" s="9">
        <v>1</v>
      </c>
      <c r="AZ329" s="9">
        <v>1</v>
      </c>
      <c r="BA329" s="9">
        <v>1</v>
      </c>
      <c r="BB329" s="9">
        <v>1</v>
      </c>
      <c r="BC329" s="9">
        <v>1</v>
      </c>
      <c r="BD329" s="9">
        <v>1</v>
      </c>
      <c r="BE329" s="9">
        <v>1</v>
      </c>
      <c r="BF329" s="9">
        <v>1</v>
      </c>
      <c r="BG329" s="9">
        <v>1</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row>
    <row r="330" spans="1:76">
      <c r="A330" s="3" t="s">
        <v>66</v>
      </c>
      <c r="B330" t="s">
        <v>5260</v>
      </c>
      <c r="D330" t="s">
        <v>4967</v>
      </c>
      <c r="F330" s="91" t="s">
        <v>4973</v>
      </c>
      <c r="H330" s="3" t="s">
        <v>4984</v>
      </c>
      <c r="I330" s="3"/>
      <c r="J330" s="124"/>
      <c r="K330" s="124"/>
      <c r="M330" s="124"/>
      <c r="V330" s="9">
        <v>1</v>
      </c>
      <c r="W330" s="9">
        <v>1</v>
      </c>
      <c r="X330" s="10">
        <v>1</v>
      </c>
      <c r="Y330" s="9">
        <v>1</v>
      </c>
      <c r="Z330" s="9">
        <v>1</v>
      </c>
      <c r="AA330" s="9">
        <v>1</v>
      </c>
      <c r="AB330" s="9">
        <v>1</v>
      </c>
      <c r="AC330" s="9">
        <v>1</v>
      </c>
      <c r="AD330" s="9">
        <v>1</v>
      </c>
      <c r="AE330" s="9">
        <v>1</v>
      </c>
      <c r="AF330" s="9">
        <v>1</v>
      </c>
      <c r="AG330" s="9">
        <v>1</v>
      </c>
      <c r="AH330" s="9">
        <v>1</v>
      </c>
      <c r="AI330" s="9">
        <v>1</v>
      </c>
      <c r="AJ330" s="9">
        <v>1</v>
      </c>
      <c r="AK330" s="9">
        <v>1</v>
      </c>
      <c r="AL330" s="9">
        <v>1</v>
      </c>
      <c r="AM330" s="9">
        <v>1</v>
      </c>
      <c r="AN330" s="9">
        <v>1</v>
      </c>
      <c r="AO330" s="9">
        <v>1</v>
      </c>
      <c r="AP330" s="9">
        <v>1</v>
      </c>
      <c r="AQ330" s="9">
        <v>1</v>
      </c>
      <c r="AR330" s="9">
        <v>1</v>
      </c>
      <c r="AS330" s="9">
        <v>1</v>
      </c>
      <c r="AT330" s="9">
        <v>1</v>
      </c>
      <c r="AU330" s="9">
        <v>1</v>
      </c>
      <c r="AV330" s="9">
        <v>1</v>
      </c>
      <c r="AW330" s="9">
        <v>1</v>
      </c>
      <c r="AX330" s="9">
        <v>1</v>
      </c>
      <c r="AY330" s="9">
        <v>1</v>
      </c>
      <c r="AZ330" s="9">
        <v>1</v>
      </c>
      <c r="BA330" s="9">
        <v>1</v>
      </c>
      <c r="BB330" s="9">
        <v>1</v>
      </c>
      <c r="BC330" s="9">
        <v>1</v>
      </c>
      <c r="BD330" s="9">
        <v>1</v>
      </c>
      <c r="BE330" s="9">
        <v>1</v>
      </c>
      <c r="BF330" s="9">
        <v>1</v>
      </c>
      <c r="BG330" s="9">
        <v>1</v>
      </c>
      <c r="BH330" s="9">
        <v>1</v>
      </c>
      <c r="BI330" s="9">
        <v>1</v>
      </c>
      <c r="BJ330" s="9">
        <v>1</v>
      </c>
      <c r="BK330" s="9">
        <v>1</v>
      </c>
      <c r="BL330" s="9">
        <v>1</v>
      </c>
      <c r="BM330" s="9">
        <v>1</v>
      </c>
      <c r="BN330" s="9">
        <v>1</v>
      </c>
      <c r="BO330" s="9">
        <v>1</v>
      </c>
      <c r="BP330" s="9">
        <v>1</v>
      </c>
      <c r="BQ330" s="9">
        <v>1</v>
      </c>
      <c r="BR330" s="9">
        <v>1</v>
      </c>
      <c r="BS330" s="9">
        <v>1</v>
      </c>
      <c r="BT330" s="9">
        <v>1</v>
      </c>
      <c r="BU330" s="9">
        <v>1</v>
      </c>
      <c r="BV330" s="9">
        <v>1</v>
      </c>
      <c r="BW330" s="9">
        <v>1</v>
      </c>
      <c r="BX330" s="9">
        <v>1</v>
      </c>
    </row>
    <row r="331" spans="1:76">
      <c r="A331" s="3" t="s">
        <v>66</v>
      </c>
      <c r="B331" t="s">
        <v>4118</v>
      </c>
      <c r="D331" t="s">
        <v>4967</v>
      </c>
      <c r="F331" s="91" t="s">
        <v>4973</v>
      </c>
      <c r="H331" s="3" t="s">
        <v>4984</v>
      </c>
      <c r="I331" s="3"/>
      <c r="J331" s="124"/>
      <c r="K331" s="124"/>
      <c r="M331" s="124"/>
      <c r="V331" s="9">
        <v>1</v>
      </c>
      <c r="W331" s="9">
        <v>1</v>
      </c>
      <c r="X331" s="10">
        <v>1</v>
      </c>
      <c r="Y331" s="9">
        <v>1</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1</v>
      </c>
      <c r="AX331" s="9">
        <v>1</v>
      </c>
      <c r="AY331" s="9">
        <v>1</v>
      </c>
      <c r="AZ331" s="9">
        <v>1</v>
      </c>
      <c r="BA331" s="9">
        <v>1</v>
      </c>
      <c r="BB331" s="9">
        <v>1</v>
      </c>
      <c r="BC331" s="9">
        <v>1</v>
      </c>
      <c r="BD331" s="9">
        <v>1</v>
      </c>
      <c r="BE331" s="9">
        <v>1</v>
      </c>
      <c r="BF331" s="9">
        <v>1</v>
      </c>
      <c r="BG331" s="9">
        <v>1</v>
      </c>
      <c r="BH331" s="9">
        <v>1</v>
      </c>
      <c r="BI331" s="9">
        <v>1</v>
      </c>
      <c r="BJ331" s="9">
        <v>1</v>
      </c>
      <c r="BK331" s="9">
        <v>1</v>
      </c>
      <c r="BL331" s="9">
        <v>1</v>
      </c>
      <c r="BM331" s="9">
        <v>1</v>
      </c>
      <c r="BN331" s="9">
        <v>1</v>
      </c>
      <c r="BO331" s="9">
        <v>1</v>
      </c>
      <c r="BP331" s="9">
        <v>1</v>
      </c>
      <c r="BQ331" s="9">
        <v>1</v>
      </c>
      <c r="BR331" s="9">
        <v>1</v>
      </c>
      <c r="BS331" s="9">
        <v>1</v>
      </c>
      <c r="BT331" s="9">
        <v>1</v>
      </c>
      <c r="BU331" s="9">
        <v>1</v>
      </c>
      <c r="BV331" s="9">
        <v>1</v>
      </c>
      <c r="BW331" s="9">
        <v>1</v>
      </c>
      <c r="BX331" s="9">
        <v>1</v>
      </c>
    </row>
    <row r="332" spans="1:76">
      <c r="A332" s="3" t="s">
        <v>66</v>
      </c>
      <c r="B332" t="s">
        <v>4120</v>
      </c>
      <c r="D332" t="s">
        <v>4967</v>
      </c>
      <c r="F332" s="91" t="s">
        <v>4973</v>
      </c>
      <c r="H332" s="3" t="s">
        <v>4984</v>
      </c>
      <c r="I332" s="3"/>
      <c r="J332" s="124"/>
      <c r="K332" s="124"/>
      <c r="M332" s="124"/>
      <c r="V332" s="9">
        <v>1</v>
      </c>
      <c r="W332" s="9">
        <v>1</v>
      </c>
      <c r="X332" s="10">
        <v>1</v>
      </c>
      <c r="Y332" s="9">
        <v>1</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1</v>
      </c>
      <c r="AW332" s="9">
        <v>1</v>
      </c>
      <c r="AX332" s="9">
        <v>1</v>
      </c>
      <c r="AY332" s="9">
        <v>1</v>
      </c>
      <c r="AZ332" s="9">
        <v>1</v>
      </c>
      <c r="BA332" s="9">
        <v>1</v>
      </c>
      <c r="BB332" s="9">
        <v>1</v>
      </c>
      <c r="BC332" s="9">
        <v>1</v>
      </c>
      <c r="BD332" s="9">
        <v>1</v>
      </c>
      <c r="BE332" s="9">
        <v>1</v>
      </c>
      <c r="BF332" s="9">
        <v>1</v>
      </c>
      <c r="BG332" s="9">
        <v>1</v>
      </c>
      <c r="BH332" s="9">
        <v>1</v>
      </c>
      <c r="BI332" s="9">
        <v>1</v>
      </c>
      <c r="BJ332" s="9">
        <v>1</v>
      </c>
      <c r="BK332" s="9">
        <v>1</v>
      </c>
      <c r="BL332" s="9">
        <v>1</v>
      </c>
      <c r="BM332" s="9">
        <v>1</v>
      </c>
      <c r="BN332" s="9">
        <v>1</v>
      </c>
      <c r="BO332" s="9">
        <v>1</v>
      </c>
      <c r="BP332" s="9">
        <v>1</v>
      </c>
      <c r="BQ332" s="9">
        <v>1</v>
      </c>
      <c r="BR332" s="9">
        <v>1</v>
      </c>
      <c r="BS332" s="9">
        <v>1</v>
      </c>
      <c r="BT332" s="9">
        <v>1</v>
      </c>
      <c r="BU332" s="9">
        <v>1</v>
      </c>
      <c r="BV332" s="9">
        <v>1</v>
      </c>
      <c r="BW332" s="9">
        <v>1</v>
      </c>
      <c r="BX332" s="9">
        <v>1</v>
      </c>
    </row>
    <row r="333" spans="1:76">
      <c r="A333" s="3" t="s">
        <v>66</v>
      </c>
      <c r="B333" t="s">
        <v>4122</v>
      </c>
      <c r="D333" t="s">
        <v>4967</v>
      </c>
      <c r="F333" s="91" t="s">
        <v>4973</v>
      </c>
      <c r="H333" s="3" t="s">
        <v>4984</v>
      </c>
      <c r="I333" s="3"/>
      <c r="J333" s="124"/>
      <c r="K333" s="124"/>
      <c r="M333" s="124"/>
      <c r="V333" s="9">
        <v>1</v>
      </c>
      <c r="W333" s="9">
        <v>1</v>
      </c>
      <c r="X333" s="10">
        <v>1</v>
      </c>
      <c r="Y333" s="9">
        <v>1</v>
      </c>
      <c r="Z333" s="9">
        <v>1</v>
      </c>
      <c r="AA333" s="9">
        <v>1</v>
      </c>
      <c r="AB333" s="9">
        <v>1</v>
      </c>
      <c r="AC333" s="9">
        <v>1</v>
      </c>
      <c r="AD333" s="9">
        <v>1</v>
      </c>
      <c r="AE333" s="9">
        <v>1</v>
      </c>
      <c r="AF333" s="9">
        <v>1</v>
      </c>
      <c r="AG333" s="9">
        <v>1</v>
      </c>
      <c r="AH333" s="9">
        <v>1</v>
      </c>
      <c r="AI333" s="9">
        <v>1</v>
      </c>
      <c r="AJ333" s="9">
        <v>1</v>
      </c>
      <c r="AK333" s="9">
        <v>1</v>
      </c>
      <c r="AL333" s="9">
        <v>1</v>
      </c>
      <c r="AM333" s="9">
        <v>1</v>
      </c>
      <c r="AN333" s="9">
        <v>1</v>
      </c>
      <c r="AO333" s="9">
        <v>1</v>
      </c>
      <c r="AP333" s="9">
        <v>1</v>
      </c>
      <c r="AQ333" s="9">
        <v>1</v>
      </c>
      <c r="AR333" s="9">
        <v>1</v>
      </c>
      <c r="AS333" s="9">
        <v>1</v>
      </c>
      <c r="AT333" s="9">
        <v>1</v>
      </c>
      <c r="AU333" s="9">
        <v>1</v>
      </c>
      <c r="AV333" s="9">
        <v>1</v>
      </c>
      <c r="AW333" s="9">
        <v>1</v>
      </c>
      <c r="AX333" s="9">
        <v>1</v>
      </c>
      <c r="AY333" s="9">
        <v>1</v>
      </c>
      <c r="AZ333" s="9">
        <v>1</v>
      </c>
      <c r="BA333" s="9">
        <v>1</v>
      </c>
      <c r="BB333" s="9">
        <v>1</v>
      </c>
      <c r="BC333" s="9">
        <v>1</v>
      </c>
      <c r="BD333" s="9">
        <v>1</v>
      </c>
      <c r="BE333" s="9">
        <v>1</v>
      </c>
      <c r="BF333" s="9">
        <v>1</v>
      </c>
      <c r="BG333" s="9">
        <v>1</v>
      </c>
      <c r="BH333" s="9">
        <v>1</v>
      </c>
      <c r="BI333" s="9">
        <v>1</v>
      </c>
      <c r="BJ333" s="9">
        <v>1</v>
      </c>
      <c r="BK333" s="9">
        <v>1</v>
      </c>
      <c r="BL333" s="9">
        <v>1</v>
      </c>
      <c r="BM333" s="9">
        <v>1</v>
      </c>
      <c r="BN333" s="9">
        <v>1</v>
      </c>
      <c r="BO333" s="9">
        <v>1</v>
      </c>
      <c r="BP333" s="9">
        <v>1</v>
      </c>
      <c r="BQ333" s="9">
        <v>1</v>
      </c>
      <c r="BR333" s="9">
        <v>1</v>
      </c>
      <c r="BS333" s="9">
        <v>1</v>
      </c>
      <c r="BT333" s="9">
        <v>1</v>
      </c>
      <c r="BU333" s="9">
        <v>1</v>
      </c>
      <c r="BV333" s="9">
        <v>1</v>
      </c>
      <c r="BW333" s="9">
        <v>1</v>
      </c>
      <c r="BX333" s="9">
        <v>1</v>
      </c>
    </row>
    <row r="334" spans="1:76">
      <c r="A334" s="3" t="s">
        <v>66</v>
      </c>
      <c r="B334" t="s">
        <v>4124</v>
      </c>
      <c r="D334" t="s">
        <v>4967</v>
      </c>
      <c r="F334" s="91" t="s">
        <v>4973</v>
      </c>
      <c r="H334" s="3" t="s">
        <v>4984</v>
      </c>
      <c r="I334" s="3"/>
      <c r="J334" s="124"/>
      <c r="K334" s="124"/>
      <c r="M334" s="124"/>
      <c r="V334" s="9">
        <v>1</v>
      </c>
      <c r="W334" s="9">
        <v>1</v>
      </c>
      <c r="X334" s="10">
        <v>1</v>
      </c>
      <c r="Y334" s="9">
        <v>1</v>
      </c>
      <c r="Z334" s="9">
        <v>1</v>
      </c>
      <c r="AA334" s="9">
        <v>1</v>
      </c>
      <c r="AB334" s="9">
        <v>1</v>
      </c>
      <c r="AC334" s="9">
        <v>1</v>
      </c>
      <c r="AD334" s="9">
        <v>1</v>
      </c>
      <c r="AE334" s="9">
        <v>1</v>
      </c>
      <c r="AF334" s="9">
        <v>1</v>
      </c>
      <c r="AG334" s="9">
        <v>1</v>
      </c>
      <c r="AH334" s="9">
        <v>1</v>
      </c>
      <c r="AI334" s="9">
        <v>1</v>
      </c>
      <c r="AJ334" s="9">
        <v>1</v>
      </c>
      <c r="AK334" s="9">
        <v>1</v>
      </c>
      <c r="AL334" s="9">
        <v>1</v>
      </c>
      <c r="AM334" s="9">
        <v>1</v>
      </c>
      <c r="AN334" s="9">
        <v>1</v>
      </c>
      <c r="AO334" s="9">
        <v>1</v>
      </c>
      <c r="AP334" s="9">
        <v>1</v>
      </c>
      <c r="AQ334" s="9">
        <v>1</v>
      </c>
      <c r="AR334" s="9">
        <v>1</v>
      </c>
      <c r="AS334" s="9">
        <v>1</v>
      </c>
      <c r="AT334" s="9">
        <v>1</v>
      </c>
      <c r="AU334" s="9">
        <v>1</v>
      </c>
      <c r="AV334" s="9">
        <v>1</v>
      </c>
      <c r="AW334" s="9">
        <v>1</v>
      </c>
      <c r="AX334" s="9">
        <v>1</v>
      </c>
      <c r="AY334" s="9">
        <v>1</v>
      </c>
      <c r="AZ334" s="9">
        <v>1</v>
      </c>
      <c r="BA334" s="9">
        <v>1</v>
      </c>
      <c r="BB334" s="9">
        <v>1</v>
      </c>
      <c r="BC334" s="9">
        <v>1</v>
      </c>
      <c r="BD334" s="9">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row>
    <row r="335" spans="1:76">
      <c r="A335" s="3" t="s">
        <v>66</v>
      </c>
      <c r="B335" t="s">
        <v>4126</v>
      </c>
      <c r="D335" t="s">
        <v>4967</v>
      </c>
      <c r="F335" s="91" t="s">
        <v>4973</v>
      </c>
      <c r="H335" s="3" t="s">
        <v>4984</v>
      </c>
      <c r="I335" s="3"/>
      <c r="J335" s="124"/>
      <c r="K335" s="124"/>
      <c r="M335" s="124"/>
      <c r="V335" s="9">
        <v>1</v>
      </c>
      <c r="W335" s="9">
        <v>1</v>
      </c>
      <c r="X335" s="10">
        <v>1</v>
      </c>
      <c r="Y335" s="9">
        <v>1</v>
      </c>
      <c r="Z335" s="9">
        <v>1</v>
      </c>
      <c r="AA335" s="9">
        <v>1</v>
      </c>
      <c r="AB335" s="9">
        <v>1</v>
      </c>
      <c r="AC335" s="9">
        <v>1</v>
      </c>
      <c r="AD335" s="9">
        <v>1</v>
      </c>
      <c r="AE335" s="9">
        <v>1</v>
      </c>
      <c r="AF335" s="9">
        <v>1</v>
      </c>
      <c r="AG335" s="9">
        <v>1</v>
      </c>
      <c r="AH335" s="9">
        <v>1</v>
      </c>
      <c r="AI335" s="9">
        <v>1</v>
      </c>
      <c r="AJ335" s="9">
        <v>1</v>
      </c>
      <c r="AK335" s="9">
        <v>1</v>
      </c>
      <c r="AL335" s="9">
        <v>1</v>
      </c>
      <c r="AM335" s="9">
        <v>1</v>
      </c>
      <c r="AN335" s="9">
        <v>1</v>
      </c>
      <c r="AO335" s="9">
        <v>1</v>
      </c>
      <c r="AP335" s="9">
        <v>1</v>
      </c>
      <c r="AQ335" s="9">
        <v>1</v>
      </c>
      <c r="AR335" s="9">
        <v>1</v>
      </c>
      <c r="AS335" s="9">
        <v>1</v>
      </c>
      <c r="AT335" s="9">
        <v>1</v>
      </c>
      <c r="AU335" s="9">
        <v>1</v>
      </c>
      <c r="AV335" s="9">
        <v>1</v>
      </c>
      <c r="AW335" s="9">
        <v>1</v>
      </c>
      <c r="AX335" s="9">
        <v>1</v>
      </c>
      <c r="AY335" s="9">
        <v>1</v>
      </c>
      <c r="AZ335" s="9">
        <v>1</v>
      </c>
      <c r="BA335" s="9">
        <v>1</v>
      </c>
      <c r="BB335" s="9">
        <v>1</v>
      </c>
      <c r="BC335" s="9">
        <v>1</v>
      </c>
      <c r="BD335" s="9">
        <v>1</v>
      </c>
      <c r="BE335" s="9">
        <v>1</v>
      </c>
      <c r="BF335" s="9">
        <v>1</v>
      </c>
      <c r="BG335" s="9">
        <v>1</v>
      </c>
      <c r="BH335" s="9">
        <v>1</v>
      </c>
      <c r="BI335" s="9">
        <v>1</v>
      </c>
      <c r="BJ335" s="9">
        <v>1</v>
      </c>
      <c r="BK335" s="9">
        <v>1</v>
      </c>
      <c r="BL335" s="9">
        <v>1</v>
      </c>
      <c r="BM335" s="9">
        <v>1</v>
      </c>
      <c r="BN335" s="9">
        <v>1</v>
      </c>
      <c r="BO335" s="9">
        <v>1</v>
      </c>
      <c r="BP335" s="9">
        <v>1</v>
      </c>
      <c r="BQ335" s="9">
        <v>1</v>
      </c>
      <c r="BR335" s="9">
        <v>1</v>
      </c>
      <c r="BS335" s="9">
        <v>1</v>
      </c>
      <c r="BT335" s="9">
        <v>1</v>
      </c>
      <c r="BU335" s="9">
        <v>1</v>
      </c>
      <c r="BV335" s="9">
        <v>1</v>
      </c>
      <c r="BW335" s="9">
        <v>1</v>
      </c>
      <c r="BX335" s="9">
        <v>1</v>
      </c>
    </row>
    <row r="336" spans="1:76">
      <c r="A336" s="3" t="s">
        <v>66</v>
      </c>
      <c r="B336" t="s">
        <v>4128</v>
      </c>
      <c r="D336" t="s">
        <v>4967</v>
      </c>
      <c r="F336" s="91" t="s">
        <v>4973</v>
      </c>
      <c r="H336" s="3" t="s">
        <v>4984</v>
      </c>
      <c r="I336" s="3"/>
      <c r="J336" s="124"/>
      <c r="K336" s="124"/>
      <c r="M336" s="124"/>
      <c r="V336" s="9">
        <v>1</v>
      </c>
      <c r="W336" s="9">
        <v>1</v>
      </c>
      <c r="X336" s="10">
        <v>1</v>
      </c>
      <c r="Y336" s="9">
        <v>1</v>
      </c>
      <c r="Z336" s="9">
        <v>1</v>
      </c>
      <c r="AA336" s="9">
        <v>1</v>
      </c>
      <c r="AB336" s="9">
        <v>1</v>
      </c>
      <c r="AC336" s="9">
        <v>1</v>
      </c>
      <c r="AD336" s="9">
        <v>1</v>
      </c>
      <c r="AE336" s="9">
        <v>1</v>
      </c>
      <c r="AF336" s="9">
        <v>1</v>
      </c>
      <c r="AG336" s="9">
        <v>1</v>
      </c>
      <c r="AH336" s="9">
        <v>1</v>
      </c>
      <c r="AI336" s="9">
        <v>1</v>
      </c>
      <c r="AJ336" s="9">
        <v>1</v>
      </c>
      <c r="AK336" s="9">
        <v>1</v>
      </c>
      <c r="AL336" s="9">
        <v>1</v>
      </c>
      <c r="AM336" s="9">
        <v>1</v>
      </c>
      <c r="AN336" s="9">
        <v>1</v>
      </c>
      <c r="AO336" s="9">
        <v>1</v>
      </c>
      <c r="AP336" s="9">
        <v>1</v>
      </c>
      <c r="AQ336" s="9">
        <v>1</v>
      </c>
      <c r="AR336" s="9">
        <v>1</v>
      </c>
      <c r="AS336" s="9">
        <v>1</v>
      </c>
      <c r="AT336" s="9">
        <v>1</v>
      </c>
      <c r="AU336" s="9">
        <v>1</v>
      </c>
      <c r="AV336" s="9">
        <v>1</v>
      </c>
      <c r="AW336" s="9">
        <v>1</v>
      </c>
      <c r="AX336" s="9">
        <v>1</v>
      </c>
      <c r="AY336" s="9">
        <v>1</v>
      </c>
      <c r="AZ336" s="9">
        <v>1</v>
      </c>
      <c r="BA336" s="9">
        <v>1</v>
      </c>
      <c r="BB336" s="9">
        <v>1</v>
      </c>
      <c r="BC336" s="9">
        <v>1</v>
      </c>
      <c r="BD336" s="9">
        <v>1</v>
      </c>
      <c r="BE336" s="9">
        <v>1</v>
      </c>
      <c r="BF336" s="9">
        <v>1</v>
      </c>
      <c r="BG336" s="9">
        <v>1</v>
      </c>
      <c r="BH336" s="9">
        <v>1</v>
      </c>
      <c r="BI336" s="9">
        <v>1</v>
      </c>
      <c r="BJ336" s="9">
        <v>1</v>
      </c>
      <c r="BK336" s="9">
        <v>1</v>
      </c>
      <c r="BL336" s="9">
        <v>1</v>
      </c>
      <c r="BM336" s="9">
        <v>1</v>
      </c>
      <c r="BN336" s="9">
        <v>1</v>
      </c>
      <c r="BO336" s="9">
        <v>1</v>
      </c>
      <c r="BP336" s="9">
        <v>1</v>
      </c>
      <c r="BQ336" s="9">
        <v>1</v>
      </c>
      <c r="BR336" s="9">
        <v>1</v>
      </c>
      <c r="BS336" s="9">
        <v>1</v>
      </c>
      <c r="BT336" s="9">
        <v>1</v>
      </c>
      <c r="BU336" s="9">
        <v>1</v>
      </c>
      <c r="BV336" s="9">
        <v>1</v>
      </c>
      <c r="BW336" s="9">
        <v>1</v>
      </c>
      <c r="BX336" s="9">
        <v>1</v>
      </c>
    </row>
    <row r="337" spans="1:76">
      <c r="A337" s="3" t="s">
        <v>66</v>
      </c>
      <c r="B337" t="s">
        <v>4130</v>
      </c>
      <c r="D337" t="s">
        <v>4967</v>
      </c>
      <c r="F337" s="91" t="s">
        <v>4973</v>
      </c>
      <c r="H337" s="3" t="s">
        <v>4984</v>
      </c>
      <c r="I337" s="3"/>
      <c r="J337" s="124"/>
      <c r="K337" s="124"/>
      <c r="M337" s="124"/>
      <c r="V337" s="9">
        <v>1</v>
      </c>
      <c r="W337" s="9">
        <v>1</v>
      </c>
      <c r="X337" s="10">
        <v>1</v>
      </c>
      <c r="Y337" s="9">
        <v>1</v>
      </c>
      <c r="Z337" s="9">
        <v>1</v>
      </c>
      <c r="AA337" s="9">
        <v>1</v>
      </c>
      <c r="AB337" s="9">
        <v>1</v>
      </c>
      <c r="AC337" s="9">
        <v>1</v>
      </c>
      <c r="AD337" s="9">
        <v>1</v>
      </c>
      <c r="AE337" s="9">
        <v>1</v>
      </c>
      <c r="AF337" s="9">
        <v>1</v>
      </c>
      <c r="AG337" s="9">
        <v>1</v>
      </c>
      <c r="AH337" s="9">
        <v>1</v>
      </c>
      <c r="AI337" s="9">
        <v>1</v>
      </c>
      <c r="AJ337" s="9">
        <v>1</v>
      </c>
      <c r="AK337" s="9">
        <v>1</v>
      </c>
      <c r="AL337" s="9">
        <v>1</v>
      </c>
      <c r="AM337" s="9">
        <v>1</v>
      </c>
      <c r="AN337" s="9">
        <v>1</v>
      </c>
      <c r="AO337" s="9">
        <v>1</v>
      </c>
      <c r="AP337" s="9">
        <v>1</v>
      </c>
      <c r="AQ337" s="9">
        <v>1</v>
      </c>
      <c r="AR337" s="9">
        <v>1</v>
      </c>
      <c r="AS337" s="9">
        <v>1</v>
      </c>
      <c r="AT337" s="9">
        <v>1</v>
      </c>
      <c r="AU337" s="9">
        <v>1</v>
      </c>
      <c r="AV337" s="9">
        <v>1</v>
      </c>
      <c r="AW337" s="9">
        <v>1</v>
      </c>
      <c r="AX337" s="9">
        <v>1</v>
      </c>
      <c r="AY337" s="9">
        <v>1</v>
      </c>
      <c r="AZ337" s="9">
        <v>1</v>
      </c>
      <c r="BA337" s="9">
        <v>1</v>
      </c>
      <c r="BB337" s="9">
        <v>1</v>
      </c>
      <c r="BC337" s="9">
        <v>1</v>
      </c>
      <c r="BD337" s="9">
        <v>1</v>
      </c>
      <c r="BE337" s="9">
        <v>1</v>
      </c>
      <c r="BF337" s="9">
        <v>1</v>
      </c>
      <c r="BG337" s="9">
        <v>1</v>
      </c>
      <c r="BH337" s="9">
        <v>1</v>
      </c>
      <c r="BI337" s="9">
        <v>1</v>
      </c>
      <c r="BJ337" s="9">
        <v>1</v>
      </c>
      <c r="BK337" s="9">
        <v>1</v>
      </c>
      <c r="BL337" s="9">
        <v>1</v>
      </c>
      <c r="BM337" s="9">
        <v>1</v>
      </c>
      <c r="BN337" s="9">
        <v>1</v>
      </c>
      <c r="BO337" s="9">
        <v>1</v>
      </c>
      <c r="BP337" s="9">
        <v>1</v>
      </c>
      <c r="BQ337" s="9">
        <v>1</v>
      </c>
      <c r="BR337" s="9">
        <v>1</v>
      </c>
      <c r="BS337" s="9">
        <v>1</v>
      </c>
      <c r="BT337" s="9">
        <v>1</v>
      </c>
      <c r="BU337" s="9">
        <v>1</v>
      </c>
      <c r="BV337" s="9">
        <v>1</v>
      </c>
      <c r="BW337" s="9">
        <v>1</v>
      </c>
      <c r="BX337" s="9">
        <v>1</v>
      </c>
    </row>
    <row r="338" spans="1:76">
      <c r="A338" s="3" t="s">
        <v>66</v>
      </c>
      <c r="B338" t="s">
        <v>4132</v>
      </c>
      <c r="D338" t="s">
        <v>4967</v>
      </c>
      <c r="F338" s="91" t="s">
        <v>4973</v>
      </c>
      <c r="H338" s="3" t="s">
        <v>4984</v>
      </c>
      <c r="I338" s="3"/>
      <c r="J338" s="124"/>
      <c r="K338" s="124"/>
      <c r="M338" s="124"/>
      <c r="V338" s="9">
        <v>1</v>
      </c>
      <c r="W338" s="9">
        <v>1</v>
      </c>
      <c r="X338" s="10">
        <v>1</v>
      </c>
      <c r="Y338" s="9">
        <v>1</v>
      </c>
      <c r="Z338" s="9">
        <v>1</v>
      </c>
      <c r="AA338" s="9">
        <v>1</v>
      </c>
      <c r="AB338" s="9">
        <v>1</v>
      </c>
      <c r="AC338" s="9">
        <v>1</v>
      </c>
      <c r="AD338" s="9">
        <v>1</v>
      </c>
      <c r="AE338" s="9">
        <v>1</v>
      </c>
      <c r="AF338" s="9">
        <v>1</v>
      </c>
      <c r="AG338" s="9">
        <v>1</v>
      </c>
      <c r="AH338" s="9">
        <v>1</v>
      </c>
      <c r="AI338" s="9">
        <v>1</v>
      </c>
      <c r="AJ338" s="9">
        <v>1</v>
      </c>
      <c r="AK338" s="9">
        <v>1</v>
      </c>
      <c r="AL338" s="9">
        <v>1</v>
      </c>
      <c r="AM338" s="9">
        <v>1</v>
      </c>
      <c r="AN338" s="9">
        <v>1</v>
      </c>
      <c r="AO338" s="9">
        <v>1</v>
      </c>
      <c r="AP338" s="9">
        <v>1</v>
      </c>
      <c r="AQ338" s="9">
        <v>1</v>
      </c>
      <c r="AR338" s="9">
        <v>1</v>
      </c>
      <c r="AS338" s="9">
        <v>1</v>
      </c>
      <c r="AT338" s="9">
        <v>1</v>
      </c>
      <c r="AU338" s="9">
        <v>1</v>
      </c>
      <c r="AV338" s="9">
        <v>1</v>
      </c>
      <c r="AW338" s="9">
        <v>1</v>
      </c>
      <c r="AX338" s="9">
        <v>1</v>
      </c>
      <c r="AY338" s="9">
        <v>1</v>
      </c>
      <c r="AZ338" s="9">
        <v>1</v>
      </c>
      <c r="BA338" s="9">
        <v>1</v>
      </c>
      <c r="BB338" s="9">
        <v>1</v>
      </c>
      <c r="BC338" s="9">
        <v>1</v>
      </c>
      <c r="BD338" s="9">
        <v>1</v>
      </c>
      <c r="BE338" s="9">
        <v>1</v>
      </c>
      <c r="BF338" s="9">
        <v>1</v>
      </c>
      <c r="BG338" s="9">
        <v>1</v>
      </c>
      <c r="BH338" s="9">
        <v>1</v>
      </c>
      <c r="BI338" s="9">
        <v>1</v>
      </c>
      <c r="BJ338" s="9">
        <v>1</v>
      </c>
      <c r="BK338" s="9">
        <v>1</v>
      </c>
      <c r="BL338" s="9">
        <v>1</v>
      </c>
      <c r="BM338" s="9">
        <v>1</v>
      </c>
      <c r="BN338" s="9">
        <v>1</v>
      </c>
      <c r="BO338" s="9">
        <v>1</v>
      </c>
      <c r="BP338" s="9">
        <v>1</v>
      </c>
      <c r="BQ338" s="9">
        <v>1</v>
      </c>
      <c r="BR338" s="9">
        <v>1</v>
      </c>
      <c r="BS338" s="9">
        <v>1</v>
      </c>
      <c r="BT338" s="9">
        <v>1</v>
      </c>
      <c r="BU338" s="9">
        <v>1</v>
      </c>
      <c r="BV338" s="9">
        <v>1</v>
      </c>
      <c r="BW338" s="9">
        <v>1</v>
      </c>
      <c r="BX338" s="9">
        <v>1</v>
      </c>
    </row>
    <row r="339" spans="1:76">
      <c r="A339" s="3" t="s">
        <v>66</v>
      </c>
      <c r="B339" t="s">
        <v>4134</v>
      </c>
      <c r="D339" t="s">
        <v>4967</v>
      </c>
      <c r="F339" s="91" t="s">
        <v>4973</v>
      </c>
      <c r="H339" s="3" t="s">
        <v>4984</v>
      </c>
      <c r="I339" s="3"/>
      <c r="J339" s="124"/>
      <c r="K339" s="124"/>
      <c r="M339" s="124"/>
      <c r="V339" s="9">
        <v>1</v>
      </c>
      <c r="W339" s="9">
        <v>1</v>
      </c>
      <c r="X339" s="10">
        <v>1</v>
      </c>
      <c r="Y339" s="9">
        <v>1</v>
      </c>
      <c r="Z339" s="9">
        <v>1</v>
      </c>
      <c r="AA339" s="9">
        <v>1</v>
      </c>
      <c r="AB339" s="9">
        <v>1</v>
      </c>
      <c r="AC339" s="9">
        <v>1</v>
      </c>
      <c r="AD339" s="9">
        <v>1</v>
      </c>
      <c r="AE339" s="9">
        <v>1</v>
      </c>
      <c r="AF339" s="9">
        <v>1</v>
      </c>
      <c r="AG339" s="9">
        <v>1</v>
      </c>
      <c r="AH339" s="9">
        <v>1</v>
      </c>
      <c r="AI339" s="9">
        <v>1</v>
      </c>
      <c r="AJ339" s="9">
        <v>1</v>
      </c>
      <c r="AK339" s="9">
        <v>1</v>
      </c>
      <c r="AL339" s="9">
        <v>1</v>
      </c>
      <c r="AM339" s="9">
        <v>1</v>
      </c>
      <c r="AN339" s="9">
        <v>1</v>
      </c>
      <c r="AO339" s="9">
        <v>1</v>
      </c>
      <c r="AP339" s="9">
        <v>1</v>
      </c>
      <c r="AQ339" s="9">
        <v>1</v>
      </c>
      <c r="AR339" s="9">
        <v>1</v>
      </c>
      <c r="AS339" s="9">
        <v>1</v>
      </c>
      <c r="AT339" s="9">
        <v>1</v>
      </c>
      <c r="AU339" s="9">
        <v>1</v>
      </c>
      <c r="AV339" s="9">
        <v>1</v>
      </c>
      <c r="AW339" s="9">
        <v>1</v>
      </c>
      <c r="AX339" s="9">
        <v>1</v>
      </c>
      <c r="AY339" s="9">
        <v>1</v>
      </c>
      <c r="AZ339" s="9">
        <v>1</v>
      </c>
      <c r="BA339" s="9">
        <v>1</v>
      </c>
      <c r="BB339" s="9">
        <v>1</v>
      </c>
      <c r="BC339" s="9">
        <v>1</v>
      </c>
      <c r="BD339" s="9">
        <v>1</v>
      </c>
      <c r="BE339" s="9">
        <v>1</v>
      </c>
      <c r="BF339" s="9">
        <v>1</v>
      </c>
      <c r="BG339" s="9">
        <v>1</v>
      </c>
      <c r="BH339" s="9">
        <v>1</v>
      </c>
      <c r="BI339" s="9">
        <v>1</v>
      </c>
      <c r="BJ339" s="9">
        <v>1</v>
      </c>
      <c r="BK339" s="9">
        <v>1</v>
      </c>
      <c r="BL339" s="9">
        <v>1</v>
      </c>
      <c r="BM339" s="9">
        <v>1</v>
      </c>
      <c r="BN339" s="9">
        <v>1</v>
      </c>
      <c r="BO339" s="9">
        <v>1</v>
      </c>
      <c r="BP339" s="9">
        <v>1</v>
      </c>
      <c r="BQ339" s="9">
        <v>1</v>
      </c>
      <c r="BR339" s="9">
        <v>1</v>
      </c>
      <c r="BS339" s="9">
        <v>1</v>
      </c>
      <c r="BT339" s="9">
        <v>1</v>
      </c>
      <c r="BU339" s="9">
        <v>1</v>
      </c>
      <c r="BV339" s="9">
        <v>1</v>
      </c>
      <c r="BW339" s="9">
        <v>1</v>
      </c>
      <c r="BX339" s="9">
        <v>1</v>
      </c>
    </row>
    <row r="340" spans="1:76">
      <c r="A340" s="3" t="s">
        <v>66</v>
      </c>
      <c r="B340" t="s">
        <v>4136</v>
      </c>
      <c r="D340" t="s">
        <v>4967</v>
      </c>
      <c r="F340" s="91" t="s">
        <v>4973</v>
      </c>
      <c r="H340" s="3" t="s">
        <v>4984</v>
      </c>
      <c r="I340" s="3"/>
      <c r="J340" s="124"/>
      <c r="K340" s="124"/>
      <c r="M340" s="124"/>
      <c r="V340" s="9">
        <v>1</v>
      </c>
      <c r="W340" s="9">
        <v>1</v>
      </c>
      <c r="X340" s="10">
        <v>1</v>
      </c>
      <c r="Y340" s="9">
        <v>1</v>
      </c>
      <c r="Z340" s="9">
        <v>1</v>
      </c>
      <c r="AA340" s="9">
        <v>1</v>
      </c>
      <c r="AB340" s="9">
        <v>1</v>
      </c>
      <c r="AC340" s="9">
        <v>1</v>
      </c>
      <c r="AD340" s="9">
        <v>1</v>
      </c>
      <c r="AE340" s="9">
        <v>1</v>
      </c>
      <c r="AF340" s="9">
        <v>1</v>
      </c>
      <c r="AG340" s="9">
        <v>1</v>
      </c>
      <c r="AH340" s="9">
        <v>1</v>
      </c>
      <c r="AI340" s="9">
        <v>1</v>
      </c>
      <c r="AJ340" s="9">
        <v>1</v>
      </c>
      <c r="AK340" s="9">
        <v>1</v>
      </c>
      <c r="AL340" s="9">
        <v>1</v>
      </c>
      <c r="AM340" s="9">
        <v>1</v>
      </c>
      <c r="AN340" s="9">
        <v>1</v>
      </c>
      <c r="AO340" s="9">
        <v>1</v>
      </c>
      <c r="AP340" s="9">
        <v>1</v>
      </c>
      <c r="AQ340" s="9">
        <v>1</v>
      </c>
      <c r="AR340" s="9">
        <v>1</v>
      </c>
      <c r="AS340" s="9">
        <v>1</v>
      </c>
      <c r="AT340" s="9">
        <v>1</v>
      </c>
      <c r="AU340" s="9">
        <v>1</v>
      </c>
      <c r="AV340" s="9">
        <v>1</v>
      </c>
      <c r="AW340" s="9">
        <v>1</v>
      </c>
      <c r="AX340" s="9">
        <v>1</v>
      </c>
      <c r="AY340" s="9">
        <v>1</v>
      </c>
      <c r="AZ340" s="9">
        <v>1</v>
      </c>
      <c r="BA340" s="9">
        <v>1</v>
      </c>
      <c r="BB340" s="9">
        <v>1</v>
      </c>
      <c r="BC340" s="9">
        <v>1</v>
      </c>
      <c r="BD340" s="9">
        <v>1</v>
      </c>
      <c r="BE340" s="9">
        <v>1</v>
      </c>
      <c r="BF340" s="9">
        <v>1</v>
      </c>
      <c r="BG340" s="9">
        <v>1</v>
      </c>
      <c r="BH340" s="9">
        <v>1</v>
      </c>
      <c r="BI340" s="9">
        <v>1</v>
      </c>
      <c r="BJ340" s="9">
        <v>1</v>
      </c>
      <c r="BK340" s="9">
        <v>1</v>
      </c>
      <c r="BL340" s="9">
        <v>1</v>
      </c>
      <c r="BM340" s="9">
        <v>1</v>
      </c>
      <c r="BN340" s="9">
        <v>1</v>
      </c>
      <c r="BO340" s="9">
        <v>1</v>
      </c>
      <c r="BP340" s="9">
        <v>1</v>
      </c>
      <c r="BQ340" s="9">
        <v>1</v>
      </c>
      <c r="BR340" s="9">
        <v>1</v>
      </c>
      <c r="BS340" s="9">
        <v>1</v>
      </c>
      <c r="BT340" s="9">
        <v>1</v>
      </c>
      <c r="BU340" s="9">
        <v>1</v>
      </c>
      <c r="BV340" s="9">
        <v>1</v>
      </c>
      <c r="BW340" s="9">
        <v>1</v>
      </c>
      <c r="BX340" s="9">
        <v>1</v>
      </c>
    </row>
    <row r="341" spans="1:76">
      <c r="A341" s="3" t="s">
        <v>66</v>
      </c>
      <c r="B341" t="s">
        <v>4138</v>
      </c>
      <c r="D341" t="s">
        <v>4967</v>
      </c>
      <c r="F341" s="91" t="s">
        <v>4973</v>
      </c>
      <c r="H341" s="3" t="s">
        <v>4984</v>
      </c>
      <c r="I341" s="3"/>
      <c r="J341" s="124"/>
      <c r="K341" s="124"/>
      <c r="M341" s="124"/>
      <c r="V341" s="9">
        <v>1</v>
      </c>
      <c r="W341" s="9">
        <v>1</v>
      </c>
      <c r="X341" s="10">
        <v>1</v>
      </c>
      <c r="Y341" s="9">
        <v>1</v>
      </c>
      <c r="Z341" s="9">
        <v>1</v>
      </c>
      <c r="AA341" s="9">
        <v>1</v>
      </c>
      <c r="AB341" s="9">
        <v>1</v>
      </c>
      <c r="AC341" s="9">
        <v>1</v>
      </c>
      <c r="AD341" s="9">
        <v>1</v>
      </c>
      <c r="AE341" s="9">
        <v>1</v>
      </c>
      <c r="AF341" s="9">
        <v>1</v>
      </c>
      <c r="AG341" s="9">
        <v>1</v>
      </c>
      <c r="AH341" s="9">
        <v>1</v>
      </c>
      <c r="AI341" s="9">
        <v>1</v>
      </c>
      <c r="AJ341" s="9">
        <v>1</v>
      </c>
      <c r="AK341" s="9">
        <v>1</v>
      </c>
      <c r="AL341" s="9">
        <v>1</v>
      </c>
      <c r="AM341" s="9">
        <v>1</v>
      </c>
      <c r="AN341" s="9">
        <v>1</v>
      </c>
      <c r="AO341" s="9">
        <v>1</v>
      </c>
      <c r="AP341" s="9">
        <v>1</v>
      </c>
      <c r="AQ341" s="9">
        <v>1</v>
      </c>
      <c r="AR341" s="9">
        <v>1</v>
      </c>
      <c r="AS341" s="9">
        <v>1</v>
      </c>
      <c r="AT341" s="9">
        <v>1</v>
      </c>
      <c r="AU341" s="9">
        <v>1</v>
      </c>
      <c r="AV341" s="9">
        <v>1</v>
      </c>
      <c r="AW341" s="9">
        <v>1</v>
      </c>
      <c r="AX341" s="9">
        <v>1</v>
      </c>
      <c r="AY341" s="9">
        <v>1</v>
      </c>
      <c r="AZ341" s="9">
        <v>1</v>
      </c>
      <c r="BA341" s="9">
        <v>1</v>
      </c>
      <c r="BB341" s="9">
        <v>1</v>
      </c>
      <c r="BC341" s="9">
        <v>1</v>
      </c>
      <c r="BD341" s="9">
        <v>1</v>
      </c>
      <c r="BE341" s="9">
        <v>1</v>
      </c>
      <c r="BF341" s="9">
        <v>1</v>
      </c>
      <c r="BG341" s="9">
        <v>1</v>
      </c>
      <c r="BH341" s="9">
        <v>1</v>
      </c>
      <c r="BI341" s="9">
        <v>1</v>
      </c>
      <c r="BJ341" s="9">
        <v>1</v>
      </c>
      <c r="BK341" s="9">
        <v>1</v>
      </c>
      <c r="BL341" s="9">
        <v>1</v>
      </c>
      <c r="BM341" s="9">
        <v>1</v>
      </c>
      <c r="BN341" s="9">
        <v>1</v>
      </c>
      <c r="BO341" s="9">
        <v>1</v>
      </c>
      <c r="BP341" s="9">
        <v>1</v>
      </c>
      <c r="BQ341" s="9">
        <v>1</v>
      </c>
      <c r="BR341" s="9">
        <v>1</v>
      </c>
      <c r="BS341" s="9">
        <v>1</v>
      </c>
      <c r="BT341" s="9">
        <v>1</v>
      </c>
      <c r="BU341" s="9">
        <v>1</v>
      </c>
      <c r="BV341" s="9">
        <v>1</v>
      </c>
      <c r="BW341" s="9">
        <v>1</v>
      </c>
      <c r="BX341" s="9">
        <v>1</v>
      </c>
    </row>
    <row r="342" spans="1:76">
      <c r="A342" s="3" t="s">
        <v>66</v>
      </c>
      <c r="B342" t="s">
        <v>4140</v>
      </c>
      <c r="D342" t="s">
        <v>4967</v>
      </c>
      <c r="F342" s="91" t="s">
        <v>4973</v>
      </c>
      <c r="H342" s="3" t="s">
        <v>4984</v>
      </c>
      <c r="I342" s="3"/>
      <c r="J342" s="124"/>
      <c r="K342" s="124"/>
      <c r="M342" s="124"/>
      <c r="V342" s="9">
        <v>1</v>
      </c>
      <c r="W342" s="9">
        <v>1</v>
      </c>
      <c r="X342" s="10">
        <v>1</v>
      </c>
      <c r="Y342" s="9">
        <v>1</v>
      </c>
      <c r="Z342" s="9">
        <v>1</v>
      </c>
      <c r="AA342" s="9">
        <v>1</v>
      </c>
      <c r="AB342" s="9">
        <v>1</v>
      </c>
      <c r="AC342" s="9">
        <v>1</v>
      </c>
      <c r="AD342" s="9">
        <v>1</v>
      </c>
      <c r="AE342" s="9">
        <v>1</v>
      </c>
      <c r="AF342" s="9">
        <v>1</v>
      </c>
      <c r="AG342" s="9">
        <v>1</v>
      </c>
      <c r="AH342" s="9">
        <v>1</v>
      </c>
      <c r="AI342" s="9">
        <v>1</v>
      </c>
      <c r="AJ342" s="9">
        <v>1</v>
      </c>
      <c r="AK342" s="9">
        <v>1</v>
      </c>
      <c r="AL342" s="9">
        <v>1</v>
      </c>
      <c r="AM342" s="9">
        <v>1</v>
      </c>
      <c r="AN342" s="9">
        <v>1</v>
      </c>
      <c r="AO342" s="9">
        <v>1</v>
      </c>
      <c r="AP342" s="9">
        <v>1</v>
      </c>
      <c r="AQ342" s="9">
        <v>1</v>
      </c>
      <c r="AR342" s="9">
        <v>1</v>
      </c>
      <c r="AS342" s="9">
        <v>1</v>
      </c>
      <c r="AT342" s="9">
        <v>1</v>
      </c>
      <c r="AU342" s="9">
        <v>1</v>
      </c>
      <c r="AV342" s="9">
        <v>1</v>
      </c>
      <c r="AW342" s="9">
        <v>1</v>
      </c>
      <c r="AX342" s="9">
        <v>1</v>
      </c>
      <c r="AY342" s="9">
        <v>1</v>
      </c>
      <c r="AZ342" s="9">
        <v>1</v>
      </c>
      <c r="BA342" s="9">
        <v>1</v>
      </c>
      <c r="BB342" s="9">
        <v>1</v>
      </c>
      <c r="BC342" s="9">
        <v>1</v>
      </c>
      <c r="BD342" s="9">
        <v>1</v>
      </c>
      <c r="BE342" s="9">
        <v>1</v>
      </c>
      <c r="BF342" s="9">
        <v>1</v>
      </c>
      <c r="BG342" s="9">
        <v>1</v>
      </c>
      <c r="BH342" s="9">
        <v>1</v>
      </c>
      <c r="BI342" s="9">
        <v>1</v>
      </c>
      <c r="BJ342" s="9">
        <v>1</v>
      </c>
      <c r="BK342" s="9">
        <v>1</v>
      </c>
      <c r="BL342" s="9">
        <v>1</v>
      </c>
      <c r="BM342" s="9">
        <v>1</v>
      </c>
      <c r="BN342" s="9">
        <v>1</v>
      </c>
      <c r="BO342" s="9">
        <v>1</v>
      </c>
      <c r="BP342" s="9">
        <v>1</v>
      </c>
      <c r="BQ342" s="9">
        <v>1</v>
      </c>
      <c r="BR342" s="9">
        <v>1</v>
      </c>
      <c r="BS342" s="9">
        <v>1</v>
      </c>
      <c r="BT342" s="9">
        <v>1</v>
      </c>
      <c r="BU342" s="9">
        <v>1</v>
      </c>
      <c r="BV342" s="9">
        <v>1</v>
      </c>
      <c r="BW342" s="9">
        <v>1</v>
      </c>
      <c r="BX342" s="9">
        <v>1</v>
      </c>
    </row>
    <row r="343" spans="1:76">
      <c r="A343" s="3" t="s">
        <v>66</v>
      </c>
      <c r="B343" t="s">
        <v>4142</v>
      </c>
      <c r="D343" t="s">
        <v>4967</v>
      </c>
      <c r="F343" s="91" t="s">
        <v>4973</v>
      </c>
      <c r="H343" s="3" t="s">
        <v>4984</v>
      </c>
      <c r="I343" s="3"/>
      <c r="J343" s="124"/>
      <c r="K343" s="124"/>
      <c r="M343" s="124"/>
      <c r="V343" s="9">
        <v>1</v>
      </c>
      <c r="W343" s="9">
        <v>1</v>
      </c>
      <c r="X343" s="10">
        <v>1</v>
      </c>
      <c r="Y343" s="9">
        <v>1</v>
      </c>
      <c r="Z343" s="9">
        <v>1</v>
      </c>
      <c r="AA343" s="9">
        <v>1</v>
      </c>
      <c r="AB343" s="9">
        <v>1</v>
      </c>
      <c r="AC343" s="9">
        <v>1</v>
      </c>
      <c r="AD343" s="9">
        <v>1</v>
      </c>
      <c r="AE343" s="9">
        <v>1</v>
      </c>
      <c r="AF343" s="9">
        <v>1</v>
      </c>
      <c r="AG343" s="9">
        <v>1</v>
      </c>
      <c r="AH343" s="9">
        <v>1</v>
      </c>
      <c r="AI343" s="9">
        <v>1</v>
      </c>
      <c r="AJ343" s="9">
        <v>1</v>
      </c>
      <c r="AK343" s="9">
        <v>1</v>
      </c>
      <c r="AL343" s="9">
        <v>1</v>
      </c>
      <c r="AM343" s="9">
        <v>1</v>
      </c>
      <c r="AN343" s="9">
        <v>1</v>
      </c>
      <c r="AO343" s="9">
        <v>1</v>
      </c>
      <c r="AP343" s="9">
        <v>1</v>
      </c>
      <c r="AQ343" s="9">
        <v>1</v>
      </c>
      <c r="AR343" s="9">
        <v>1</v>
      </c>
      <c r="AS343" s="9">
        <v>1</v>
      </c>
      <c r="AT343" s="9">
        <v>1</v>
      </c>
      <c r="AU343" s="9">
        <v>1</v>
      </c>
      <c r="AV343" s="9">
        <v>1</v>
      </c>
      <c r="AW343" s="9">
        <v>1</v>
      </c>
      <c r="AX343" s="9">
        <v>1</v>
      </c>
      <c r="AY343" s="9">
        <v>1</v>
      </c>
      <c r="AZ343" s="9">
        <v>1</v>
      </c>
      <c r="BA343" s="9">
        <v>1</v>
      </c>
      <c r="BB343" s="9">
        <v>1</v>
      </c>
      <c r="BC343" s="9">
        <v>1</v>
      </c>
      <c r="BD343" s="9">
        <v>1</v>
      </c>
      <c r="BE343" s="9">
        <v>1</v>
      </c>
      <c r="BF343" s="9">
        <v>1</v>
      </c>
      <c r="BG343" s="9">
        <v>1</v>
      </c>
      <c r="BH343" s="9">
        <v>1</v>
      </c>
      <c r="BI343" s="9">
        <v>1</v>
      </c>
      <c r="BJ343" s="9">
        <v>1</v>
      </c>
      <c r="BK343" s="9">
        <v>1</v>
      </c>
      <c r="BL343" s="9">
        <v>1</v>
      </c>
      <c r="BM343" s="9">
        <v>1</v>
      </c>
      <c r="BN343" s="9">
        <v>1</v>
      </c>
      <c r="BO343" s="9">
        <v>1</v>
      </c>
      <c r="BP343" s="9">
        <v>1</v>
      </c>
      <c r="BQ343" s="9">
        <v>1</v>
      </c>
      <c r="BR343" s="9">
        <v>1</v>
      </c>
      <c r="BS343" s="9">
        <v>1</v>
      </c>
      <c r="BT343" s="9">
        <v>1</v>
      </c>
      <c r="BU343" s="9">
        <v>1</v>
      </c>
      <c r="BV343" s="9">
        <v>1</v>
      </c>
      <c r="BW343" s="9">
        <v>1</v>
      </c>
      <c r="BX343" s="9">
        <v>1</v>
      </c>
    </row>
    <row r="344" spans="1:76">
      <c r="A344" s="3" t="s">
        <v>66</v>
      </c>
      <c r="B344" t="s">
        <v>4011</v>
      </c>
      <c r="D344" t="s">
        <v>4967</v>
      </c>
      <c r="F344" s="91" t="s">
        <v>4973</v>
      </c>
      <c r="H344" s="3" t="s">
        <v>4984</v>
      </c>
      <c r="I344" s="3"/>
      <c r="J344" s="124"/>
      <c r="K344" s="124"/>
      <c r="M344" s="124"/>
      <c r="V344" s="9">
        <v>1</v>
      </c>
      <c r="W344" s="9">
        <v>1</v>
      </c>
      <c r="X344" s="10">
        <v>1</v>
      </c>
      <c r="Y344" s="9">
        <v>1</v>
      </c>
      <c r="Z344" s="9">
        <v>1</v>
      </c>
      <c r="AA344" s="9">
        <v>1</v>
      </c>
      <c r="AB344" s="9">
        <v>1</v>
      </c>
      <c r="AC344" s="9">
        <v>1</v>
      </c>
      <c r="AD344" s="9">
        <v>1</v>
      </c>
      <c r="AE344" s="9">
        <v>1</v>
      </c>
      <c r="AF344" s="9">
        <v>1</v>
      </c>
      <c r="AG344" s="9">
        <v>1</v>
      </c>
      <c r="AH344" s="9">
        <v>1</v>
      </c>
      <c r="AI344" s="9">
        <v>1</v>
      </c>
      <c r="AJ344" s="9">
        <v>1</v>
      </c>
      <c r="AK344" s="9">
        <v>1</v>
      </c>
      <c r="AL344" s="9">
        <v>1</v>
      </c>
      <c r="AM344" s="9">
        <v>1</v>
      </c>
      <c r="AN344" s="9">
        <v>1</v>
      </c>
      <c r="AO344" s="9">
        <v>1</v>
      </c>
      <c r="AP344" s="9">
        <v>1</v>
      </c>
      <c r="AQ344" s="9">
        <v>1</v>
      </c>
      <c r="AR344" s="9">
        <v>1</v>
      </c>
      <c r="AS344" s="9">
        <v>1</v>
      </c>
      <c r="AT344" s="9">
        <v>1</v>
      </c>
      <c r="AU344" s="9">
        <v>1</v>
      </c>
      <c r="AV344" s="9">
        <v>1</v>
      </c>
      <c r="AW344" s="9">
        <v>1</v>
      </c>
      <c r="AX344" s="9">
        <v>1</v>
      </c>
      <c r="AY344" s="9">
        <v>1</v>
      </c>
      <c r="AZ344" s="9">
        <v>1</v>
      </c>
      <c r="BA344" s="9">
        <v>1</v>
      </c>
      <c r="BB344" s="9">
        <v>1</v>
      </c>
      <c r="BC344" s="9">
        <v>1</v>
      </c>
      <c r="BD344" s="9">
        <v>1</v>
      </c>
      <c r="BE344" s="9">
        <v>1</v>
      </c>
      <c r="BF344" s="9">
        <v>1</v>
      </c>
      <c r="BG344" s="9">
        <v>1</v>
      </c>
      <c r="BH344" s="9">
        <v>1</v>
      </c>
      <c r="BI344" s="9">
        <v>1</v>
      </c>
      <c r="BJ344" s="9">
        <v>1</v>
      </c>
      <c r="BK344" s="9">
        <v>1</v>
      </c>
      <c r="BL344" s="9">
        <v>1</v>
      </c>
      <c r="BM344" s="9">
        <v>1</v>
      </c>
      <c r="BN344" s="9">
        <v>1</v>
      </c>
      <c r="BO344" s="9">
        <v>1</v>
      </c>
      <c r="BP344" s="9">
        <v>1</v>
      </c>
      <c r="BQ344" s="9">
        <v>1</v>
      </c>
      <c r="BR344" s="9">
        <v>1</v>
      </c>
      <c r="BS344" s="9">
        <v>1</v>
      </c>
      <c r="BT344" s="9">
        <v>1</v>
      </c>
      <c r="BU344" s="9">
        <v>1</v>
      </c>
      <c r="BV344" s="9">
        <v>1</v>
      </c>
      <c r="BW344" s="9">
        <v>1</v>
      </c>
      <c r="BX344" s="9">
        <v>1</v>
      </c>
    </row>
    <row r="345" spans="1:76">
      <c r="A345" s="3" t="s">
        <v>66</v>
      </c>
      <c r="B345" t="s">
        <v>4013</v>
      </c>
      <c r="D345" t="s">
        <v>4967</v>
      </c>
      <c r="F345" s="91" t="s">
        <v>4973</v>
      </c>
      <c r="H345" s="3" t="s">
        <v>4984</v>
      </c>
      <c r="I345" s="3"/>
      <c r="J345" s="124"/>
      <c r="K345" s="124"/>
      <c r="M345" s="124"/>
      <c r="V345" s="9">
        <v>1</v>
      </c>
      <c r="W345" s="9">
        <v>1</v>
      </c>
      <c r="X345" s="10">
        <v>1</v>
      </c>
      <c r="Y345" s="9">
        <v>1</v>
      </c>
      <c r="Z345" s="9">
        <v>1</v>
      </c>
      <c r="AA345" s="9">
        <v>1</v>
      </c>
      <c r="AB345" s="9">
        <v>1</v>
      </c>
      <c r="AC345" s="9">
        <v>1</v>
      </c>
      <c r="AD345" s="9">
        <v>1</v>
      </c>
      <c r="AE345" s="9">
        <v>1</v>
      </c>
      <c r="AF345" s="9">
        <v>1</v>
      </c>
      <c r="AG345" s="9">
        <v>1</v>
      </c>
      <c r="AH345" s="9">
        <v>1</v>
      </c>
      <c r="AI345" s="9">
        <v>1</v>
      </c>
      <c r="AJ345" s="9">
        <v>1</v>
      </c>
      <c r="AK345" s="9">
        <v>1</v>
      </c>
      <c r="AL345" s="9">
        <v>1</v>
      </c>
      <c r="AM345" s="9">
        <v>1</v>
      </c>
      <c r="AN345" s="9">
        <v>1</v>
      </c>
      <c r="AO345" s="9">
        <v>1</v>
      </c>
      <c r="AP345" s="9">
        <v>1</v>
      </c>
      <c r="AQ345" s="9">
        <v>1</v>
      </c>
      <c r="AR345" s="9">
        <v>1</v>
      </c>
      <c r="AS345" s="9">
        <v>1</v>
      </c>
      <c r="AT345" s="9">
        <v>1</v>
      </c>
      <c r="AU345" s="9">
        <v>1</v>
      </c>
      <c r="AV345" s="9">
        <v>1</v>
      </c>
      <c r="AW345" s="9">
        <v>1</v>
      </c>
      <c r="AX345" s="9">
        <v>1</v>
      </c>
      <c r="AY345" s="9">
        <v>1</v>
      </c>
      <c r="AZ345" s="9">
        <v>1</v>
      </c>
      <c r="BA345" s="9">
        <v>1</v>
      </c>
      <c r="BB345" s="9">
        <v>1</v>
      </c>
      <c r="BC345" s="9">
        <v>1</v>
      </c>
      <c r="BD345" s="9">
        <v>1</v>
      </c>
      <c r="BE345" s="9">
        <v>1</v>
      </c>
      <c r="BF345" s="9">
        <v>1</v>
      </c>
      <c r="BG345" s="9">
        <v>1</v>
      </c>
      <c r="BH345" s="9">
        <v>1</v>
      </c>
      <c r="BI345" s="9">
        <v>1</v>
      </c>
      <c r="BJ345" s="9">
        <v>1</v>
      </c>
      <c r="BK345" s="9">
        <v>1</v>
      </c>
      <c r="BL345" s="9">
        <v>1</v>
      </c>
      <c r="BM345" s="9">
        <v>1</v>
      </c>
      <c r="BN345" s="9">
        <v>1</v>
      </c>
      <c r="BO345" s="9">
        <v>1</v>
      </c>
      <c r="BP345" s="9">
        <v>1</v>
      </c>
      <c r="BQ345" s="9">
        <v>1</v>
      </c>
      <c r="BR345" s="9">
        <v>1</v>
      </c>
      <c r="BS345" s="9">
        <v>1</v>
      </c>
      <c r="BT345" s="9">
        <v>1</v>
      </c>
      <c r="BU345" s="9">
        <v>1</v>
      </c>
      <c r="BV345" s="9">
        <v>1</v>
      </c>
      <c r="BW345" s="9">
        <v>1</v>
      </c>
      <c r="BX345" s="9">
        <v>1</v>
      </c>
    </row>
    <row r="346" spans="1:76">
      <c r="A346" s="3" t="s">
        <v>66</v>
      </c>
      <c r="B346" t="s">
        <v>4015</v>
      </c>
      <c r="D346" t="s">
        <v>4967</v>
      </c>
      <c r="F346" s="91" t="s">
        <v>4973</v>
      </c>
      <c r="H346" s="3" t="s">
        <v>4984</v>
      </c>
      <c r="I346" s="3"/>
      <c r="J346" s="124"/>
      <c r="K346" s="124"/>
      <c r="M346" s="124"/>
      <c r="V346" s="9">
        <v>1</v>
      </c>
      <c r="W346" s="9">
        <v>1</v>
      </c>
      <c r="X346" s="10">
        <v>1</v>
      </c>
      <c r="Y346" s="9">
        <v>1</v>
      </c>
      <c r="Z346" s="9">
        <v>1</v>
      </c>
      <c r="AA346" s="9">
        <v>1</v>
      </c>
      <c r="AB346" s="9">
        <v>1</v>
      </c>
      <c r="AC346" s="9">
        <v>1</v>
      </c>
      <c r="AD346" s="9">
        <v>1</v>
      </c>
      <c r="AE346" s="9">
        <v>1</v>
      </c>
      <c r="AF346" s="9">
        <v>1</v>
      </c>
      <c r="AG346" s="9">
        <v>1</v>
      </c>
      <c r="AH346" s="9">
        <v>1</v>
      </c>
      <c r="AI346" s="9">
        <v>1</v>
      </c>
      <c r="AJ346" s="9">
        <v>1</v>
      </c>
      <c r="AK346" s="9">
        <v>1</v>
      </c>
      <c r="AL346" s="9">
        <v>1</v>
      </c>
      <c r="AM346" s="9">
        <v>1</v>
      </c>
      <c r="AN346" s="9">
        <v>1</v>
      </c>
      <c r="AO346" s="9">
        <v>1</v>
      </c>
      <c r="AP346" s="9">
        <v>1</v>
      </c>
      <c r="AQ346" s="9">
        <v>1</v>
      </c>
      <c r="AR346" s="9">
        <v>1</v>
      </c>
      <c r="AS346" s="9">
        <v>1</v>
      </c>
      <c r="AT346" s="9">
        <v>1</v>
      </c>
      <c r="AU346" s="9">
        <v>1</v>
      </c>
      <c r="AV346" s="9">
        <v>1</v>
      </c>
      <c r="AW346" s="9">
        <v>1</v>
      </c>
      <c r="AX346" s="9">
        <v>1</v>
      </c>
      <c r="AY346" s="9">
        <v>1</v>
      </c>
      <c r="AZ346" s="9">
        <v>1</v>
      </c>
      <c r="BA346" s="9">
        <v>1</v>
      </c>
      <c r="BB346" s="9">
        <v>1</v>
      </c>
      <c r="BC346" s="9">
        <v>1</v>
      </c>
      <c r="BD346" s="9">
        <v>1</v>
      </c>
      <c r="BE346" s="9">
        <v>1</v>
      </c>
      <c r="BF346" s="9">
        <v>1</v>
      </c>
      <c r="BG346" s="9">
        <v>1</v>
      </c>
      <c r="BH346" s="9">
        <v>1</v>
      </c>
      <c r="BI346" s="9">
        <v>1</v>
      </c>
      <c r="BJ346" s="9">
        <v>1</v>
      </c>
      <c r="BK346" s="9">
        <v>1</v>
      </c>
      <c r="BL346" s="9">
        <v>1</v>
      </c>
      <c r="BM346" s="9">
        <v>1</v>
      </c>
      <c r="BN346" s="9">
        <v>1</v>
      </c>
      <c r="BO346" s="9">
        <v>1</v>
      </c>
      <c r="BP346" s="9">
        <v>1</v>
      </c>
      <c r="BQ346" s="9">
        <v>1</v>
      </c>
      <c r="BR346" s="9">
        <v>1</v>
      </c>
      <c r="BS346" s="9">
        <v>1</v>
      </c>
      <c r="BT346" s="9">
        <v>1</v>
      </c>
      <c r="BU346" s="9">
        <v>1</v>
      </c>
      <c r="BV346" s="9">
        <v>1</v>
      </c>
      <c r="BW346" s="9">
        <v>1</v>
      </c>
      <c r="BX346" s="9">
        <v>1</v>
      </c>
    </row>
    <row r="347" spans="1:76">
      <c r="A347" s="3" t="s">
        <v>66</v>
      </c>
      <c r="B347" t="s">
        <v>4017</v>
      </c>
      <c r="D347" t="s">
        <v>4967</v>
      </c>
      <c r="F347" s="91" t="s">
        <v>4973</v>
      </c>
      <c r="H347" s="3" t="s">
        <v>4984</v>
      </c>
      <c r="I347" s="3"/>
      <c r="J347" s="124"/>
      <c r="K347" s="124"/>
      <c r="M347" s="124"/>
      <c r="V347" s="9">
        <v>1</v>
      </c>
      <c r="W347" s="9">
        <v>1</v>
      </c>
      <c r="X347" s="10">
        <v>1</v>
      </c>
      <c r="Y347" s="9">
        <v>1</v>
      </c>
      <c r="Z347" s="9">
        <v>1</v>
      </c>
      <c r="AA347" s="9">
        <v>1</v>
      </c>
      <c r="AB347" s="9">
        <v>1</v>
      </c>
      <c r="AC347" s="9">
        <v>1</v>
      </c>
      <c r="AD347" s="9">
        <v>1</v>
      </c>
      <c r="AE347" s="9">
        <v>1</v>
      </c>
      <c r="AF347" s="9">
        <v>1</v>
      </c>
      <c r="AG347" s="9">
        <v>1</v>
      </c>
      <c r="AH347" s="9">
        <v>1</v>
      </c>
      <c r="AI347" s="9">
        <v>1</v>
      </c>
      <c r="AJ347" s="9">
        <v>1</v>
      </c>
      <c r="AK347" s="9">
        <v>1</v>
      </c>
      <c r="AL347" s="9">
        <v>1</v>
      </c>
      <c r="AM347" s="9">
        <v>1</v>
      </c>
      <c r="AN347" s="9">
        <v>1</v>
      </c>
      <c r="AO347" s="9">
        <v>1</v>
      </c>
      <c r="AP347" s="9">
        <v>1</v>
      </c>
      <c r="AQ347" s="9">
        <v>1</v>
      </c>
      <c r="AR347" s="9">
        <v>1</v>
      </c>
      <c r="AS347" s="9">
        <v>1</v>
      </c>
      <c r="AT347" s="9">
        <v>1</v>
      </c>
      <c r="AU347" s="9">
        <v>1</v>
      </c>
      <c r="AV347" s="9">
        <v>1</v>
      </c>
      <c r="AW347" s="9">
        <v>1</v>
      </c>
      <c r="AX347" s="9">
        <v>1</v>
      </c>
      <c r="AY347" s="9">
        <v>1</v>
      </c>
      <c r="AZ347" s="9">
        <v>1</v>
      </c>
      <c r="BA347" s="9">
        <v>1</v>
      </c>
      <c r="BB347" s="9">
        <v>1</v>
      </c>
      <c r="BC347" s="9">
        <v>1</v>
      </c>
      <c r="BD347" s="9">
        <v>1</v>
      </c>
      <c r="BE347" s="9">
        <v>1</v>
      </c>
      <c r="BF347" s="9">
        <v>1</v>
      </c>
      <c r="BG347" s="9">
        <v>1</v>
      </c>
      <c r="BH347" s="9">
        <v>1</v>
      </c>
      <c r="BI347" s="9">
        <v>1</v>
      </c>
      <c r="BJ347" s="9">
        <v>1</v>
      </c>
      <c r="BK347" s="9">
        <v>1</v>
      </c>
      <c r="BL347" s="9">
        <v>1</v>
      </c>
      <c r="BM347" s="9">
        <v>1</v>
      </c>
      <c r="BN347" s="9">
        <v>1</v>
      </c>
      <c r="BO347" s="9">
        <v>1</v>
      </c>
      <c r="BP347" s="9">
        <v>1</v>
      </c>
      <c r="BQ347" s="9">
        <v>1</v>
      </c>
      <c r="BR347" s="9">
        <v>1</v>
      </c>
      <c r="BS347" s="9">
        <v>1</v>
      </c>
      <c r="BT347" s="9">
        <v>1</v>
      </c>
      <c r="BU347" s="9">
        <v>1</v>
      </c>
      <c r="BV347" s="9">
        <v>1</v>
      </c>
      <c r="BW347" s="9">
        <v>1</v>
      </c>
      <c r="BX347" s="9">
        <v>1</v>
      </c>
    </row>
    <row r="348" spans="1:76">
      <c r="A348" s="3" t="s">
        <v>66</v>
      </c>
      <c r="B348" t="s">
        <v>4019</v>
      </c>
      <c r="D348" t="s">
        <v>4967</v>
      </c>
      <c r="F348" s="91" t="s">
        <v>4973</v>
      </c>
      <c r="H348" s="3" t="s">
        <v>4984</v>
      </c>
      <c r="I348" s="3"/>
      <c r="J348" s="124"/>
      <c r="K348" s="124"/>
      <c r="M348" s="124"/>
      <c r="V348" s="9">
        <v>1</v>
      </c>
      <c r="W348" s="9">
        <v>1</v>
      </c>
      <c r="X348" s="10">
        <v>1</v>
      </c>
      <c r="Y348" s="9">
        <v>1</v>
      </c>
      <c r="Z348" s="9">
        <v>1</v>
      </c>
      <c r="AA348" s="9">
        <v>1</v>
      </c>
      <c r="AB348" s="9">
        <v>1</v>
      </c>
      <c r="AC348" s="9">
        <v>1</v>
      </c>
      <c r="AD348" s="9">
        <v>1</v>
      </c>
      <c r="AE348" s="9">
        <v>1</v>
      </c>
      <c r="AF348" s="9">
        <v>1</v>
      </c>
      <c r="AG348" s="9">
        <v>1</v>
      </c>
      <c r="AH348" s="9">
        <v>1</v>
      </c>
      <c r="AI348" s="9">
        <v>1</v>
      </c>
      <c r="AJ348" s="9">
        <v>1</v>
      </c>
      <c r="AK348" s="9">
        <v>1</v>
      </c>
      <c r="AL348" s="9">
        <v>1</v>
      </c>
      <c r="AM348" s="9">
        <v>1</v>
      </c>
      <c r="AN348" s="9">
        <v>1</v>
      </c>
      <c r="AO348" s="9">
        <v>1</v>
      </c>
      <c r="AP348" s="9">
        <v>1</v>
      </c>
      <c r="AQ348" s="9">
        <v>1</v>
      </c>
      <c r="AR348" s="9">
        <v>1</v>
      </c>
      <c r="AS348" s="9">
        <v>1</v>
      </c>
      <c r="AT348" s="9">
        <v>1</v>
      </c>
      <c r="AU348" s="9">
        <v>1</v>
      </c>
      <c r="AV348" s="9">
        <v>1</v>
      </c>
      <c r="AW348" s="9">
        <v>1</v>
      </c>
      <c r="AX348" s="9">
        <v>1</v>
      </c>
      <c r="AY348" s="9">
        <v>1</v>
      </c>
      <c r="AZ348" s="9">
        <v>1</v>
      </c>
      <c r="BA348" s="9">
        <v>1</v>
      </c>
      <c r="BB348" s="9">
        <v>1</v>
      </c>
      <c r="BC348" s="9">
        <v>1</v>
      </c>
      <c r="BD348" s="9">
        <v>1</v>
      </c>
      <c r="BE348" s="9">
        <v>1</v>
      </c>
      <c r="BF348" s="9">
        <v>1</v>
      </c>
      <c r="BG348" s="9">
        <v>1</v>
      </c>
      <c r="BH348" s="9">
        <v>1</v>
      </c>
      <c r="BI348" s="9">
        <v>1</v>
      </c>
      <c r="BJ348" s="9">
        <v>1</v>
      </c>
      <c r="BK348" s="9">
        <v>1</v>
      </c>
      <c r="BL348" s="9">
        <v>1</v>
      </c>
      <c r="BM348" s="9">
        <v>1</v>
      </c>
      <c r="BN348" s="9">
        <v>1</v>
      </c>
      <c r="BO348" s="9">
        <v>1</v>
      </c>
      <c r="BP348" s="9">
        <v>1</v>
      </c>
      <c r="BQ348" s="9">
        <v>1</v>
      </c>
      <c r="BR348" s="9">
        <v>1</v>
      </c>
      <c r="BS348" s="9">
        <v>1</v>
      </c>
      <c r="BT348" s="9">
        <v>1</v>
      </c>
      <c r="BU348" s="9">
        <v>1</v>
      </c>
      <c r="BV348" s="9">
        <v>1</v>
      </c>
      <c r="BW348" s="9">
        <v>1</v>
      </c>
      <c r="BX348" s="9">
        <v>1</v>
      </c>
    </row>
    <row r="349" spans="1:76">
      <c r="A349" s="3" t="s">
        <v>66</v>
      </c>
      <c r="B349" t="s">
        <v>4021</v>
      </c>
      <c r="D349" t="s">
        <v>4967</v>
      </c>
      <c r="F349" s="91" t="s">
        <v>4973</v>
      </c>
      <c r="H349" s="3" t="s">
        <v>4984</v>
      </c>
      <c r="I349" s="3"/>
      <c r="J349" s="124"/>
      <c r="K349" s="124"/>
      <c r="M349" s="124"/>
      <c r="V349" s="9">
        <v>1</v>
      </c>
      <c r="W349" s="9">
        <v>1</v>
      </c>
      <c r="X349" s="10">
        <v>1</v>
      </c>
      <c r="Y349" s="9">
        <v>1</v>
      </c>
      <c r="Z349" s="9">
        <v>1</v>
      </c>
      <c r="AA349" s="9">
        <v>1</v>
      </c>
      <c r="AB349" s="9">
        <v>1</v>
      </c>
      <c r="AC349" s="9">
        <v>1</v>
      </c>
      <c r="AD349" s="9">
        <v>1</v>
      </c>
      <c r="AE349" s="9">
        <v>1</v>
      </c>
      <c r="AF349" s="9">
        <v>1</v>
      </c>
      <c r="AG349" s="9">
        <v>1</v>
      </c>
      <c r="AH349" s="9">
        <v>1</v>
      </c>
      <c r="AI349" s="9">
        <v>1</v>
      </c>
      <c r="AJ349" s="9">
        <v>1</v>
      </c>
      <c r="AK349" s="9">
        <v>1</v>
      </c>
      <c r="AL349" s="9">
        <v>1</v>
      </c>
      <c r="AM349" s="9">
        <v>1</v>
      </c>
      <c r="AN349" s="9">
        <v>1</v>
      </c>
      <c r="AO349" s="9">
        <v>1</v>
      </c>
      <c r="AP349" s="9">
        <v>1</v>
      </c>
      <c r="AQ349" s="9">
        <v>1</v>
      </c>
      <c r="AR349" s="9">
        <v>1</v>
      </c>
      <c r="AS349" s="9">
        <v>1</v>
      </c>
      <c r="AT349" s="9">
        <v>1</v>
      </c>
      <c r="AU349" s="9">
        <v>1</v>
      </c>
      <c r="AV349" s="9">
        <v>1</v>
      </c>
      <c r="AW349" s="9">
        <v>1</v>
      </c>
      <c r="AX349" s="9">
        <v>1</v>
      </c>
      <c r="AY349" s="9">
        <v>1</v>
      </c>
      <c r="AZ349" s="9">
        <v>1</v>
      </c>
      <c r="BA349" s="9">
        <v>1</v>
      </c>
      <c r="BB349" s="9">
        <v>1</v>
      </c>
      <c r="BC349" s="9">
        <v>1</v>
      </c>
      <c r="BD349" s="9">
        <v>1</v>
      </c>
      <c r="BE349" s="9">
        <v>1</v>
      </c>
      <c r="BF349" s="9">
        <v>1</v>
      </c>
      <c r="BG349" s="9">
        <v>1</v>
      </c>
      <c r="BH349" s="9">
        <v>1</v>
      </c>
      <c r="BI349" s="9">
        <v>1</v>
      </c>
      <c r="BJ349" s="9">
        <v>1</v>
      </c>
      <c r="BK349" s="9">
        <v>1</v>
      </c>
      <c r="BL349" s="9">
        <v>1</v>
      </c>
      <c r="BM349" s="9">
        <v>1</v>
      </c>
      <c r="BN349" s="9">
        <v>1</v>
      </c>
      <c r="BO349" s="9">
        <v>1</v>
      </c>
      <c r="BP349" s="9">
        <v>1</v>
      </c>
      <c r="BQ349" s="9">
        <v>1</v>
      </c>
      <c r="BR349" s="9">
        <v>1</v>
      </c>
      <c r="BS349" s="9">
        <v>1</v>
      </c>
      <c r="BT349" s="9">
        <v>1</v>
      </c>
      <c r="BU349" s="9">
        <v>1</v>
      </c>
      <c r="BV349" s="9">
        <v>1</v>
      </c>
      <c r="BW349" s="9">
        <v>1</v>
      </c>
      <c r="BX349" s="9">
        <v>1</v>
      </c>
    </row>
    <row r="350" spans="1:76">
      <c r="A350" s="3" t="s">
        <v>66</v>
      </c>
      <c r="B350" t="s">
        <v>4023</v>
      </c>
      <c r="D350" t="s">
        <v>4967</v>
      </c>
      <c r="F350" s="91" t="s">
        <v>4973</v>
      </c>
      <c r="H350" s="3" t="s">
        <v>4984</v>
      </c>
      <c r="I350" s="3"/>
      <c r="J350" s="124"/>
      <c r="K350" s="124"/>
      <c r="M350" s="124"/>
      <c r="V350" s="9">
        <v>1</v>
      </c>
      <c r="W350" s="9">
        <v>1</v>
      </c>
      <c r="X350" s="10">
        <v>1</v>
      </c>
      <c r="Y350" s="9">
        <v>1</v>
      </c>
      <c r="Z350" s="9">
        <v>1</v>
      </c>
      <c r="AA350" s="9">
        <v>1</v>
      </c>
      <c r="AB350" s="9">
        <v>1</v>
      </c>
      <c r="AC350" s="9">
        <v>1</v>
      </c>
      <c r="AD350" s="9">
        <v>1</v>
      </c>
      <c r="AE350" s="9">
        <v>1</v>
      </c>
      <c r="AF350" s="9">
        <v>1</v>
      </c>
      <c r="AG350" s="9">
        <v>1</v>
      </c>
      <c r="AH350" s="9">
        <v>1</v>
      </c>
      <c r="AI350" s="9">
        <v>1</v>
      </c>
      <c r="AJ350" s="9">
        <v>1</v>
      </c>
      <c r="AK350" s="9">
        <v>1</v>
      </c>
      <c r="AL350" s="9">
        <v>1</v>
      </c>
      <c r="AM350" s="9">
        <v>1</v>
      </c>
      <c r="AN350" s="9">
        <v>1</v>
      </c>
      <c r="AO350" s="9">
        <v>1</v>
      </c>
      <c r="AP350" s="9">
        <v>1</v>
      </c>
      <c r="AQ350" s="9">
        <v>1</v>
      </c>
      <c r="AR350" s="9">
        <v>1</v>
      </c>
      <c r="AS350" s="9">
        <v>1</v>
      </c>
      <c r="AT350" s="9">
        <v>1</v>
      </c>
      <c r="AU350" s="9">
        <v>1</v>
      </c>
      <c r="AV350" s="9">
        <v>1</v>
      </c>
      <c r="AW350" s="9">
        <v>1</v>
      </c>
      <c r="AX350" s="9">
        <v>1</v>
      </c>
      <c r="AY350" s="9">
        <v>1</v>
      </c>
      <c r="AZ350" s="9">
        <v>1</v>
      </c>
      <c r="BA350" s="9">
        <v>1</v>
      </c>
      <c r="BB350" s="9">
        <v>1</v>
      </c>
      <c r="BC350" s="9">
        <v>1</v>
      </c>
      <c r="BD350" s="9">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row>
    <row r="351" spans="1:76">
      <c r="A351" s="3" t="s">
        <v>66</v>
      </c>
      <c r="B351" t="s">
        <v>4025</v>
      </c>
      <c r="D351" t="s">
        <v>4967</v>
      </c>
      <c r="F351" s="91" t="s">
        <v>4973</v>
      </c>
      <c r="H351" s="3" t="s">
        <v>4984</v>
      </c>
      <c r="I351" s="3"/>
      <c r="J351" s="124"/>
      <c r="K351" s="124"/>
      <c r="M351" s="124"/>
      <c r="V351" s="9">
        <v>1</v>
      </c>
      <c r="W351" s="9">
        <v>1</v>
      </c>
      <c r="X351" s="10">
        <v>1</v>
      </c>
      <c r="Y351" s="9">
        <v>1</v>
      </c>
      <c r="Z351" s="9">
        <v>1</v>
      </c>
      <c r="AA351" s="9">
        <v>1</v>
      </c>
      <c r="AB351" s="9">
        <v>1</v>
      </c>
      <c r="AC351" s="9">
        <v>1</v>
      </c>
      <c r="AD351" s="9">
        <v>1</v>
      </c>
      <c r="AE351" s="9">
        <v>1</v>
      </c>
      <c r="AF351" s="9">
        <v>1</v>
      </c>
      <c r="AG351" s="9">
        <v>1</v>
      </c>
      <c r="AH351" s="9">
        <v>1</v>
      </c>
      <c r="AI351" s="9">
        <v>1</v>
      </c>
      <c r="AJ351" s="9">
        <v>1</v>
      </c>
      <c r="AK351" s="9">
        <v>1</v>
      </c>
      <c r="AL351" s="9">
        <v>1</v>
      </c>
      <c r="AM351" s="9">
        <v>1</v>
      </c>
      <c r="AN351" s="9">
        <v>1</v>
      </c>
      <c r="AO351" s="9">
        <v>1</v>
      </c>
      <c r="AP351" s="9">
        <v>1</v>
      </c>
      <c r="AQ351" s="9">
        <v>1</v>
      </c>
      <c r="AR351" s="9">
        <v>1</v>
      </c>
      <c r="AS351" s="9">
        <v>1</v>
      </c>
      <c r="AT351" s="9">
        <v>1</v>
      </c>
      <c r="AU351" s="9">
        <v>1</v>
      </c>
      <c r="AV351" s="9">
        <v>1</v>
      </c>
      <c r="AW351" s="9">
        <v>1</v>
      </c>
      <c r="AX351" s="9">
        <v>1</v>
      </c>
      <c r="AY351" s="9">
        <v>1</v>
      </c>
      <c r="AZ351" s="9">
        <v>1</v>
      </c>
      <c r="BA351" s="9">
        <v>1</v>
      </c>
      <c r="BB351" s="9">
        <v>1</v>
      </c>
      <c r="BC351" s="9">
        <v>1</v>
      </c>
      <c r="BD351" s="9">
        <v>1</v>
      </c>
      <c r="BE351" s="9">
        <v>1</v>
      </c>
      <c r="BF351" s="9">
        <v>1</v>
      </c>
      <c r="BG351" s="9">
        <v>1</v>
      </c>
      <c r="BH351" s="9">
        <v>1</v>
      </c>
      <c r="BI351" s="9">
        <v>1</v>
      </c>
      <c r="BJ351" s="9">
        <v>1</v>
      </c>
      <c r="BK351" s="9">
        <v>1</v>
      </c>
      <c r="BL351" s="9">
        <v>1</v>
      </c>
      <c r="BM351" s="9">
        <v>1</v>
      </c>
      <c r="BN351" s="9">
        <v>1</v>
      </c>
      <c r="BO351" s="9">
        <v>1</v>
      </c>
      <c r="BP351" s="9">
        <v>1</v>
      </c>
      <c r="BQ351" s="9">
        <v>1</v>
      </c>
      <c r="BR351" s="9">
        <v>1</v>
      </c>
      <c r="BS351" s="9">
        <v>1</v>
      </c>
      <c r="BT351" s="9">
        <v>1</v>
      </c>
      <c r="BU351" s="9">
        <v>1</v>
      </c>
      <c r="BV351" s="9">
        <v>1</v>
      </c>
      <c r="BW351" s="9">
        <v>1</v>
      </c>
      <c r="BX351" s="9">
        <v>1</v>
      </c>
    </row>
    <row r="352" spans="1:76">
      <c r="A352" s="3" t="s">
        <v>66</v>
      </c>
      <c r="B352" t="s">
        <v>4027</v>
      </c>
      <c r="D352" t="s">
        <v>4967</v>
      </c>
      <c r="F352" s="91" t="s">
        <v>4973</v>
      </c>
      <c r="H352" s="3" t="s">
        <v>4984</v>
      </c>
      <c r="I352" s="3"/>
      <c r="J352" s="124"/>
      <c r="K352" s="124"/>
      <c r="M352" s="124"/>
      <c r="V352" s="9">
        <v>1</v>
      </c>
      <c r="W352" s="9">
        <v>1</v>
      </c>
      <c r="X352" s="10">
        <v>1</v>
      </c>
      <c r="Y352" s="9">
        <v>1</v>
      </c>
      <c r="Z352" s="9">
        <v>1</v>
      </c>
      <c r="AA352" s="9">
        <v>1</v>
      </c>
      <c r="AB352" s="9">
        <v>1</v>
      </c>
      <c r="AC352" s="9">
        <v>1</v>
      </c>
      <c r="AD352" s="9">
        <v>1</v>
      </c>
      <c r="AE352" s="9">
        <v>1</v>
      </c>
      <c r="AF352" s="9">
        <v>1</v>
      </c>
      <c r="AG352" s="9">
        <v>1</v>
      </c>
      <c r="AH352" s="9">
        <v>1</v>
      </c>
      <c r="AI352" s="9">
        <v>1</v>
      </c>
      <c r="AJ352" s="9">
        <v>1</v>
      </c>
      <c r="AK352" s="9">
        <v>1</v>
      </c>
      <c r="AL352" s="9">
        <v>1</v>
      </c>
      <c r="AM352" s="9">
        <v>1</v>
      </c>
      <c r="AN352" s="9">
        <v>1</v>
      </c>
      <c r="AO352" s="9">
        <v>1</v>
      </c>
      <c r="AP352" s="9">
        <v>1</v>
      </c>
      <c r="AQ352" s="9">
        <v>1</v>
      </c>
      <c r="AR352" s="9">
        <v>1</v>
      </c>
      <c r="AS352" s="9">
        <v>1</v>
      </c>
      <c r="AT352" s="9">
        <v>1</v>
      </c>
      <c r="AU352" s="9">
        <v>1</v>
      </c>
      <c r="AV352" s="9">
        <v>1</v>
      </c>
      <c r="AW352" s="9">
        <v>1</v>
      </c>
      <c r="AX352" s="9">
        <v>1</v>
      </c>
      <c r="AY352" s="9">
        <v>1</v>
      </c>
      <c r="AZ352" s="9">
        <v>1</v>
      </c>
      <c r="BA352" s="9">
        <v>1</v>
      </c>
      <c r="BB352" s="9">
        <v>1</v>
      </c>
      <c r="BC352" s="9">
        <v>1</v>
      </c>
      <c r="BD352" s="9">
        <v>1</v>
      </c>
      <c r="BE352" s="9">
        <v>1</v>
      </c>
      <c r="BF352" s="9">
        <v>1</v>
      </c>
      <c r="BG352" s="9">
        <v>1</v>
      </c>
      <c r="BH352" s="9">
        <v>1</v>
      </c>
      <c r="BI352" s="9">
        <v>1</v>
      </c>
      <c r="BJ352" s="9">
        <v>1</v>
      </c>
      <c r="BK352" s="9">
        <v>1</v>
      </c>
      <c r="BL352" s="9">
        <v>1</v>
      </c>
      <c r="BM352" s="9">
        <v>1</v>
      </c>
      <c r="BN352" s="9">
        <v>1</v>
      </c>
      <c r="BO352" s="9">
        <v>1</v>
      </c>
      <c r="BP352" s="9">
        <v>1</v>
      </c>
      <c r="BQ352" s="9">
        <v>1</v>
      </c>
      <c r="BR352" s="9">
        <v>1</v>
      </c>
      <c r="BS352" s="9">
        <v>1</v>
      </c>
      <c r="BT352" s="9">
        <v>1</v>
      </c>
      <c r="BU352" s="9">
        <v>1</v>
      </c>
      <c r="BV352" s="9">
        <v>1</v>
      </c>
      <c r="BW352" s="9">
        <v>1</v>
      </c>
      <c r="BX352" s="9">
        <v>1</v>
      </c>
    </row>
    <row r="353" spans="1:76">
      <c r="A353" s="3" t="s">
        <v>66</v>
      </c>
      <c r="B353" t="s">
        <v>4029</v>
      </c>
      <c r="D353" t="s">
        <v>4967</v>
      </c>
      <c r="F353" s="91" t="s">
        <v>4973</v>
      </c>
      <c r="H353" s="3" t="s">
        <v>4984</v>
      </c>
      <c r="I353" s="3"/>
      <c r="J353" s="124"/>
      <c r="K353" s="124"/>
      <c r="M353" s="124"/>
      <c r="V353" s="9">
        <v>1</v>
      </c>
      <c r="W353" s="9">
        <v>1</v>
      </c>
      <c r="X353" s="10">
        <v>1</v>
      </c>
      <c r="Y353" s="9">
        <v>1</v>
      </c>
      <c r="Z353" s="9">
        <v>1</v>
      </c>
      <c r="AA353" s="9">
        <v>1</v>
      </c>
      <c r="AB353" s="9">
        <v>1</v>
      </c>
      <c r="AC353" s="9">
        <v>1</v>
      </c>
      <c r="AD353" s="9">
        <v>1</v>
      </c>
      <c r="AE353" s="9">
        <v>1</v>
      </c>
      <c r="AF353" s="9">
        <v>1</v>
      </c>
      <c r="AG353" s="9">
        <v>1</v>
      </c>
      <c r="AH353" s="9">
        <v>1</v>
      </c>
      <c r="AI353" s="9">
        <v>1</v>
      </c>
      <c r="AJ353" s="9">
        <v>1</v>
      </c>
      <c r="AK353" s="9">
        <v>1</v>
      </c>
      <c r="AL353" s="9">
        <v>1</v>
      </c>
      <c r="AM353" s="9">
        <v>1</v>
      </c>
      <c r="AN353" s="9">
        <v>1</v>
      </c>
      <c r="AO353" s="9">
        <v>1</v>
      </c>
      <c r="AP353" s="9">
        <v>1</v>
      </c>
      <c r="AQ353" s="9">
        <v>1</v>
      </c>
      <c r="AR353" s="9">
        <v>1</v>
      </c>
      <c r="AS353" s="9">
        <v>1</v>
      </c>
      <c r="AT353" s="9">
        <v>1</v>
      </c>
      <c r="AU353" s="9">
        <v>1</v>
      </c>
      <c r="AV353" s="9">
        <v>1</v>
      </c>
      <c r="AW353" s="9">
        <v>1</v>
      </c>
      <c r="AX353" s="9">
        <v>1</v>
      </c>
      <c r="AY353" s="9">
        <v>1</v>
      </c>
      <c r="AZ353" s="9">
        <v>1</v>
      </c>
      <c r="BA353" s="9">
        <v>1</v>
      </c>
      <c r="BB353" s="9">
        <v>1</v>
      </c>
      <c r="BC353" s="9">
        <v>1</v>
      </c>
      <c r="BD353" s="9">
        <v>1</v>
      </c>
      <c r="BE353" s="9">
        <v>1</v>
      </c>
      <c r="BF353" s="9">
        <v>1</v>
      </c>
      <c r="BG353" s="9">
        <v>1</v>
      </c>
      <c r="BH353" s="9">
        <v>1</v>
      </c>
      <c r="BI353" s="9">
        <v>1</v>
      </c>
      <c r="BJ353" s="9">
        <v>1</v>
      </c>
      <c r="BK353" s="9">
        <v>1</v>
      </c>
      <c r="BL353" s="9">
        <v>1</v>
      </c>
      <c r="BM353" s="9">
        <v>1</v>
      </c>
      <c r="BN353" s="9">
        <v>1</v>
      </c>
      <c r="BO353" s="9">
        <v>1</v>
      </c>
      <c r="BP353" s="9">
        <v>1</v>
      </c>
      <c r="BQ353" s="9">
        <v>1</v>
      </c>
      <c r="BR353" s="9">
        <v>1</v>
      </c>
      <c r="BS353" s="9">
        <v>1</v>
      </c>
      <c r="BT353" s="9">
        <v>1</v>
      </c>
      <c r="BU353" s="9">
        <v>1</v>
      </c>
      <c r="BV353" s="9">
        <v>1</v>
      </c>
      <c r="BW353" s="9">
        <v>1</v>
      </c>
      <c r="BX353" s="9">
        <v>1</v>
      </c>
    </row>
    <row r="354" spans="1:76">
      <c r="A354" s="3" t="s">
        <v>66</v>
      </c>
      <c r="B354" t="s">
        <v>4031</v>
      </c>
      <c r="D354" t="s">
        <v>4967</v>
      </c>
      <c r="F354" s="91" t="s">
        <v>4973</v>
      </c>
      <c r="H354" s="3" t="s">
        <v>4984</v>
      </c>
      <c r="I354" s="3"/>
      <c r="J354" s="124"/>
      <c r="K354" s="124"/>
      <c r="M354" s="124"/>
      <c r="V354" s="9">
        <v>1</v>
      </c>
      <c r="W354" s="9">
        <v>1</v>
      </c>
      <c r="X354" s="10">
        <v>1</v>
      </c>
      <c r="Y354" s="9">
        <v>1</v>
      </c>
      <c r="Z354" s="9">
        <v>1</v>
      </c>
      <c r="AA354" s="9">
        <v>1</v>
      </c>
      <c r="AB354" s="9">
        <v>1</v>
      </c>
      <c r="AC354" s="9">
        <v>1</v>
      </c>
      <c r="AD354" s="9">
        <v>1</v>
      </c>
      <c r="AE354" s="9">
        <v>1</v>
      </c>
      <c r="AF354" s="9">
        <v>1</v>
      </c>
      <c r="AG354" s="9">
        <v>1</v>
      </c>
      <c r="AH354" s="9">
        <v>1</v>
      </c>
      <c r="AI354" s="9">
        <v>1</v>
      </c>
      <c r="AJ354" s="9">
        <v>1</v>
      </c>
      <c r="AK354" s="9">
        <v>1</v>
      </c>
      <c r="AL354" s="9">
        <v>1</v>
      </c>
      <c r="AM354" s="9">
        <v>1</v>
      </c>
      <c r="AN354" s="9">
        <v>1</v>
      </c>
      <c r="AO354" s="9">
        <v>1</v>
      </c>
      <c r="AP354" s="9">
        <v>1</v>
      </c>
      <c r="AQ354" s="9">
        <v>1</v>
      </c>
      <c r="AR354" s="9">
        <v>1</v>
      </c>
      <c r="AS354" s="9">
        <v>1</v>
      </c>
      <c r="AT354" s="9">
        <v>1</v>
      </c>
      <c r="AU354" s="9">
        <v>1</v>
      </c>
      <c r="AV354" s="9">
        <v>1</v>
      </c>
      <c r="AW354" s="9">
        <v>1</v>
      </c>
      <c r="AX354" s="9">
        <v>1</v>
      </c>
      <c r="AY354" s="9">
        <v>1</v>
      </c>
      <c r="AZ354" s="9">
        <v>1</v>
      </c>
      <c r="BA354" s="9">
        <v>1</v>
      </c>
      <c r="BB354" s="9">
        <v>1</v>
      </c>
      <c r="BC354" s="9">
        <v>1</v>
      </c>
      <c r="BD354" s="9">
        <v>1</v>
      </c>
      <c r="BE354" s="9">
        <v>1</v>
      </c>
      <c r="BF354" s="9">
        <v>1</v>
      </c>
      <c r="BG354" s="9">
        <v>1</v>
      </c>
      <c r="BH354" s="9">
        <v>1</v>
      </c>
      <c r="BI354" s="9">
        <v>1</v>
      </c>
      <c r="BJ354" s="9">
        <v>1</v>
      </c>
      <c r="BK354" s="9">
        <v>1</v>
      </c>
      <c r="BL354" s="9">
        <v>1</v>
      </c>
      <c r="BM354" s="9">
        <v>1</v>
      </c>
      <c r="BN354" s="9">
        <v>1</v>
      </c>
      <c r="BO354" s="9">
        <v>1</v>
      </c>
      <c r="BP354" s="9">
        <v>1</v>
      </c>
      <c r="BQ354" s="9">
        <v>1</v>
      </c>
      <c r="BR354" s="9">
        <v>1</v>
      </c>
      <c r="BS354" s="9">
        <v>1</v>
      </c>
      <c r="BT354" s="9">
        <v>1</v>
      </c>
      <c r="BU354" s="9">
        <v>1</v>
      </c>
      <c r="BV354" s="9">
        <v>1</v>
      </c>
      <c r="BW354" s="9">
        <v>1</v>
      </c>
      <c r="BX354" s="9">
        <v>1</v>
      </c>
    </row>
    <row r="355" spans="1:76">
      <c r="A355" s="3" t="s">
        <v>66</v>
      </c>
      <c r="B355" t="s">
        <v>4033</v>
      </c>
      <c r="D355" t="s">
        <v>4967</v>
      </c>
      <c r="F355" s="91" t="s">
        <v>4973</v>
      </c>
      <c r="H355" s="3" t="s">
        <v>4984</v>
      </c>
      <c r="I355" s="3"/>
      <c r="J355" s="124"/>
      <c r="K355" s="124"/>
      <c r="M355" s="124"/>
      <c r="V355" s="9">
        <v>1</v>
      </c>
      <c r="W355" s="9">
        <v>1</v>
      </c>
      <c r="X355" s="10">
        <v>1</v>
      </c>
      <c r="Y355" s="9">
        <v>1</v>
      </c>
      <c r="Z355" s="9">
        <v>1</v>
      </c>
      <c r="AA355" s="9">
        <v>1</v>
      </c>
      <c r="AB355" s="9">
        <v>1</v>
      </c>
      <c r="AC355" s="9">
        <v>1</v>
      </c>
      <c r="AD355" s="9">
        <v>1</v>
      </c>
      <c r="AE355" s="9">
        <v>1</v>
      </c>
      <c r="AF355" s="9">
        <v>1</v>
      </c>
      <c r="AG355" s="9">
        <v>1</v>
      </c>
      <c r="AH355" s="9">
        <v>1</v>
      </c>
      <c r="AI355" s="9">
        <v>1</v>
      </c>
      <c r="AJ355" s="9">
        <v>1</v>
      </c>
      <c r="AK355" s="9">
        <v>1</v>
      </c>
      <c r="AL355" s="9">
        <v>1</v>
      </c>
      <c r="AM355" s="9">
        <v>1</v>
      </c>
      <c r="AN355" s="9">
        <v>1</v>
      </c>
      <c r="AO355" s="9">
        <v>1</v>
      </c>
      <c r="AP355" s="9">
        <v>1</v>
      </c>
      <c r="AQ355" s="9">
        <v>1</v>
      </c>
      <c r="AR355" s="9">
        <v>1</v>
      </c>
      <c r="AS355" s="9">
        <v>1</v>
      </c>
      <c r="AT355" s="9">
        <v>1</v>
      </c>
      <c r="AU355" s="9">
        <v>1</v>
      </c>
      <c r="AV355" s="9">
        <v>1</v>
      </c>
      <c r="AW355" s="9">
        <v>1</v>
      </c>
      <c r="AX355" s="9">
        <v>1</v>
      </c>
      <c r="AY355" s="9">
        <v>1</v>
      </c>
      <c r="AZ355" s="9">
        <v>1</v>
      </c>
      <c r="BA355" s="9">
        <v>1</v>
      </c>
      <c r="BB355" s="9">
        <v>1</v>
      </c>
      <c r="BC355" s="9">
        <v>1</v>
      </c>
      <c r="BD355" s="9">
        <v>1</v>
      </c>
      <c r="BE355" s="9">
        <v>1</v>
      </c>
      <c r="BF355" s="9">
        <v>1</v>
      </c>
      <c r="BG355" s="9">
        <v>1</v>
      </c>
      <c r="BH355" s="9">
        <v>1</v>
      </c>
      <c r="BI355" s="9">
        <v>1</v>
      </c>
      <c r="BJ355" s="9">
        <v>1</v>
      </c>
      <c r="BK355" s="9">
        <v>1</v>
      </c>
      <c r="BL355" s="9">
        <v>1</v>
      </c>
      <c r="BM355" s="9">
        <v>1</v>
      </c>
      <c r="BN355" s="9">
        <v>1</v>
      </c>
      <c r="BO355" s="9">
        <v>1</v>
      </c>
      <c r="BP355" s="9">
        <v>1</v>
      </c>
      <c r="BQ355" s="9">
        <v>1</v>
      </c>
      <c r="BR355" s="9">
        <v>1</v>
      </c>
      <c r="BS355" s="9">
        <v>1</v>
      </c>
      <c r="BT355" s="9">
        <v>1</v>
      </c>
      <c r="BU355" s="9">
        <v>1</v>
      </c>
      <c r="BV355" s="9">
        <v>1</v>
      </c>
      <c r="BW355" s="9">
        <v>1</v>
      </c>
      <c r="BX355" s="9">
        <v>1</v>
      </c>
    </row>
    <row r="356" spans="1:76">
      <c r="A356" s="3" t="s">
        <v>66</v>
      </c>
      <c r="B356" t="s">
        <v>4035</v>
      </c>
      <c r="D356" t="s">
        <v>4967</v>
      </c>
      <c r="F356" s="91" t="s">
        <v>4973</v>
      </c>
      <c r="H356" s="3" t="s">
        <v>4984</v>
      </c>
      <c r="I356" s="3"/>
      <c r="J356" s="124"/>
      <c r="K356" s="124"/>
      <c r="M356" s="124"/>
      <c r="V356" s="9">
        <v>1</v>
      </c>
      <c r="W356" s="9">
        <v>1</v>
      </c>
      <c r="X356" s="10">
        <v>1</v>
      </c>
      <c r="Y356" s="9">
        <v>1</v>
      </c>
      <c r="Z356" s="9">
        <v>1</v>
      </c>
      <c r="AA356" s="9">
        <v>1</v>
      </c>
      <c r="AB356" s="9">
        <v>1</v>
      </c>
      <c r="AC356" s="9">
        <v>1</v>
      </c>
      <c r="AD356" s="9">
        <v>1</v>
      </c>
      <c r="AE356" s="9">
        <v>1</v>
      </c>
      <c r="AF356" s="9">
        <v>1</v>
      </c>
      <c r="AG356" s="9">
        <v>1</v>
      </c>
      <c r="AH356" s="9">
        <v>1</v>
      </c>
      <c r="AI356" s="9">
        <v>1</v>
      </c>
      <c r="AJ356" s="9">
        <v>1</v>
      </c>
      <c r="AK356" s="9">
        <v>1</v>
      </c>
      <c r="AL356" s="9">
        <v>1</v>
      </c>
      <c r="AM356" s="9">
        <v>1</v>
      </c>
      <c r="AN356" s="9">
        <v>1</v>
      </c>
      <c r="AO356" s="9">
        <v>1</v>
      </c>
      <c r="AP356" s="9">
        <v>1</v>
      </c>
      <c r="AQ356" s="9">
        <v>1</v>
      </c>
      <c r="AR356" s="9">
        <v>1</v>
      </c>
      <c r="AS356" s="9">
        <v>1</v>
      </c>
      <c r="AT356" s="9">
        <v>1</v>
      </c>
      <c r="AU356" s="9">
        <v>1</v>
      </c>
      <c r="AV356" s="9">
        <v>1</v>
      </c>
      <c r="AW356" s="9">
        <v>1</v>
      </c>
      <c r="AX356" s="9">
        <v>1</v>
      </c>
      <c r="AY356" s="9">
        <v>1</v>
      </c>
      <c r="AZ356" s="9">
        <v>1</v>
      </c>
      <c r="BA356" s="9">
        <v>1</v>
      </c>
      <c r="BB356" s="9">
        <v>1</v>
      </c>
      <c r="BC356" s="9">
        <v>1</v>
      </c>
      <c r="BD356" s="9">
        <v>1</v>
      </c>
      <c r="BE356" s="9">
        <v>1</v>
      </c>
      <c r="BF356" s="9">
        <v>1</v>
      </c>
      <c r="BG356" s="9">
        <v>1</v>
      </c>
      <c r="BH356" s="9">
        <v>1</v>
      </c>
      <c r="BI356" s="9">
        <v>1</v>
      </c>
      <c r="BJ356" s="9">
        <v>1</v>
      </c>
      <c r="BK356" s="9">
        <v>1</v>
      </c>
      <c r="BL356" s="9">
        <v>1</v>
      </c>
      <c r="BM356" s="9">
        <v>1</v>
      </c>
      <c r="BN356" s="9">
        <v>1</v>
      </c>
      <c r="BO356" s="9">
        <v>1</v>
      </c>
      <c r="BP356" s="9">
        <v>1</v>
      </c>
      <c r="BQ356" s="9">
        <v>1</v>
      </c>
      <c r="BR356" s="9">
        <v>1</v>
      </c>
      <c r="BS356" s="9">
        <v>1</v>
      </c>
      <c r="BT356" s="9">
        <v>1</v>
      </c>
      <c r="BU356" s="9">
        <v>1</v>
      </c>
      <c r="BV356" s="9">
        <v>1</v>
      </c>
      <c r="BW356" s="9">
        <v>1</v>
      </c>
      <c r="BX356" s="9">
        <v>1</v>
      </c>
    </row>
    <row r="357" spans="1:76">
      <c r="A357" s="3" t="s">
        <v>66</v>
      </c>
      <c r="B357" t="s">
        <v>4037</v>
      </c>
      <c r="D357" t="s">
        <v>4967</v>
      </c>
      <c r="F357" s="91" t="s">
        <v>4973</v>
      </c>
      <c r="H357" s="3" t="s">
        <v>4984</v>
      </c>
      <c r="I357" s="3"/>
      <c r="J357" s="124"/>
      <c r="K357" s="124"/>
      <c r="M357" s="124"/>
      <c r="V357" s="9">
        <v>1</v>
      </c>
      <c r="W357" s="9">
        <v>1</v>
      </c>
      <c r="X357" s="10">
        <v>1</v>
      </c>
      <c r="Y357" s="9">
        <v>1</v>
      </c>
      <c r="Z357" s="9">
        <v>1</v>
      </c>
      <c r="AA357" s="9">
        <v>1</v>
      </c>
      <c r="AB357" s="9">
        <v>1</v>
      </c>
      <c r="AC357" s="9">
        <v>1</v>
      </c>
      <c r="AD357" s="9">
        <v>1</v>
      </c>
      <c r="AE357" s="9">
        <v>1</v>
      </c>
      <c r="AF357" s="9">
        <v>1</v>
      </c>
      <c r="AG357" s="9">
        <v>1</v>
      </c>
      <c r="AH357" s="9">
        <v>1</v>
      </c>
      <c r="AI357" s="9">
        <v>1</v>
      </c>
      <c r="AJ357" s="9">
        <v>1</v>
      </c>
      <c r="AK357" s="9">
        <v>1</v>
      </c>
      <c r="AL357" s="9">
        <v>1</v>
      </c>
      <c r="AM357" s="9">
        <v>1</v>
      </c>
      <c r="AN357" s="9">
        <v>1</v>
      </c>
      <c r="AO357" s="9">
        <v>1</v>
      </c>
      <c r="AP357" s="9">
        <v>1</v>
      </c>
      <c r="AQ357" s="9">
        <v>1</v>
      </c>
      <c r="AR357" s="9">
        <v>1</v>
      </c>
      <c r="AS357" s="9">
        <v>1</v>
      </c>
      <c r="AT357" s="9">
        <v>1</v>
      </c>
      <c r="AU357" s="9">
        <v>1</v>
      </c>
      <c r="AV357" s="9">
        <v>1</v>
      </c>
      <c r="AW357" s="9">
        <v>1</v>
      </c>
      <c r="AX357" s="9">
        <v>1</v>
      </c>
      <c r="AY357" s="9">
        <v>1</v>
      </c>
      <c r="AZ357" s="9">
        <v>1</v>
      </c>
      <c r="BA357" s="9">
        <v>1</v>
      </c>
      <c r="BB357" s="9">
        <v>1</v>
      </c>
      <c r="BC357" s="9">
        <v>1</v>
      </c>
      <c r="BD357" s="9">
        <v>1</v>
      </c>
      <c r="BE357" s="9">
        <v>1</v>
      </c>
      <c r="BF357" s="9">
        <v>1</v>
      </c>
      <c r="BG357" s="9">
        <v>1</v>
      </c>
      <c r="BH357" s="9">
        <v>1</v>
      </c>
      <c r="BI357" s="9">
        <v>1</v>
      </c>
      <c r="BJ357" s="9">
        <v>1</v>
      </c>
      <c r="BK357" s="9">
        <v>1</v>
      </c>
      <c r="BL357" s="9">
        <v>1</v>
      </c>
      <c r="BM357" s="9">
        <v>1</v>
      </c>
      <c r="BN357" s="9">
        <v>1</v>
      </c>
      <c r="BO357" s="9">
        <v>1</v>
      </c>
      <c r="BP357" s="9">
        <v>1</v>
      </c>
      <c r="BQ357" s="9">
        <v>1</v>
      </c>
      <c r="BR357" s="9">
        <v>1</v>
      </c>
      <c r="BS357" s="9">
        <v>1</v>
      </c>
      <c r="BT357" s="9">
        <v>1</v>
      </c>
      <c r="BU357" s="9">
        <v>1</v>
      </c>
      <c r="BV357" s="9">
        <v>1</v>
      </c>
      <c r="BW357" s="9">
        <v>1</v>
      </c>
      <c r="BX357" s="9">
        <v>1</v>
      </c>
    </row>
    <row r="358" spans="1:76">
      <c r="A358" s="3" t="s">
        <v>66</v>
      </c>
      <c r="B358" t="s">
        <v>4039</v>
      </c>
      <c r="D358" t="s">
        <v>4967</v>
      </c>
      <c r="F358" s="91" t="s">
        <v>4973</v>
      </c>
      <c r="H358" s="3" t="s">
        <v>4984</v>
      </c>
      <c r="I358" s="3"/>
      <c r="J358" s="124"/>
      <c r="K358" s="124"/>
      <c r="M358" s="124"/>
      <c r="V358" s="9">
        <v>1</v>
      </c>
      <c r="W358" s="9">
        <v>1</v>
      </c>
      <c r="X358" s="10">
        <v>1</v>
      </c>
      <c r="Y358" s="9">
        <v>1</v>
      </c>
      <c r="Z358" s="9">
        <v>1</v>
      </c>
      <c r="AA358" s="9">
        <v>1</v>
      </c>
      <c r="AB358" s="9">
        <v>1</v>
      </c>
      <c r="AC358" s="9">
        <v>1</v>
      </c>
      <c r="AD358" s="9">
        <v>1</v>
      </c>
      <c r="AE358" s="9">
        <v>1</v>
      </c>
      <c r="AF358" s="9">
        <v>1</v>
      </c>
      <c r="AG358" s="9">
        <v>1</v>
      </c>
      <c r="AH358" s="9">
        <v>1</v>
      </c>
      <c r="AI358" s="9">
        <v>1</v>
      </c>
      <c r="AJ358" s="9">
        <v>1</v>
      </c>
      <c r="AK358" s="9">
        <v>1</v>
      </c>
      <c r="AL358" s="9">
        <v>1</v>
      </c>
      <c r="AM358" s="9">
        <v>1</v>
      </c>
      <c r="AN358" s="9">
        <v>1</v>
      </c>
      <c r="AO358" s="9">
        <v>1</v>
      </c>
      <c r="AP358" s="9">
        <v>1</v>
      </c>
      <c r="AQ358" s="9">
        <v>1</v>
      </c>
      <c r="AR358" s="9">
        <v>1</v>
      </c>
      <c r="AS358" s="9">
        <v>1</v>
      </c>
      <c r="AT358" s="9">
        <v>1</v>
      </c>
      <c r="AU358" s="9">
        <v>1</v>
      </c>
      <c r="AV358" s="9">
        <v>1</v>
      </c>
      <c r="AW358" s="9">
        <v>1</v>
      </c>
      <c r="AX358" s="9">
        <v>1</v>
      </c>
      <c r="AY358" s="9">
        <v>1</v>
      </c>
      <c r="AZ358" s="9">
        <v>1</v>
      </c>
      <c r="BA358" s="9">
        <v>1</v>
      </c>
      <c r="BB358" s="9">
        <v>1</v>
      </c>
      <c r="BC358" s="9">
        <v>1</v>
      </c>
      <c r="BD358" s="9">
        <v>1</v>
      </c>
      <c r="BE358" s="9">
        <v>1</v>
      </c>
      <c r="BF358" s="9">
        <v>1</v>
      </c>
      <c r="BG358" s="9">
        <v>1</v>
      </c>
      <c r="BH358" s="9">
        <v>1</v>
      </c>
      <c r="BI358" s="9">
        <v>1</v>
      </c>
      <c r="BJ358" s="9">
        <v>1</v>
      </c>
      <c r="BK358" s="9">
        <v>1</v>
      </c>
      <c r="BL358" s="9">
        <v>1</v>
      </c>
      <c r="BM358" s="9">
        <v>1</v>
      </c>
      <c r="BN358" s="9">
        <v>1</v>
      </c>
      <c r="BO358" s="9">
        <v>1</v>
      </c>
      <c r="BP358" s="9">
        <v>1</v>
      </c>
      <c r="BQ358" s="9">
        <v>1</v>
      </c>
      <c r="BR358" s="9">
        <v>1</v>
      </c>
      <c r="BS358" s="9">
        <v>1</v>
      </c>
      <c r="BT358" s="9">
        <v>1</v>
      </c>
      <c r="BU358" s="9">
        <v>1</v>
      </c>
      <c r="BV358" s="9">
        <v>1</v>
      </c>
      <c r="BW358" s="9">
        <v>1</v>
      </c>
      <c r="BX358" s="9">
        <v>1</v>
      </c>
    </row>
    <row r="359" spans="1:76">
      <c r="A359" s="3" t="s">
        <v>66</v>
      </c>
      <c r="B359" t="s">
        <v>5257</v>
      </c>
      <c r="D359" t="s">
        <v>4967</v>
      </c>
      <c r="F359" s="91" t="s">
        <v>4973</v>
      </c>
      <c r="H359" s="3" t="s">
        <v>4984</v>
      </c>
      <c r="I359" s="3"/>
      <c r="J359" s="124"/>
      <c r="K359" s="124"/>
      <c r="M359" s="124"/>
      <c r="V359" s="9">
        <v>1</v>
      </c>
      <c r="W359" s="9">
        <v>1</v>
      </c>
      <c r="X359" s="10">
        <v>1</v>
      </c>
      <c r="Y359" s="9">
        <v>1</v>
      </c>
      <c r="Z359" s="9">
        <v>1</v>
      </c>
      <c r="AA359" s="9">
        <v>1</v>
      </c>
      <c r="AB359" s="9">
        <v>1</v>
      </c>
      <c r="AC359" s="9">
        <v>1</v>
      </c>
      <c r="AD359" s="9">
        <v>1</v>
      </c>
      <c r="AE359" s="9">
        <v>1</v>
      </c>
      <c r="AF359" s="9">
        <v>1</v>
      </c>
      <c r="AG359" s="9">
        <v>1</v>
      </c>
      <c r="AH359" s="9">
        <v>1</v>
      </c>
      <c r="AI359" s="9">
        <v>1</v>
      </c>
      <c r="AJ359" s="9">
        <v>1</v>
      </c>
      <c r="AK359" s="9">
        <v>1</v>
      </c>
      <c r="AL359" s="9">
        <v>1</v>
      </c>
      <c r="AM359" s="9">
        <v>1</v>
      </c>
      <c r="AN359" s="9">
        <v>1</v>
      </c>
      <c r="AO359" s="9">
        <v>1</v>
      </c>
      <c r="AP359" s="9">
        <v>1</v>
      </c>
      <c r="AQ359" s="9">
        <v>1</v>
      </c>
      <c r="AR359" s="9">
        <v>1</v>
      </c>
      <c r="AS359" s="9">
        <v>1</v>
      </c>
      <c r="AT359" s="9">
        <v>1</v>
      </c>
      <c r="AU359" s="9">
        <v>1</v>
      </c>
      <c r="AV359" s="9">
        <v>1</v>
      </c>
      <c r="AW359" s="9">
        <v>1</v>
      </c>
      <c r="AX359" s="9">
        <v>1</v>
      </c>
      <c r="AY359" s="9">
        <v>1</v>
      </c>
      <c r="AZ359" s="9">
        <v>1</v>
      </c>
      <c r="BA359" s="9">
        <v>1</v>
      </c>
      <c r="BB359" s="9">
        <v>1</v>
      </c>
      <c r="BC359" s="9">
        <v>1</v>
      </c>
      <c r="BD359" s="9">
        <v>1</v>
      </c>
      <c r="BE359" s="9">
        <v>1</v>
      </c>
      <c r="BF359" s="9">
        <v>1</v>
      </c>
      <c r="BG359" s="9">
        <v>1</v>
      </c>
      <c r="BH359" s="9">
        <v>1</v>
      </c>
      <c r="BI359" s="9">
        <v>1</v>
      </c>
      <c r="BJ359" s="9">
        <v>1</v>
      </c>
      <c r="BK359" s="9">
        <v>1</v>
      </c>
      <c r="BL359" s="9">
        <v>1</v>
      </c>
      <c r="BM359" s="9">
        <v>1</v>
      </c>
      <c r="BN359" s="9">
        <v>1</v>
      </c>
      <c r="BO359" s="9">
        <v>1</v>
      </c>
      <c r="BP359" s="9">
        <v>1</v>
      </c>
      <c r="BQ359" s="9">
        <v>1</v>
      </c>
      <c r="BR359" s="9">
        <v>1</v>
      </c>
      <c r="BS359" s="9">
        <v>1</v>
      </c>
      <c r="BT359" s="9">
        <v>1</v>
      </c>
      <c r="BU359" s="9">
        <v>1</v>
      </c>
      <c r="BV359" s="9">
        <v>1</v>
      </c>
      <c r="BW359" s="9">
        <v>1</v>
      </c>
      <c r="BX359" s="9">
        <v>1</v>
      </c>
    </row>
    <row r="360" spans="1:76">
      <c r="A360" s="3" t="s">
        <v>66</v>
      </c>
      <c r="B360" t="s">
        <v>4041</v>
      </c>
      <c r="D360" t="s">
        <v>4967</v>
      </c>
      <c r="F360" s="91" t="s">
        <v>4973</v>
      </c>
      <c r="H360" s="3" t="s">
        <v>4984</v>
      </c>
      <c r="I360" s="3"/>
      <c r="J360" s="124"/>
      <c r="K360" s="124"/>
      <c r="M360" s="124"/>
      <c r="V360" s="9">
        <v>1</v>
      </c>
      <c r="W360" s="9">
        <v>1</v>
      </c>
      <c r="X360" s="10">
        <v>1</v>
      </c>
      <c r="Y360" s="9">
        <v>1</v>
      </c>
      <c r="Z360" s="9">
        <v>1</v>
      </c>
      <c r="AA360" s="9">
        <v>1</v>
      </c>
      <c r="AB360" s="9">
        <v>1</v>
      </c>
      <c r="AC360" s="9">
        <v>1</v>
      </c>
      <c r="AD360" s="9">
        <v>1</v>
      </c>
      <c r="AE360" s="9">
        <v>1</v>
      </c>
      <c r="AF360" s="9">
        <v>1</v>
      </c>
      <c r="AG360" s="9">
        <v>1</v>
      </c>
      <c r="AH360" s="9">
        <v>1</v>
      </c>
      <c r="AI360" s="9">
        <v>1</v>
      </c>
      <c r="AJ360" s="9">
        <v>1</v>
      </c>
      <c r="AK360" s="9">
        <v>1</v>
      </c>
      <c r="AL360" s="9">
        <v>1</v>
      </c>
      <c r="AM360" s="9">
        <v>1</v>
      </c>
      <c r="AN360" s="9">
        <v>1</v>
      </c>
      <c r="AO360" s="9">
        <v>1</v>
      </c>
      <c r="AP360" s="9">
        <v>1</v>
      </c>
      <c r="AQ360" s="9">
        <v>1</v>
      </c>
      <c r="AR360" s="9">
        <v>1</v>
      </c>
      <c r="AS360" s="9">
        <v>1</v>
      </c>
      <c r="AT360" s="9">
        <v>1</v>
      </c>
      <c r="AU360" s="9">
        <v>1</v>
      </c>
      <c r="AV360" s="9">
        <v>1</v>
      </c>
      <c r="AW360" s="9">
        <v>1</v>
      </c>
      <c r="AX360" s="9">
        <v>1</v>
      </c>
      <c r="AY360" s="9">
        <v>1</v>
      </c>
      <c r="AZ360" s="9">
        <v>1</v>
      </c>
      <c r="BA360" s="9">
        <v>1</v>
      </c>
      <c r="BB360" s="9">
        <v>1</v>
      </c>
      <c r="BC360" s="9">
        <v>1</v>
      </c>
      <c r="BD360" s="9">
        <v>1</v>
      </c>
      <c r="BE360" s="9">
        <v>1</v>
      </c>
      <c r="BF360" s="9">
        <v>1</v>
      </c>
      <c r="BG360" s="9">
        <v>1</v>
      </c>
      <c r="BH360" s="9">
        <v>1</v>
      </c>
      <c r="BI360" s="9">
        <v>1</v>
      </c>
      <c r="BJ360" s="9">
        <v>1</v>
      </c>
      <c r="BK360" s="9">
        <v>1</v>
      </c>
      <c r="BL360" s="9">
        <v>1</v>
      </c>
      <c r="BM360" s="9">
        <v>1</v>
      </c>
      <c r="BN360" s="9">
        <v>1</v>
      </c>
      <c r="BO360" s="9">
        <v>1</v>
      </c>
      <c r="BP360" s="9">
        <v>1</v>
      </c>
      <c r="BQ360" s="9">
        <v>1</v>
      </c>
      <c r="BR360" s="9">
        <v>1</v>
      </c>
      <c r="BS360" s="9">
        <v>1</v>
      </c>
      <c r="BT360" s="9">
        <v>1</v>
      </c>
      <c r="BU360" s="9">
        <v>1</v>
      </c>
      <c r="BV360" s="9">
        <v>1</v>
      </c>
      <c r="BW360" s="9">
        <v>1</v>
      </c>
      <c r="BX360" s="9">
        <v>1</v>
      </c>
    </row>
    <row r="361" spans="1:76">
      <c r="A361" s="3" t="s">
        <v>66</v>
      </c>
      <c r="B361" t="s">
        <v>4043</v>
      </c>
      <c r="D361" t="s">
        <v>4967</v>
      </c>
      <c r="F361" s="91" t="s">
        <v>4973</v>
      </c>
      <c r="H361" s="3" t="s">
        <v>4984</v>
      </c>
      <c r="I361" s="3"/>
      <c r="J361" s="124"/>
      <c r="K361" s="124"/>
      <c r="M361" s="124"/>
      <c r="V361" s="9">
        <v>1</v>
      </c>
      <c r="W361" s="9">
        <v>1</v>
      </c>
      <c r="X361" s="10">
        <v>1</v>
      </c>
      <c r="Y361" s="9">
        <v>1</v>
      </c>
      <c r="Z361" s="9">
        <v>1</v>
      </c>
      <c r="AA361" s="9">
        <v>1</v>
      </c>
      <c r="AB361" s="9">
        <v>1</v>
      </c>
      <c r="AC361" s="9">
        <v>1</v>
      </c>
      <c r="AD361" s="9">
        <v>1</v>
      </c>
      <c r="AE361" s="9">
        <v>1</v>
      </c>
      <c r="AF361" s="9">
        <v>1</v>
      </c>
      <c r="AG361" s="9">
        <v>1</v>
      </c>
      <c r="AH361" s="9">
        <v>1</v>
      </c>
      <c r="AI361" s="9">
        <v>1</v>
      </c>
      <c r="AJ361" s="9">
        <v>1</v>
      </c>
      <c r="AK361" s="9">
        <v>1</v>
      </c>
      <c r="AL361" s="9">
        <v>1</v>
      </c>
      <c r="AM361" s="9">
        <v>1</v>
      </c>
      <c r="AN361" s="9">
        <v>1</v>
      </c>
      <c r="AO361" s="9">
        <v>1</v>
      </c>
      <c r="AP361" s="9">
        <v>1</v>
      </c>
      <c r="AQ361" s="9">
        <v>1</v>
      </c>
      <c r="AR361" s="9">
        <v>1</v>
      </c>
      <c r="AS361" s="9">
        <v>1</v>
      </c>
      <c r="AT361" s="9">
        <v>1</v>
      </c>
      <c r="AU361" s="9">
        <v>1</v>
      </c>
      <c r="AV361" s="9">
        <v>1</v>
      </c>
      <c r="AW361" s="9">
        <v>1</v>
      </c>
      <c r="AX361" s="9">
        <v>1</v>
      </c>
      <c r="AY361" s="9">
        <v>1</v>
      </c>
      <c r="AZ361" s="9">
        <v>1</v>
      </c>
      <c r="BA361" s="9">
        <v>1</v>
      </c>
      <c r="BB361" s="9">
        <v>1</v>
      </c>
      <c r="BC361" s="9">
        <v>1</v>
      </c>
      <c r="BD361" s="9">
        <v>1</v>
      </c>
      <c r="BE361" s="9">
        <v>1</v>
      </c>
      <c r="BF361" s="9">
        <v>1</v>
      </c>
      <c r="BG361" s="9">
        <v>1</v>
      </c>
      <c r="BH361" s="9">
        <v>1</v>
      </c>
      <c r="BI361" s="9">
        <v>1</v>
      </c>
      <c r="BJ361" s="9">
        <v>1</v>
      </c>
      <c r="BK361" s="9">
        <v>1</v>
      </c>
      <c r="BL361" s="9">
        <v>1</v>
      </c>
      <c r="BM361" s="9">
        <v>1</v>
      </c>
      <c r="BN361" s="9">
        <v>1</v>
      </c>
      <c r="BO361" s="9">
        <v>1</v>
      </c>
      <c r="BP361" s="9">
        <v>1</v>
      </c>
      <c r="BQ361" s="9">
        <v>1</v>
      </c>
      <c r="BR361" s="9">
        <v>1</v>
      </c>
      <c r="BS361" s="9">
        <v>1</v>
      </c>
      <c r="BT361" s="9">
        <v>1</v>
      </c>
      <c r="BU361" s="9">
        <v>1</v>
      </c>
      <c r="BV361" s="9">
        <v>1</v>
      </c>
      <c r="BW361" s="9">
        <v>1</v>
      </c>
      <c r="BX361" s="9">
        <v>1</v>
      </c>
    </row>
    <row r="362" spans="1:76">
      <c r="A362" s="3" t="s">
        <v>66</v>
      </c>
      <c r="B362" t="s">
        <v>4045</v>
      </c>
      <c r="D362" t="s">
        <v>4967</v>
      </c>
      <c r="F362" s="91" t="s">
        <v>4973</v>
      </c>
      <c r="H362" s="3" t="s">
        <v>4984</v>
      </c>
      <c r="I362" s="3"/>
      <c r="J362" s="124"/>
      <c r="K362" s="124"/>
      <c r="M362" s="124"/>
      <c r="V362" s="9">
        <v>1</v>
      </c>
      <c r="W362" s="9">
        <v>1</v>
      </c>
      <c r="X362" s="10">
        <v>1</v>
      </c>
      <c r="Y362" s="9">
        <v>1</v>
      </c>
      <c r="Z362" s="9">
        <v>1</v>
      </c>
      <c r="AA362" s="9">
        <v>1</v>
      </c>
      <c r="AB362" s="9">
        <v>1</v>
      </c>
      <c r="AC362" s="9">
        <v>1</v>
      </c>
      <c r="AD362" s="9">
        <v>1</v>
      </c>
      <c r="AE362" s="9">
        <v>1</v>
      </c>
      <c r="AF362" s="9">
        <v>1</v>
      </c>
      <c r="AG362" s="9">
        <v>1</v>
      </c>
      <c r="AH362" s="9">
        <v>1</v>
      </c>
      <c r="AI362" s="9">
        <v>1</v>
      </c>
      <c r="AJ362" s="9">
        <v>1</v>
      </c>
      <c r="AK362" s="9">
        <v>1</v>
      </c>
      <c r="AL362" s="9">
        <v>1</v>
      </c>
      <c r="AM362" s="9">
        <v>1</v>
      </c>
      <c r="AN362" s="9">
        <v>1</v>
      </c>
      <c r="AO362" s="9">
        <v>1</v>
      </c>
      <c r="AP362" s="9">
        <v>1</v>
      </c>
      <c r="AQ362" s="9">
        <v>1</v>
      </c>
      <c r="AR362" s="9">
        <v>1</v>
      </c>
      <c r="AS362" s="9">
        <v>1</v>
      </c>
      <c r="AT362" s="9">
        <v>1</v>
      </c>
      <c r="AU362" s="9">
        <v>1</v>
      </c>
      <c r="AV362" s="9">
        <v>1</v>
      </c>
      <c r="AW362" s="9">
        <v>1</v>
      </c>
      <c r="AX362" s="9">
        <v>1</v>
      </c>
      <c r="AY362" s="9">
        <v>1</v>
      </c>
      <c r="AZ362" s="9">
        <v>1</v>
      </c>
      <c r="BA362" s="9">
        <v>1</v>
      </c>
      <c r="BB362" s="9">
        <v>1</v>
      </c>
      <c r="BC362" s="9">
        <v>1</v>
      </c>
      <c r="BD362" s="9">
        <v>1</v>
      </c>
      <c r="BE362" s="9">
        <v>1</v>
      </c>
      <c r="BF362" s="9">
        <v>1</v>
      </c>
      <c r="BG362" s="9">
        <v>1</v>
      </c>
      <c r="BH362" s="9">
        <v>1</v>
      </c>
      <c r="BI362" s="9">
        <v>1</v>
      </c>
      <c r="BJ362" s="9">
        <v>1</v>
      </c>
      <c r="BK362" s="9">
        <v>1</v>
      </c>
      <c r="BL362" s="9">
        <v>1</v>
      </c>
      <c r="BM362" s="9">
        <v>1</v>
      </c>
      <c r="BN362" s="9">
        <v>1</v>
      </c>
      <c r="BO362" s="9">
        <v>1</v>
      </c>
      <c r="BP362" s="9">
        <v>1</v>
      </c>
      <c r="BQ362" s="9">
        <v>1</v>
      </c>
      <c r="BR362" s="9">
        <v>1</v>
      </c>
      <c r="BS362" s="9">
        <v>1</v>
      </c>
      <c r="BT362" s="9">
        <v>1</v>
      </c>
      <c r="BU362" s="9">
        <v>1</v>
      </c>
      <c r="BV362" s="9">
        <v>1</v>
      </c>
      <c r="BW362" s="9">
        <v>1</v>
      </c>
      <c r="BX362" s="9">
        <v>1</v>
      </c>
    </row>
    <row r="363" spans="1:76">
      <c r="A363" s="3" t="s">
        <v>66</v>
      </c>
      <c r="B363" t="s">
        <v>4047</v>
      </c>
      <c r="D363" t="s">
        <v>4967</v>
      </c>
      <c r="F363" s="91" t="s">
        <v>4973</v>
      </c>
      <c r="H363" s="3" t="s">
        <v>4984</v>
      </c>
      <c r="I363" s="3"/>
      <c r="J363" s="124"/>
      <c r="K363" s="124"/>
      <c r="M363" s="124"/>
      <c r="V363" s="9">
        <v>1</v>
      </c>
      <c r="W363" s="9">
        <v>1</v>
      </c>
      <c r="X363" s="10">
        <v>1</v>
      </c>
      <c r="Y363" s="9">
        <v>1</v>
      </c>
      <c r="Z363" s="9">
        <v>1</v>
      </c>
      <c r="AA363" s="9">
        <v>1</v>
      </c>
      <c r="AB363" s="9">
        <v>1</v>
      </c>
      <c r="AC363" s="9">
        <v>1</v>
      </c>
      <c r="AD363" s="9">
        <v>1</v>
      </c>
      <c r="AE363" s="9">
        <v>1</v>
      </c>
      <c r="AF363" s="9">
        <v>1</v>
      </c>
      <c r="AG363" s="9">
        <v>1</v>
      </c>
      <c r="AH363" s="9">
        <v>1</v>
      </c>
      <c r="AI363" s="9">
        <v>1</v>
      </c>
      <c r="AJ363" s="9">
        <v>1</v>
      </c>
      <c r="AK363" s="9">
        <v>1</v>
      </c>
      <c r="AL363" s="9">
        <v>1</v>
      </c>
      <c r="AM363" s="9">
        <v>1</v>
      </c>
      <c r="AN363" s="9">
        <v>1</v>
      </c>
      <c r="AO363" s="9">
        <v>1</v>
      </c>
      <c r="AP363" s="9">
        <v>1</v>
      </c>
      <c r="AQ363" s="9">
        <v>1</v>
      </c>
      <c r="AR363" s="9">
        <v>1</v>
      </c>
      <c r="AS363" s="9">
        <v>1</v>
      </c>
      <c r="AT363" s="9">
        <v>1</v>
      </c>
      <c r="AU363" s="9">
        <v>1</v>
      </c>
      <c r="AV363" s="9">
        <v>1</v>
      </c>
      <c r="AW363" s="9">
        <v>1</v>
      </c>
      <c r="AX363" s="9">
        <v>1</v>
      </c>
      <c r="AY363" s="9">
        <v>1</v>
      </c>
      <c r="AZ363" s="9">
        <v>1</v>
      </c>
      <c r="BA363" s="9">
        <v>1</v>
      </c>
      <c r="BB363" s="9">
        <v>1</v>
      </c>
      <c r="BC363" s="9">
        <v>1</v>
      </c>
      <c r="BD363" s="9">
        <v>1</v>
      </c>
      <c r="BE363" s="9">
        <v>1</v>
      </c>
      <c r="BF363" s="9">
        <v>1</v>
      </c>
      <c r="BG363" s="9">
        <v>1</v>
      </c>
      <c r="BH363" s="9">
        <v>1</v>
      </c>
      <c r="BI363" s="9">
        <v>1</v>
      </c>
      <c r="BJ363" s="9">
        <v>1</v>
      </c>
      <c r="BK363" s="9">
        <v>1</v>
      </c>
      <c r="BL363" s="9">
        <v>1</v>
      </c>
      <c r="BM363" s="9">
        <v>1</v>
      </c>
      <c r="BN363" s="9">
        <v>1</v>
      </c>
      <c r="BO363" s="9">
        <v>1</v>
      </c>
      <c r="BP363" s="9">
        <v>1</v>
      </c>
      <c r="BQ363" s="9">
        <v>1</v>
      </c>
      <c r="BR363" s="9">
        <v>1</v>
      </c>
      <c r="BS363" s="9">
        <v>1</v>
      </c>
      <c r="BT363" s="9">
        <v>1</v>
      </c>
      <c r="BU363" s="9">
        <v>1</v>
      </c>
      <c r="BV363" s="9">
        <v>1</v>
      </c>
      <c r="BW363" s="9">
        <v>1</v>
      </c>
      <c r="BX363" s="9">
        <v>1</v>
      </c>
    </row>
    <row r="364" spans="1:76">
      <c r="A364" s="3" t="s">
        <v>66</v>
      </c>
      <c r="B364" t="s">
        <v>5258</v>
      </c>
      <c r="D364" t="s">
        <v>4967</v>
      </c>
      <c r="F364" s="91" t="s">
        <v>4973</v>
      </c>
      <c r="H364" s="3" t="s">
        <v>4984</v>
      </c>
      <c r="I364" s="3"/>
      <c r="J364" s="124"/>
      <c r="K364" s="124"/>
      <c r="M364" s="124"/>
      <c r="V364" s="9">
        <v>1</v>
      </c>
      <c r="W364" s="9">
        <v>1</v>
      </c>
      <c r="X364" s="10">
        <v>1</v>
      </c>
      <c r="Y364" s="9">
        <v>1</v>
      </c>
      <c r="Z364" s="9">
        <v>1</v>
      </c>
      <c r="AA364" s="9">
        <v>1</v>
      </c>
      <c r="AB364" s="9">
        <v>1</v>
      </c>
      <c r="AC364" s="9">
        <v>1</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1</v>
      </c>
      <c r="AZ364" s="9">
        <v>1</v>
      </c>
      <c r="BA364" s="9">
        <v>1</v>
      </c>
      <c r="BB364" s="9">
        <v>1</v>
      </c>
      <c r="BC364" s="9">
        <v>1</v>
      </c>
      <c r="BD364" s="9">
        <v>1</v>
      </c>
      <c r="BE364" s="9">
        <v>1</v>
      </c>
      <c r="BF364" s="9">
        <v>1</v>
      </c>
      <c r="BG364" s="9">
        <v>1</v>
      </c>
      <c r="BH364" s="9">
        <v>1</v>
      </c>
      <c r="BI364" s="9">
        <v>1</v>
      </c>
      <c r="BJ364" s="9">
        <v>1</v>
      </c>
      <c r="BK364" s="9">
        <v>1</v>
      </c>
      <c r="BL364" s="9">
        <v>1</v>
      </c>
      <c r="BM364" s="9">
        <v>1</v>
      </c>
      <c r="BN364" s="9">
        <v>1</v>
      </c>
      <c r="BO364" s="9">
        <v>1</v>
      </c>
      <c r="BP364" s="9">
        <v>1</v>
      </c>
      <c r="BQ364" s="9">
        <v>1</v>
      </c>
      <c r="BR364" s="9">
        <v>1</v>
      </c>
      <c r="BS364" s="9">
        <v>1</v>
      </c>
      <c r="BT364" s="9">
        <v>1</v>
      </c>
      <c r="BU364" s="9">
        <v>1</v>
      </c>
      <c r="BV364" s="9">
        <v>1</v>
      </c>
      <c r="BW364" s="9">
        <v>1</v>
      </c>
      <c r="BX364" s="9">
        <v>1</v>
      </c>
    </row>
    <row r="365" spans="1:76">
      <c r="A365" s="3" t="s">
        <v>66</v>
      </c>
      <c r="B365" t="s">
        <v>4049</v>
      </c>
      <c r="D365" t="s">
        <v>4967</v>
      </c>
      <c r="F365" s="91" t="s">
        <v>4973</v>
      </c>
      <c r="H365" s="3" t="s">
        <v>4984</v>
      </c>
      <c r="I365" s="3"/>
      <c r="J365" s="124"/>
      <c r="K365" s="124"/>
      <c r="M365" s="124"/>
      <c r="V365" s="9">
        <v>1</v>
      </c>
      <c r="W365" s="9">
        <v>1</v>
      </c>
      <c r="X365" s="10">
        <v>1</v>
      </c>
      <c r="Y365" s="9">
        <v>1</v>
      </c>
      <c r="Z365" s="9">
        <v>1</v>
      </c>
      <c r="AA365" s="9">
        <v>1</v>
      </c>
      <c r="AB365" s="9">
        <v>1</v>
      </c>
      <c r="AC365" s="9">
        <v>1</v>
      </c>
      <c r="AD365" s="9">
        <v>1</v>
      </c>
      <c r="AE365" s="9">
        <v>1</v>
      </c>
      <c r="AF365" s="9">
        <v>1</v>
      </c>
      <c r="AG365" s="9">
        <v>1</v>
      </c>
      <c r="AH365" s="9">
        <v>1</v>
      </c>
      <c r="AI365" s="9">
        <v>1</v>
      </c>
      <c r="AJ365" s="9">
        <v>1</v>
      </c>
      <c r="AK365" s="9">
        <v>1</v>
      </c>
      <c r="AL365" s="9">
        <v>1</v>
      </c>
      <c r="AM365" s="9">
        <v>1</v>
      </c>
      <c r="AN365" s="9">
        <v>1</v>
      </c>
      <c r="AO365" s="9">
        <v>1</v>
      </c>
      <c r="AP365" s="9">
        <v>1</v>
      </c>
      <c r="AQ365" s="9">
        <v>1</v>
      </c>
      <c r="AR365" s="9">
        <v>1</v>
      </c>
      <c r="AS365" s="9">
        <v>1</v>
      </c>
      <c r="AT365" s="9">
        <v>1</v>
      </c>
      <c r="AU365" s="9">
        <v>1</v>
      </c>
      <c r="AV365" s="9">
        <v>1</v>
      </c>
      <c r="AW365" s="9">
        <v>1</v>
      </c>
      <c r="AX365" s="9">
        <v>1</v>
      </c>
      <c r="AY365" s="9">
        <v>1</v>
      </c>
      <c r="AZ365" s="9">
        <v>1</v>
      </c>
      <c r="BA365" s="9">
        <v>1</v>
      </c>
      <c r="BB365" s="9">
        <v>1</v>
      </c>
      <c r="BC365" s="9">
        <v>1</v>
      </c>
      <c r="BD365" s="9">
        <v>1</v>
      </c>
      <c r="BE365" s="9">
        <v>1</v>
      </c>
      <c r="BF365" s="9">
        <v>1</v>
      </c>
      <c r="BG365" s="9">
        <v>1</v>
      </c>
      <c r="BH365" s="9">
        <v>1</v>
      </c>
      <c r="BI365" s="9">
        <v>1</v>
      </c>
      <c r="BJ365" s="9">
        <v>1</v>
      </c>
      <c r="BK365" s="9">
        <v>1</v>
      </c>
      <c r="BL365" s="9">
        <v>1</v>
      </c>
      <c r="BM365" s="9">
        <v>1</v>
      </c>
      <c r="BN365" s="9">
        <v>1</v>
      </c>
      <c r="BO365" s="9">
        <v>1</v>
      </c>
      <c r="BP365" s="9">
        <v>1</v>
      </c>
      <c r="BQ365" s="9">
        <v>1</v>
      </c>
      <c r="BR365" s="9">
        <v>1</v>
      </c>
      <c r="BS365" s="9">
        <v>1</v>
      </c>
      <c r="BT365" s="9">
        <v>1</v>
      </c>
      <c r="BU365" s="9">
        <v>1</v>
      </c>
      <c r="BV365" s="9">
        <v>1</v>
      </c>
      <c r="BW365" s="9">
        <v>1</v>
      </c>
      <c r="BX365" s="9">
        <v>1</v>
      </c>
    </row>
    <row r="366" spans="1:76">
      <c r="A366" s="3" t="s">
        <v>66</v>
      </c>
      <c r="B366" t="s">
        <v>4051</v>
      </c>
      <c r="D366" t="s">
        <v>4967</v>
      </c>
      <c r="F366" s="91" t="s">
        <v>4973</v>
      </c>
      <c r="H366" s="3" t="s">
        <v>4984</v>
      </c>
      <c r="I366" s="3"/>
      <c r="J366" s="124"/>
      <c r="K366" s="124"/>
      <c r="M366" s="124"/>
      <c r="V366" s="9">
        <v>1</v>
      </c>
      <c r="W366" s="9">
        <v>1</v>
      </c>
      <c r="X366" s="10">
        <v>1</v>
      </c>
      <c r="Y366" s="9">
        <v>1</v>
      </c>
      <c r="Z366" s="9">
        <v>1</v>
      </c>
      <c r="AA366" s="9">
        <v>1</v>
      </c>
      <c r="AB366" s="9">
        <v>1</v>
      </c>
      <c r="AC366" s="9">
        <v>1</v>
      </c>
      <c r="AD366" s="9">
        <v>1</v>
      </c>
      <c r="AE366" s="9">
        <v>1</v>
      </c>
      <c r="AF366" s="9">
        <v>1</v>
      </c>
      <c r="AG366" s="9">
        <v>1</v>
      </c>
      <c r="AH366" s="9">
        <v>1</v>
      </c>
      <c r="AI366" s="9">
        <v>1</v>
      </c>
      <c r="AJ366" s="9">
        <v>1</v>
      </c>
      <c r="AK366" s="9">
        <v>1</v>
      </c>
      <c r="AL366" s="9">
        <v>1</v>
      </c>
      <c r="AM366" s="9">
        <v>1</v>
      </c>
      <c r="AN366" s="9">
        <v>1</v>
      </c>
      <c r="AO366" s="9">
        <v>1</v>
      </c>
      <c r="AP366" s="9">
        <v>1</v>
      </c>
      <c r="AQ366" s="9">
        <v>1</v>
      </c>
      <c r="AR366" s="9">
        <v>1</v>
      </c>
      <c r="AS366" s="9">
        <v>1</v>
      </c>
      <c r="AT366" s="9">
        <v>1</v>
      </c>
      <c r="AU366" s="9">
        <v>1</v>
      </c>
      <c r="AV366" s="9">
        <v>1</v>
      </c>
      <c r="AW366" s="9">
        <v>1</v>
      </c>
      <c r="AX366" s="9">
        <v>1</v>
      </c>
      <c r="AY366" s="9">
        <v>1</v>
      </c>
      <c r="AZ366" s="9">
        <v>1</v>
      </c>
      <c r="BA366" s="9">
        <v>1</v>
      </c>
      <c r="BB366" s="9">
        <v>1</v>
      </c>
      <c r="BC366" s="9">
        <v>1</v>
      </c>
      <c r="BD366" s="9">
        <v>1</v>
      </c>
      <c r="BE366" s="9">
        <v>1</v>
      </c>
      <c r="BF366" s="9">
        <v>1</v>
      </c>
      <c r="BG366" s="9">
        <v>1</v>
      </c>
      <c r="BH366" s="9">
        <v>1</v>
      </c>
      <c r="BI366" s="9">
        <v>1</v>
      </c>
      <c r="BJ366" s="9">
        <v>1</v>
      </c>
      <c r="BK366" s="9">
        <v>1</v>
      </c>
      <c r="BL366" s="9">
        <v>1</v>
      </c>
      <c r="BM366" s="9">
        <v>1</v>
      </c>
      <c r="BN366" s="9">
        <v>1</v>
      </c>
      <c r="BO366" s="9">
        <v>1</v>
      </c>
      <c r="BP366" s="9">
        <v>1</v>
      </c>
      <c r="BQ366" s="9">
        <v>1</v>
      </c>
      <c r="BR366" s="9">
        <v>1</v>
      </c>
      <c r="BS366" s="9">
        <v>1</v>
      </c>
      <c r="BT366" s="9">
        <v>1</v>
      </c>
      <c r="BU366" s="9">
        <v>1</v>
      </c>
      <c r="BV366" s="9">
        <v>1</v>
      </c>
      <c r="BW366" s="9">
        <v>1</v>
      </c>
      <c r="BX366" s="9">
        <v>1</v>
      </c>
    </row>
    <row r="367" spans="1:76">
      <c r="A367" s="3" t="s">
        <v>66</v>
      </c>
      <c r="B367" t="s">
        <v>4053</v>
      </c>
      <c r="D367" t="s">
        <v>4967</v>
      </c>
      <c r="F367" s="91" t="s">
        <v>4973</v>
      </c>
      <c r="H367" s="3" t="s">
        <v>4984</v>
      </c>
      <c r="I367" s="3"/>
      <c r="J367" s="124"/>
      <c r="K367" s="124"/>
      <c r="M367" s="124"/>
      <c r="V367" s="9">
        <v>1</v>
      </c>
      <c r="W367" s="9">
        <v>1</v>
      </c>
      <c r="X367" s="10">
        <v>1</v>
      </c>
      <c r="Y367" s="9">
        <v>1</v>
      </c>
      <c r="Z367" s="9">
        <v>1</v>
      </c>
      <c r="AA367" s="9">
        <v>1</v>
      </c>
      <c r="AB367" s="9">
        <v>1</v>
      </c>
      <c r="AC367" s="9">
        <v>1</v>
      </c>
      <c r="AD367" s="9">
        <v>1</v>
      </c>
      <c r="AE367" s="9">
        <v>1</v>
      </c>
      <c r="AF367" s="9">
        <v>1</v>
      </c>
      <c r="AG367" s="9">
        <v>1</v>
      </c>
      <c r="AH367" s="9">
        <v>1</v>
      </c>
      <c r="AI367" s="9">
        <v>1</v>
      </c>
      <c r="AJ367" s="9">
        <v>1</v>
      </c>
      <c r="AK367" s="9">
        <v>1</v>
      </c>
      <c r="AL367" s="9">
        <v>1</v>
      </c>
      <c r="AM367" s="9">
        <v>1</v>
      </c>
      <c r="AN367" s="9">
        <v>1</v>
      </c>
      <c r="AO367" s="9">
        <v>1</v>
      </c>
      <c r="AP367" s="9">
        <v>1</v>
      </c>
      <c r="AQ367" s="9">
        <v>1</v>
      </c>
      <c r="AR367" s="9">
        <v>1</v>
      </c>
      <c r="AS367" s="9">
        <v>1</v>
      </c>
      <c r="AT367" s="9">
        <v>1</v>
      </c>
      <c r="AU367" s="9">
        <v>1</v>
      </c>
      <c r="AV367" s="9">
        <v>1</v>
      </c>
      <c r="AW367" s="9">
        <v>1</v>
      </c>
      <c r="AX367" s="9">
        <v>1</v>
      </c>
      <c r="AY367" s="9">
        <v>1</v>
      </c>
      <c r="AZ367" s="9">
        <v>1</v>
      </c>
      <c r="BA367" s="9">
        <v>1</v>
      </c>
      <c r="BB367" s="9">
        <v>1</v>
      </c>
      <c r="BC367" s="9">
        <v>1</v>
      </c>
      <c r="BD367" s="9">
        <v>1</v>
      </c>
      <c r="BE367" s="9">
        <v>1</v>
      </c>
      <c r="BF367" s="9">
        <v>1</v>
      </c>
      <c r="BG367" s="9">
        <v>1</v>
      </c>
      <c r="BH367" s="9">
        <v>1</v>
      </c>
      <c r="BI367" s="9">
        <v>1</v>
      </c>
      <c r="BJ367" s="9">
        <v>1</v>
      </c>
      <c r="BK367" s="9">
        <v>1</v>
      </c>
      <c r="BL367" s="9">
        <v>1</v>
      </c>
      <c r="BM367" s="9">
        <v>1</v>
      </c>
      <c r="BN367" s="9">
        <v>1</v>
      </c>
      <c r="BO367" s="9">
        <v>1</v>
      </c>
      <c r="BP367" s="9">
        <v>1</v>
      </c>
      <c r="BQ367" s="9">
        <v>1</v>
      </c>
      <c r="BR367" s="9">
        <v>1</v>
      </c>
      <c r="BS367" s="9">
        <v>1</v>
      </c>
      <c r="BT367" s="9">
        <v>1</v>
      </c>
      <c r="BU367" s="9">
        <v>1</v>
      </c>
      <c r="BV367" s="9">
        <v>1</v>
      </c>
      <c r="BW367" s="9">
        <v>1</v>
      </c>
      <c r="BX367" s="9">
        <v>1</v>
      </c>
    </row>
    <row r="368" spans="1:76">
      <c r="A368" s="3" t="s">
        <v>66</v>
      </c>
      <c r="B368" t="s">
        <v>4057</v>
      </c>
      <c r="D368" t="s">
        <v>4967</v>
      </c>
      <c r="F368" s="91" t="s">
        <v>4973</v>
      </c>
      <c r="H368" s="3" t="s">
        <v>4984</v>
      </c>
      <c r="I368" s="3"/>
      <c r="J368" s="124"/>
      <c r="K368" s="124"/>
      <c r="M368" s="124"/>
      <c r="V368" s="9">
        <v>1</v>
      </c>
      <c r="W368" s="9">
        <v>1</v>
      </c>
      <c r="X368" s="10">
        <v>1</v>
      </c>
      <c r="Y368" s="9">
        <v>1</v>
      </c>
      <c r="Z368" s="9">
        <v>1</v>
      </c>
      <c r="AA368" s="9">
        <v>1</v>
      </c>
      <c r="AB368" s="9">
        <v>1</v>
      </c>
      <c r="AC368" s="9">
        <v>1</v>
      </c>
      <c r="AD368" s="9">
        <v>1</v>
      </c>
      <c r="AE368" s="9">
        <v>1</v>
      </c>
      <c r="AF368" s="9">
        <v>1</v>
      </c>
      <c r="AG368" s="9">
        <v>1</v>
      </c>
      <c r="AH368" s="9">
        <v>1</v>
      </c>
      <c r="AI368" s="9">
        <v>1</v>
      </c>
      <c r="AJ368" s="9">
        <v>1</v>
      </c>
      <c r="AK368" s="9">
        <v>1</v>
      </c>
      <c r="AL368" s="9">
        <v>1</v>
      </c>
      <c r="AM368" s="9">
        <v>1</v>
      </c>
      <c r="AN368" s="9">
        <v>1</v>
      </c>
      <c r="AO368" s="9">
        <v>1</v>
      </c>
      <c r="AP368" s="9">
        <v>1</v>
      </c>
      <c r="AQ368" s="9">
        <v>1</v>
      </c>
      <c r="AR368" s="9">
        <v>1</v>
      </c>
      <c r="AS368" s="9">
        <v>1</v>
      </c>
      <c r="AT368" s="9">
        <v>1</v>
      </c>
      <c r="AU368" s="9">
        <v>1</v>
      </c>
      <c r="AV368" s="9">
        <v>1</v>
      </c>
      <c r="AW368" s="9">
        <v>1</v>
      </c>
      <c r="AX368" s="9">
        <v>1</v>
      </c>
      <c r="AY368" s="9">
        <v>1</v>
      </c>
      <c r="AZ368" s="9">
        <v>1</v>
      </c>
      <c r="BA368" s="9">
        <v>1</v>
      </c>
      <c r="BB368" s="9">
        <v>1</v>
      </c>
      <c r="BC368" s="9">
        <v>1</v>
      </c>
      <c r="BD368" s="9">
        <v>1</v>
      </c>
      <c r="BE368" s="9">
        <v>1</v>
      </c>
      <c r="BF368" s="9">
        <v>1</v>
      </c>
      <c r="BG368" s="9">
        <v>1</v>
      </c>
      <c r="BH368" s="9">
        <v>1</v>
      </c>
      <c r="BI368" s="9">
        <v>1</v>
      </c>
      <c r="BJ368" s="9">
        <v>1</v>
      </c>
      <c r="BK368" s="9">
        <v>1</v>
      </c>
      <c r="BL368" s="9">
        <v>1</v>
      </c>
      <c r="BM368" s="9">
        <v>1</v>
      </c>
      <c r="BN368" s="9">
        <v>1</v>
      </c>
      <c r="BO368" s="9">
        <v>1</v>
      </c>
      <c r="BP368" s="9">
        <v>1</v>
      </c>
      <c r="BQ368" s="9">
        <v>1</v>
      </c>
      <c r="BR368" s="9">
        <v>1</v>
      </c>
      <c r="BS368" s="9">
        <v>1</v>
      </c>
      <c r="BT368" s="9">
        <v>1</v>
      </c>
      <c r="BU368" s="9">
        <v>1</v>
      </c>
      <c r="BV368" s="9">
        <v>1</v>
      </c>
      <c r="BW368" s="9">
        <v>1</v>
      </c>
      <c r="BX368" s="9">
        <v>1</v>
      </c>
    </row>
    <row r="369" spans="1:76">
      <c r="A369" s="3" t="s">
        <v>66</v>
      </c>
      <c r="B369" t="s">
        <v>4059</v>
      </c>
      <c r="D369" t="s">
        <v>4967</v>
      </c>
      <c r="F369" s="91" t="s">
        <v>4973</v>
      </c>
      <c r="H369" s="3" t="s">
        <v>4984</v>
      </c>
      <c r="I369" s="3"/>
      <c r="J369" s="124"/>
      <c r="K369" s="124"/>
      <c r="M369" s="124"/>
      <c r="V369" s="9">
        <v>1</v>
      </c>
      <c r="W369" s="9">
        <v>1</v>
      </c>
      <c r="X369" s="10">
        <v>1</v>
      </c>
      <c r="Y369" s="9">
        <v>1</v>
      </c>
      <c r="Z369" s="9">
        <v>1</v>
      </c>
      <c r="AA369" s="9">
        <v>1</v>
      </c>
      <c r="AB369" s="9">
        <v>1</v>
      </c>
      <c r="AC369" s="9">
        <v>1</v>
      </c>
      <c r="AD369" s="9">
        <v>1</v>
      </c>
      <c r="AE369" s="9">
        <v>1</v>
      </c>
      <c r="AF369" s="9">
        <v>1</v>
      </c>
      <c r="AG369" s="9">
        <v>1</v>
      </c>
      <c r="AH369" s="9">
        <v>1</v>
      </c>
      <c r="AI369" s="9">
        <v>1</v>
      </c>
      <c r="AJ369" s="9">
        <v>1</v>
      </c>
      <c r="AK369" s="9">
        <v>1</v>
      </c>
      <c r="AL369" s="9">
        <v>1</v>
      </c>
      <c r="AM369" s="9">
        <v>1</v>
      </c>
      <c r="AN369" s="9">
        <v>1</v>
      </c>
      <c r="AO369" s="9">
        <v>1</v>
      </c>
      <c r="AP369" s="9">
        <v>1</v>
      </c>
      <c r="AQ369" s="9">
        <v>1</v>
      </c>
      <c r="AR369" s="9">
        <v>1</v>
      </c>
      <c r="AS369" s="9">
        <v>1</v>
      </c>
      <c r="AT369" s="9">
        <v>1</v>
      </c>
      <c r="AU369" s="9">
        <v>1</v>
      </c>
      <c r="AV369" s="9">
        <v>1</v>
      </c>
      <c r="AW369" s="9">
        <v>1</v>
      </c>
      <c r="AX369" s="9">
        <v>1</v>
      </c>
      <c r="AY369" s="9">
        <v>1</v>
      </c>
      <c r="AZ369" s="9">
        <v>1</v>
      </c>
      <c r="BA369" s="9">
        <v>1</v>
      </c>
      <c r="BB369" s="9">
        <v>1</v>
      </c>
      <c r="BC369" s="9">
        <v>1</v>
      </c>
      <c r="BD369" s="9">
        <v>1</v>
      </c>
      <c r="BE369" s="9">
        <v>1</v>
      </c>
      <c r="BF369" s="9">
        <v>1</v>
      </c>
      <c r="BG369" s="9">
        <v>1</v>
      </c>
      <c r="BH369" s="9">
        <v>1</v>
      </c>
      <c r="BI369" s="9">
        <v>1</v>
      </c>
      <c r="BJ369" s="9">
        <v>1</v>
      </c>
      <c r="BK369" s="9">
        <v>1</v>
      </c>
      <c r="BL369" s="9">
        <v>1</v>
      </c>
      <c r="BM369" s="9">
        <v>1</v>
      </c>
      <c r="BN369" s="9">
        <v>1</v>
      </c>
      <c r="BO369" s="9">
        <v>1</v>
      </c>
      <c r="BP369" s="9">
        <v>1</v>
      </c>
      <c r="BQ369" s="9">
        <v>1</v>
      </c>
      <c r="BR369" s="9">
        <v>1</v>
      </c>
      <c r="BS369" s="9">
        <v>1</v>
      </c>
      <c r="BT369" s="9">
        <v>1</v>
      </c>
      <c r="BU369" s="9">
        <v>1</v>
      </c>
      <c r="BV369" s="9">
        <v>1</v>
      </c>
      <c r="BW369" s="9">
        <v>1</v>
      </c>
      <c r="BX369" s="9">
        <v>1</v>
      </c>
    </row>
    <row r="370" spans="1:76">
      <c r="A370" s="3" t="s">
        <v>66</v>
      </c>
      <c r="B370" t="s">
        <v>4061</v>
      </c>
      <c r="D370" t="s">
        <v>4967</v>
      </c>
      <c r="F370" s="91" t="s">
        <v>4973</v>
      </c>
      <c r="H370" s="3" t="s">
        <v>4984</v>
      </c>
      <c r="I370" s="3"/>
      <c r="J370" s="124"/>
      <c r="K370" s="124"/>
      <c r="M370" s="124"/>
      <c r="V370" s="9">
        <v>1</v>
      </c>
      <c r="W370" s="9">
        <v>1</v>
      </c>
      <c r="X370" s="10">
        <v>1</v>
      </c>
      <c r="Y370" s="9">
        <v>1</v>
      </c>
      <c r="Z370" s="9">
        <v>1</v>
      </c>
      <c r="AA370" s="9">
        <v>1</v>
      </c>
      <c r="AB370" s="9">
        <v>1</v>
      </c>
      <c r="AC370" s="9">
        <v>1</v>
      </c>
      <c r="AD370" s="9">
        <v>1</v>
      </c>
      <c r="AE370" s="9">
        <v>1</v>
      </c>
      <c r="AF370" s="9">
        <v>1</v>
      </c>
      <c r="AG370" s="9">
        <v>1</v>
      </c>
      <c r="AH370" s="9">
        <v>1</v>
      </c>
      <c r="AI370" s="9">
        <v>1</v>
      </c>
      <c r="AJ370" s="9">
        <v>1</v>
      </c>
      <c r="AK370" s="9">
        <v>1</v>
      </c>
      <c r="AL370" s="9">
        <v>1</v>
      </c>
      <c r="AM370" s="9">
        <v>1</v>
      </c>
      <c r="AN370" s="9">
        <v>1</v>
      </c>
      <c r="AO370" s="9">
        <v>1</v>
      </c>
      <c r="AP370" s="9">
        <v>1</v>
      </c>
      <c r="AQ370" s="9">
        <v>1</v>
      </c>
      <c r="AR370" s="9">
        <v>1</v>
      </c>
      <c r="AS370" s="9">
        <v>1</v>
      </c>
      <c r="AT370" s="9">
        <v>1</v>
      </c>
      <c r="AU370" s="9">
        <v>1</v>
      </c>
      <c r="AV370" s="9">
        <v>1</v>
      </c>
      <c r="AW370" s="9">
        <v>1</v>
      </c>
      <c r="AX370" s="9">
        <v>1</v>
      </c>
      <c r="AY370" s="9">
        <v>1</v>
      </c>
      <c r="AZ370" s="9">
        <v>1</v>
      </c>
      <c r="BA370" s="9">
        <v>1</v>
      </c>
      <c r="BB370" s="9">
        <v>1</v>
      </c>
      <c r="BC370" s="9">
        <v>1</v>
      </c>
      <c r="BD370" s="9">
        <v>1</v>
      </c>
      <c r="BE370" s="9">
        <v>1</v>
      </c>
      <c r="BF370" s="9">
        <v>1</v>
      </c>
      <c r="BG370" s="9">
        <v>1</v>
      </c>
      <c r="BH370" s="9">
        <v>1</v>
      </c>
      <c r="BI370" s="9">
        <v>1</v>
      </c>
      <c r="BJ370" s="9">
        <v>1</v>
      </c>
      <c r="BK370" s="9">
        <v>1</v>
      </c>
      <c r="BL370" s="9">
        <v>1</v>
      </c>
      <c r="BM370" s="9">
        <v>1</v>
      </c>
      <c r="BN370" s="9">
        <v>1</v>
      </c>
      <c r="BO370" s="9">
        <v>1</v>
      </c>
      <c r="BP370" s="9">
        <v>1</v>
      </c>
      <c r="BQ370" s="9">
        <v>1</v>
      </c>
      <c r="BR370" s="9">
        <v>1</v>
      </c>
      <c r="BS370" s="9">
        <v>1</v>
      </c>
      <c r="BT370" s="9">
        <v>1</v>
      </c>
      <c r="BU370" s="9">
        <v>1</v>
      </c>
      <c r="BV370" s="9">
        <v>1</v>
      </c>
      <c r="BW370" s="9">
        <v>1</v>
      </c>
      <c r="BX370" s="9">
        <v>1</v>
      </c>
    </row>
    <row r="371" spans="1:76">
      <c r="A371" s="3" t="s">
        <v>66</v>
      </c>
      <c r="B371" t="s">
        <v>4063</v>
      </c>
      <c r="D371" t="s">
        <v>4967</v>
      </c>
      <c r="F371" s="91" t="s">
        <v>4973</v>
      </c>
      <c r="H371" s="3" t="s">
        <v>4984</v>
      </c>
      <c r="I371" s="3"/>
      <c r="J371" s="124"/>
      <c r="K371" s="124"/>
      <c r="M371" s="124"/>
      <c r="V371" s="9">
        <v>1</v>
      </c>
      <c r="W371" s="9">
        <v>1</v>
      </c>
      <c r="X371" s="10">
        <v>1</v>
      </c>
      <c r="Y371" s="9">
        <v>1</v>
      </c>
      <c r="Z371" s="9">
        <v>1</v>
      </c>
      <c r="AA371" s="9">
        <v>1</v>
      </c>
      <c r="AB371" s="9">
        <v>1</v>
      </c>
      <c r="AC371" s="9">
        <v>1</v>
      </c>
      <c r="AD371" s="9">
        <v>1</v>
      </c>
      <c r="AE371" s="9">
        <v>1</v>
      </c>
      <c r="AF371" s="9">
        <v>1</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1</v>
      </c>
      <c r="AY371" s="9">
        <v>1</v>
      </c>
      <c r="AZ371" s="9">
        <v>1</v>
      </c>
      <c r="BA371" s="9">
        <v>1</v>
      </c>
      <c r="BB371" s="9">
        <v>1</v>
      </c>
      <c r="BC371" s="9">
        <v>1</v>
      </c>
      <c r="BD371" s="9">
        <v>1</v>
      </c>
      <c r="BE371" s="9">
        <v>1</v>
      </c>
      <c r="BF371" s="9">
        <v>1</v>
      </c>
      <c r="BG371" s="9">
        <v>1</v>
      </c>
      <c r="BH371" s="9">
        <v>1</v>
      </c>
      <c r="BI371" s="9">
        <v>1</v>
      </c>
      <c r="BJ371" s="9">
        <v>1</v>
      </c>
      <c r="BK371" s="9">
        <v>1</v>
      </c>
      <c r="BL371" s="9">
        <v>1</v>
      </c>
      <c r="BM371" s="9">
        <v>1</v>
      </c>
      <c r="BN371" s="9">
        <v>1</v>
      </c>
      <c r="BO371" s="9">
        <v>1</v>
      </c>
      <c r="BP371" s="9">
        <v>1</v>
      </c>
      <c r="BQ371" s="9">
        <v>1</v>
      </c>
      <c r="BR371" s="9">
        <v>1</v>
      </c>
      <c r="BS371" s="9">
        <v>1</v>
      </c>
      <c r="BT371" s="9">
        <v>1</v>
      </c>
      <c r="BU371" s="9">
        <v>1</v>
      </c>
      <c r="BV371" s="9">
        <v>1</v>
      </c>
      <c r="BW371" s="9">
        <v>1</v>
      </c>
      <c r="BX371" s="9">
        <v>1</v>
      </c>
    </row>
    <row r="372" spans="1:76">
      <c r="A372" s="3" t="s">
        <v>66</v>
      </c>
      <c r="B372" t="s">
        <v>4065</v>
      </c>
      <c r="D372" t="s">
        <v>4967</v>
      </c>
      <c r="F372" s="91" t="s">
        <v>4973</v>
      </c>
      <c r="H372" s="3" t="s">
        <v>4984</v>
      </c>
      <c r="I372" s="3"/>
      <c r="J372" s="124"/>
      <c r="K372" s="124"/>
      <c r="M372" s="124"/>
      <c r="V372" s="9">
        <v>1</v>
      </c>
      <c r="W372" s="9">
        <v>1</v>
      </c>
      <c r="X372" s="10">
        <v>1</v>
      </c>
      <c r="Y372" s="9">
        <v>1</v>
      </c>
      <c r="Z372" s="9">
        <v>1</v>
      </c>
      <c r="AA372" s="9">
        <v>1</v>
      </c>
      <c r="AB372" s="9">
        <v>1</v>
      </c>
      <c r="AC372" s="9">
        <v>1</v>
      </c>
      <c r="AD372" s="9">
        <v>1</v>
      </c>
      <c r="AE372" s="9">
        <v>1</v>
      </c>
      <c r="AF372" s="9">
        <v>1</v>
      </c>
      <c r="AG372" s="9">
        <v>1</v>
      </c>
      <c r="AH372" s="9">
        <v>1</v>
      </c>
      <c r="AI372" s="9">
        <v>1</v>
      </c>
      <c r="AJ372" s="9">
        <v>1</v>
      </c>
      <c r="AK372" s="9">
        <v>1</v>
      </c>
      <c r="AL372" s="9">
        <v>1</v>
      </c>
      <c r="AM372" s="9">
        <v>1</v>
      </c>
      <c r="AN372" s="9">
        <v>1</v>
      </c>
      <c r="AO372" s="9">
        <v>1</v>
      </c>
      <c r="AP372" s="9">
        <v>1</v>
      </c>
      <c r="AQ372" s="9">
        <v>1</v>
      </c>
      <c r="AR372" s="9">
        <v>1</v>
      </c>
      <c r="AS372" s="9">
        <v>1</v>
      </c>
      <c r="AT372" s="9">
        <v>1</v>
      </c>
      <c r="AU372" s="9">
        <v>1</v>
      </c>
      <c r="AV372" s="9">
        <v>1</v>
      </c>
      <c r="AW372" s="9">
        <v>1</v>
      </c>
      <c r="AX372" s="9">
        <v>1</v>
      </c>
      <c r="AY372" s="9">
        <v>1</v>
      </c>
      <c r="AZ372" s="9">
        <v>1</v>
      </c>
      <c r="BA372" s="9">
        <v>1</v>
      </c>
      <c r="BB372" s="9">
        <v>1</v>
      </c>
      <c r="BC372" s="9">
        <v>1</v>
      </c>
      <c r="BD372" s="9">
        <v>1</v>
      </c>
      <c r="BE372" s="9">
        <v>1</v>
      </c>
      <c r="BF372" s="9">
        <v>1</v>
      </c>
      <c r="BG372" s="9">
        <v>1</v>
      </c>
      <c r="BH372" s="9">
        <v>1</v>
      </c>
      <c r="BI372" s="9">
        <v>1</v>
      </c>
      <c r="BJ372" s="9">
        <v>1</v>
      </c>
      <c r="BK372" s="9">
        <v>1</v>
      </c>
      <c r="BL372" s="9">
        <v>1</v>
      </c>
      <c r="BM372" s="9">
        <v>1</v>
      </c>
      <c r="BN372" s="9">
        <v>1</v>
      </c>
      <c r="BO372" s="9">
        <v>1</v>
      </c>
      <c r="BP372" s="9">
        <v>1</v>
      </c>
      <c r="BQ372" s="9">
        <v>1</v>
      </c>
      <c r="BR372" s="9">
        <v>1</v>
      </c>
      <c r="BS372" s="9">
        <v>1</v>
      </c>
      <c r="BT372" s="9">
        <v>1</v>
      </c>
      <c r="BU372" s="9">
        <v>1</v>
      </c>
      <c r="BV372" s="9">
        <v>1</v>
      </c>
      <c r="BW372" s="9">
        <v>1</v>
      </c>
      <c r="BX372" s="9">
        <v>1</v>
      </c>
    </row>
    <row r="373" spans="1:76">
      <c r="A373" s="3" t="s">
        <v>66</v>
      </c>
      <c r="B373" t="s">
        <v>4067</v>
      </c>
      <c r="D373" t="s">
        <v>4967</v>
      </c>
      <c r="F373" s="91" t="s">
        <v>4973</v>
      </c>
      <c r="H373" s="3" t="s">
        <v>4984</v>
      </c>
      <c r="I373" s="3"/>
      <c r="J373" s="124"/>
      <c r="K373" s="124"/>
      <c r="M373" s="124"/>
      <c r="V373" s="9">
        <v>1</v>
      </c>
      <c r="W373" s="9">
        <v>1</v>
      </c>
      <c r="X373" s="10">
        <v>1</v>
      </c>
      <c r="Y373" s="9">
        <v>1</v>
      </c>
      <c r="Z373" s="9">
        <v>1</v>
      </c>
      <c r="AA373" s="9">
        <v>1</v>
      </c>
      <c r="AB373" s="9">
        <v>1</v>
      </c>
      <c r="AC373" s="9">
        <v>1</v>
      </c>
      <c r="AD373" s="9">
        <v>1</v>
      </c>
      <c r="AE373" s="9">
        <v>1</v>
      </c>
      <c r="AF373" s="9">
        <v>1</v>
      </c>
      <c r="AG373" s="9">
        <v>1</v>
      </c>
      <c r="AH373" s="9">
        <v>1</v>
      </c>
      <c r="AI373" s="9">
        <v>1</v>
      </c>
      <c r="AJ373" s="9">
        <v>1</v>
      </c>
      <c r="AK373" s="9">
        <v>1</v>
      </c>
      <c r="AL373" s="9">
        <v>1</v>
      </c>
      <c r="AM373" s="9">
        <v>1</v>
      </c>
      <c r="AN373" s="9">
        <v>1</v>
      </c>
      <c r="AO373" s="9">
        <v>1</v>
      </c>
      <c r="AP373" s="9">
        <v>1</v>
      </c>
      <c r="AQ373" s="9">
        <v>1</v>
      </c>
      <c r="AR373" s="9">
        <v>1</v>
      </c>
      <c r="AS373" s="9">
        <v>1</v>
      </c>
      <c r="AT373" s="9">
        <v>1</v>
      </c>
      <c r="AU373" s="9">
        <v>1</v>
      </c>
      <c r="AV373" s="9">
        <v>1</v>
      </c>
      <c r="AW373" s="9">
        <v>1</v>
      </c>
      <c r="AX373" s="9">
        <v>1</v>
      </c>
      <c r="AY373" s="9">
        <v>1</v>
      </c>
      <c r="AZ373" s="9">
        <v>1</v>
      </c>
      <c r="BA373" s="9">
        <v>1</v>
      </c>
      <c r="BB373" s="9">
        <v>1</v>
      </c>
      <c r="BC373" s="9">
        <v>1</v>
      </c>
      <c r="BD373" s="9">
        <v>1</v>
      </c>
      <c r="BE373" s="9">
        <v>1</v>
      </c>
      <c r="BF373" s="9">
        <v>1</v>
      </c>
      <c r="BG373" s="9">
        <v>1</v>
      </c>
      <c r="BH373" s="9">
        <v>1</v>
      </c>
      <c r="BI373" s="9">
        <v>1</v>
      </c>
      <c r="BJ373" s="9">
        <v>1</v>
      </c>
      <c r="BK373" s="9">
        <v>1</v>
      </c>
      <c r="BL373" s="9">
        <v>1</v>
      </c>
      <c r="BM373" s="9">
        <v>1</v>
      </c>
      <c r="BN373" s="9">
        <v>1</v>
      </c>
      <c r="BO373" s="9">
        <v>1</v>
      </c>
      <c r="BP373" s="9">
        <v>1</v>
      </c>
      <c r="BQ373" s="9">
        <v>1</v>
      </c>
      <c r="BR373" s="9">
        <v>1</v>
      </c>
      <c r="BS373" s="9">
        <v>1</v>
      </c>
      <c r="BT373" s="9">
        <v>1</v>
      </c>
      <c r="BU373" s="9">
        <v>1</v>
      </c>
      <c r="BV373" s="9">
        <v>1</v>
      </c>
      <c r="BW373" s="9">
        <v>1</v>
      </c>
      <c r="BX373" s="9">
        <v>1</v>
      </c>
    </row>
    <row r="374" spans="1:76">
      <c r="A374" s="3" t="s">
        <v>66</v>
      </c>
      <c r="B374" t="s">
        <v>4069</v>
      </c>
      <c r="D374" t="s">
        <v>4967</v>
      </c>
      <c r="F374" s="91" t="s">
        <v>4973</v>
      </c>
      <c r="H374" s="3" t="s">
        <v>4984</v>
      </c>
      <c r="I374" s="3"/>
      <c r="J374" s="124"/>
      <c r="K374" s="124"/>
      <c r="M374" s="124"/>
      <c r="V374" s="9">
        <v>1</v>
      </c>
      <c r="W374" s="9">
        <v>1</v>
      </c>
      <c r="X374" s="10">
        <v>1</v>
      </c>
      <c r="Y374" s="9">
        <v>1</v>
      </c>
      <c r="Z374" s="9">
        <v>1</v>
      </c>
      <c r="AA374" s="9">
        <v>1</v>
      </c>
      <c r="AB374" s="9">
        <v>1</v>
      </c>
      <c r="AC374" s="9">
        <v>1</v>
      </c>
      <c r="AD374" s="9">
        <v>1</v>
      </c>
      <c r="AE374" s="9">
        <v>1</v>
      </c>
      <c r="AF374" s="9">
        <v>1</v>
      </c>
      <c r="AG374" s="9">
        <v>1</v>
      </c>
      <c r="AH374" s="9">
        <v>1</v>
      </c>
      <c r="AI374" s="9">
        <v>1</v>
      </c>
      <c r="AJ374" s="9">
        <v>1</v>
      </c>
      <c r="AK374" s="9">
        <v>1</v>
      </c>
      <c r="AL374" s="9">
        <v>1</v>
      </c>
      <c r="AM374" s="9">
        <v>1</v>
      </c>
      <c r="AN374" s="9">
        <v>1</v>
      </c>
      <c r="AO374" s="9">
        <v>1</v>
      </c>
      <c r="AP374" s="9">
        <v>1</v>
      </c>
      <c r="AQ374" s="9">
        <v>1</v>
      </c>
      <c r="AR374" s="9">
        <v>1</v>
      </c>
      <c r="AS374" s="9">
        <v>1</v>
      </c>
      <c r="AT374" s="9">
        <v>1</v>
      </c>
      <c r="AU374" s="9">
        <v>1</v>
      </c>
      <c r="AV374" s="9">
        <v>1</v>
      </c>
      <c r="AW374" s="9">
        <v>1</v>
      </c>
      <c r="AX374" s="9">
        <v>1</v>
      </c>
      <c r="AY374" s="9">
        <v>1</v>
      </c>
      <c r="AZ374" s="9">
        <v>1</v>
      </c>
      <c r="BA374" s="9">
        <v>1</v>
      </c>
      <c r="BB374" s="9">
        <v>1</v>
      </c>
      <c r="BC374" s="9">
        <v>1</v>
      </c>
      <c r="BD374" s="9">
        <v>1</v>
      </c>
      <c r="BE374" s="9">
        <v>1</v>
      </c>
      <c r="BF374" s="9">
        <v>1</v>
      </c>
      <c r="BG374" s="9">
        <v>1</v>
      </c>
      <c r="BH374" s="9">
        <v>1</v>
      </c>
      <c r="BI374" s="9">
        <v>1</v>
      </c>
      <c r="BJ374" s="9">
        <v>1</v>
      </c>
      <c r="BK374" s="9">
        <v>1</v>
      </c>
      <c r="BL374" s="9">
        <v>1</v>
      </c>
      <c r="BM374" s="9">
        <v>1</v>
      </c>
      <c r="BN374" s="9">
        <v>1</v>
      </c>
      <c r="BO374" s="9">
        <v>1</v>
      </c>
      <c r="BP374" s="9">
        <v>1</v>
      </c>
      <c r="BQ374" s="9">
        <v>1</v>
      </c>
      <c r="BR374" s="9">
        <v>1</v>
      </c>
      <c r="BS374" s="9">
        <v>1</v>
      </c>
      <c r="BT374" s="9">
        <v>1</v>
      </c>
      <c r="BU374" s="9">
        <v>1</v>
      </c>
      <c r="BV374" s="9">
        <v>1</v>
      </c>
      <c r="BW374" s="9">
        <v>1</v>
      </c>
      <c r="BX374" s="9">
        <v>1</v>
      </c>
    </row>
    <row r="375" spans="1:76">
      <c r="A375" s="3" t="s">
        <v>66</v>
      </c>
      <c r="B375" t="s">
        <v>4071</v>
      </c>
      <c r="D375" t="s">
        <v>4967</v>
      </c>
      <c r="F375" s="91" t="s">
        <v>4973</v>
      </c>
      <c r="H375" s="3" t="s">
        <v>4984</v>
      </c>
      <c r="I375" s="3"/>
      <c r="J375" s="124"/>
      <c r="K375" s="124"/>
      <c r="M375" s="124"/>
      <c r="V375" s="9">
        <v>1</v>
      </c>
      <c r="W375" s="9">
        <v>1</v>
      </c>
      <c r="X375" s="10">
        <v>1</v>
      </c>
      <c r="Y375" s="9">
        <v>1</v>
      </c>
      <c r="Z375" s="9">
        <v>1</v>
      </c>
      <c r="AA375" s="9">
        <v>1</v>
      </c>
      <c r="AB375" s="9">
        <v>1</v>
      </c>
      <c r="AC375" s="9">
        <v>1</v>
      </c>
      <c r="AD375" s="9">
        <v>1</v>
      </c>
      <c r="AE375" s="9">
        <v>1</v>
      </c>
      <c r="AF375" s="9">
        <v>1</v>
      </c>
      <c r="AG375" s="9">
        <v>1</v>
      </c>
      <c r="AH375" s="9">
        <v>1</v>
      </c>
      <c r="AI375" s="9">
        <v>1</v>
      </c>
      <c r="AJ375" s="9">
        <v>1</v>
      </c>
      <c r="AK375" s="9">
        <v>1</v>
      </c>
      <c r="AL375" s="9">
        <v>1</v>
      </c>
      <c r="AM375" s="9">
        <v>1</v>
      </c>
      <c r="AN375" s="9">
        <v>1</v>
      </c>
      <c r="AO375" s="9">
        <v>1</v>
      </c>
      <c r="AP375" s="9">
        <v>1</v>
      </c>
      <c r="AQ375" s="9">
        <v>1</v>
      </c>
      <c r="AR375" s="9">
        <v>1</v>
      </c>
      <c r="AS375" s="9">
        <v>1</v>
      </c>
      <c r="AT375" s="9">
        <v>1</v>
      </c>
      <c r="AU375" s="9">
        <v>1</v>
      </c>
      <c r="AV375" s="9">
        <v>1</v>
      </c>
      <c r="AW375" s="9">
        <v>1</v>
      </c>
      <c r="AX375" s="9">
        <v>1</v>
      </c>
      <c r="AY375" s="9">
        <v>1</v>
      </c>
      <c r="AZ375" s="9">
        <v>1</v>
      </c>
      <c r="BA375" s="9">
        <v>1</v>
      </c>
      <c r="BB375" s="9">
        <v>1</v>
      </c>
      <c r="BC375" s="9">
        <v>1</v>
      </c>
      <c r="BD375" s="9">
        <v>1</v>
      </c>
      <c r="BE375" s="9">
        <v>1</v>
      </c>
      <c r="BF375" s="9">
        <v>1</v>
      </c>
      <c r="BG375" s="9">
        <v>1</v>
      </c>
      <c r="BH375" s="9">
        <v>1</v>
      </c>
      <c r="BI375" s="9">
        <v>1</v>
      </c>
      <c r="BJ375" s="9">
        <v>1</v>
      </c>
      <c r="BK375" s="9">
        <v>1</v>
      </c>
      <c r="BL375" s="9">
        <v>1</v>
      </c>
      <c r="BM375" s="9">
        <v>1</v>
      </c>
      <c r="BN375" s="9">
        <v>1</v>
      </c>
      <c r="BO375" s="9">
        <v>1</v>
      </c>
      <c r="BP375" s="9">
        <v>1</v>
      </c>
      <c r="BQ375" s="9">
        <v>1</v>
      </c>
      <c r="BR375" s="9">
        <v>1</v>
      </c>
      <c r="BS375" s="9">
        <v>1</v>
      </c>
      <c r="BT375" s="9">
        <v>1</v>
      </c>
      <c r="BU375" s="9">
        <v>1</v>
      </c>
      <c r="BV375" s="9">
        <v>1</v>
      </c>
      <c r="BW375" s="9">
        <v>1</v>
      </c>
      <c r="BX375" s="9">
        <v>1</v>
      </c>
    </row>
    <row r="376" spans="1:76">
      <c r="A376" s="3" t="s">
        <v>66</v>
      </c>
      <c r="B376" t="s">
        <v>4073</v>
      </c>
      <c r="D376" t="s">
        <v>4967</v>
      </c>
      <c r="F376" s="91" t="s">
        <v>4973</v>
      </c>
      <c r="H376" s="3" t="s">
        <v>4984</v>
      </c>
      <c r="I376" s="3"/>
      <c r="J376" s="124"/>
      <c r="K376" s="124"/>
      <c r="M376" s="124"/>
      <c r="V376" s="9">
        <v>1</v>
      </c>
      <c r="W376" s="9">
        <v>1</v>
      </c>
      <c r="X376" s="10">
        <v>1</v>
      </c>
      <c r="Y376" s="9">
        <v>1</v>
      </c>
      <c r="Z376" s="9">
        <v>1</v>
      </c>
      <c r="AA376" s="9">
        <v>1</v>
      </c>
      <c r="AB376" s="9">
        <v>1</v>
      </c>
      <c r="AC376" s="9">
        <v>1</v>
      </c>
      <c r="AD376" s="9">
        <v>1</v>
      </c>
      <c r="AE376" s="9">
        <v>1</v>
      </c>
      <c r="AF376" s="9">
        <v>1</v>
      </c>
      <c r="AG376" s="9">
        <v>1</v>
      </c>
      <c r="AH376" s="9">
        <v>1</v>
      </c>
      <c r="AI376" s="9">
        <v>1</v>
      </c>
      <c r="AJ376" s="9">
        <v>1</v>
      </c>
      <c r="AK376" s="9">
        <v>1</v>
      </c>
      <c r="AL376" s="9">
        <v>1</v>
      </c>
      <c r="AM376" s="9">
        <v>1</v>
      </c>
      <c r="AN376" s="9">
        <v>1</v>
      </c>
      <c r="AO376" s="9">
        <v>1</v>
      </c>
      <c r="AP376" s="9">
        <v>1</v>
      </c>
      <c r="AQ376" s="9">
        <v>1</v>
      </c>
      <c r="AR376" s="9">
        <v>1</v>
      </c>
      <c r="AS376" s="9">
        <v>1</v>
      </c>
      <c r="AT376" s="9">
        <v>1</v>
      </c>
      <c r="AU376" s="9">
        <v>1</v>
      </c>
      <c r="AV376" s="9">
        <v>1</v>
      </c>
      <c r="AW376" s="9">
        <v>1</v>
      </c>
      <c r="AX376" s="9">
        <v>1</v>
      </c>
      <c r="AY376" s="9">
        <v>1</v>
      </c>
      <c r="AZ376" s="9">
        <v>1</v>
      </c>
      <c r="BA376" s="9">
        <v>1</v>
      </c>
      <c r="BB376" s="9">
        <v>1</v>
      </c>
      <c r="BC376" s="9">
        <v>1</v>
      </c>
      <c r="BD376" s="9">
        <v>1</v>
      </c>
      <c r="BE376" s="9">
        <v>1</v>
      </c>
      <c r="BF376" s="9">
        <v>1</v>
      </c>
      <c r="BG376" s="9">
        <v>1</v>
      </c>
      <c r="BH376" s="9">
        <v>1</v>
      </c>
      <c r="BI376" s="9">
        <v>1</v>
      </c>
      <c r="BJ376" s="9">
        <v>1</v>
      </c>
      <c r="BK376" s="9">
        <v>1</v>
      </c>
      <c r="BL376" s="9">
        <v>1</v>
      </c>
      <c r="BM376" s="9">
        <v>1</v>
      </c>
      <c r="BN376" s="9">
        <v>1</v>
      </c>
      <c r="BO376" s="9">
        <v>1</v>
      </c>
      <c r="BP376" s="9">
        <v>1</v>
      </c>
      <c r="BQ376" s="9">
        <v>1</v>
      </c>
      <c r="BR376" s="9">
        <v>1</v>
      </c>
      <c r="BS376" s="9">
        <v>1</v>
      </c>
      <c r="BT376" s="9">
        <v>1</v>
      </c>
      <c r="BU376" s="9">
        <v>1</v>
      </c>
      <c r="BV376" s="9">
        <v>1</v>
      </c>
      <c r="BW376" s="9">
        <v>1</v>
      </c>
      <c r="BX376" s="9">
        <v>1</v>
      </c>
    </row>
    <row r="377" spans="1:76">
      <c r="A377" s="3" t="s">
        <v>66</v>
      </c>
      <c r="B377" t="s">
        <v>4075</v>
      </c>
      <c r="D377" t="s">
        <v>4967</v>
      </c>
      <c r="F377" s="91" t="s">
        <v>4973</v>
      </c>
      <c r="H377" s="3" t="s">
        <v>4984</v>
      </c>
      <c r="I377" s="3"/>
      <c r="J377" s="124"/>
      <c r="K377" s="124"/>
      <c r="M377" s="124"/>
      <c r="V377" s="9">
        <v>1</v>
      </c>
      <c r="W377" s="9">
        <v>1</v>
      </c>
      <c r="X377" s="10">
        <v>1</v>
      </c>
      <c r="Y377" s="9">
        <v>1</v>
      </c>
      <c r="Z377" s="9">
        <v>1</v>
      </c>
      <c r="AA377" s="9">
        <v>1</v>
      </c>
      <c r="AB377" s="9">
        <v>1</v>
      </c>
      <c r="AC377" s="9">
        <v>1</v>
      </c>
      <c r="AD377" s="9">
        <v>1</v>
      </c>
      <c r="AE377" s="9">
        <v>1</v>
      </c>
      <c r="AF377" s="9">
        <v>1</v>
      </c>
      <c r="AG377" s="9">
        <v>1</v>
      </c>
      <c r="AH377" s="9">
        <v>1</v>
      </c>
      <c r="AI377" s="9">
        <v>1</v>
      </c>
      <c r="AJ377" s="9">
        <v>1</v>
      </c>
      <c r="AK377" s="9">
        <v>1</v>
      </c>
      <c r="AL377" s="9">
        <v>1</v>
      </c>
      <c r="AM377" s="9">
        <v>1</v>
      </c>
      <c r="AN377" s="9">
        <v>1</v>
      </c>
      <c r="AO377" s="9">
        <v>1</v>
      </c>
      <c r="AP377" s="9">
        <v>1</v>
      </c>
      <c r="AQ377" s="9">
        <v>1</v>
      </c>
      <c r="AR377" s="9">
        <v>1</v>
      </c>
      <c r="AS377" s="9">
        <v>1</v>
      </c>
      <c r="AT377" s="9">
        <v>1</v>
      </c>
      <c r="AU377" s="9">
        <v>1</v>
      </c>
      <c r="AV377" s="9">
        <v>1</v>
      </c>
      <c r="AW377" s="9">
        <v>1</v>
      </c>
      <c r="AX377" s="9">
        <v>1</v>
      </c>
      <c r="AY377" s="9">
        <v>1</v>
      </c>
      <c r="AZ377" s="9">
        <v>1</v>
      </c>
      <c r="BA377" s="9">
        <v>1</v>
      </c>
      <c r="BB377" s="9">
        <v>1</v>
      </c>
      <c r="BC377" s="9">
        <v>1</v>
      </c>
      <c r="BD377" s="9">
        <v>1</v>
      </c>
      <c r="BE377" s="9">
        <v>1</v>
      </c>
      <c r="BF377" s="9">
        <v>1</v>
      </c>
      <c r="BG377" s="9">
        <v>1</v>
      </c>
      <c r="BH377" s="9">
        <v>1</v>
      </c>
      <c r="BI377" s="9">
        <v>1</v>
      </c>
      <c r="BJ377" s="9">
        <v>1</v>
      </c>
      <c r="BK377" s="9">
        <v>1</v>
      </c>
      <c r="BL377" s="9">
        <v>1</v>
      </c>
      <c r="BM377" s="9">
        <v>1</v>
      </c>
      <c r="BN377" s="9">
        <v>1</v>
      </c>
      <c r="BO377" s="9">
        <v>1</v>
      </c>
      <c r="BP377" s="9">
        <v>1</v>
      </c>
      <c r="BQ377" s="9">
        <v>1</v>
      </c>
      <c r="BR377" s="9">
        <v>1</v>
      </c>
      <c r="BS377" s="9">
        <v>1</v>
      </c>
      <c r="BT377" s="9">
        <v>1</v>
      </c>
      <c r="BU377" s="9">
        <v>1</v>
      </c>
      <c r="BV377" s="9">
        <v>1</v>
      </c>
      <c r="BW377" s="9">
        <v>1</v>
      </c>
      <c r="BX377" s="9">
        <v>1</v>
      </c>
    </row>
    <row r="378" spans="1:76">
      <c r="A378" s="3" t="s">
        <v>66</v>
      </c>
      <c r="B378" t="s">
        <v>3639</v>
      </c>
      <c r="C378" t="s">
        <v>3640</v>
      </c>
      <c r="D378" t="s">
        <v>4967</v>
      </c>
      <c r="F378" s="91" t="s">
        <v>4973</v>
      </c>
      <c r="H378" s="3" t="s">
        <v>4984</v>
      </c>
      <c r="I378" s="3"/>
      <c r="J378" s="124"/>
      <c r="K378" s="124"/>
      <c r="M378" s="124"/>
      <c r="V378" s="9">
        <v>1</v>
      </c>
      <c r="W378" s="9">
        <v>1</v>
      </c>
      <c r="X378" s="10">
        <v>1</v>
      </c>
      <c r="Y378" s="9">
        <v>1</v>
      </c>
      <c r="Z378" s="9">
        <v>1</v>
      </c>
      <c r="AA378" s="9">
        <v>1</v>
      </c>
      <c r="AB378" s="9">
        <v>1</v>
      </c>
      <c r="AC378" s="9">
        <v>1</v>
      </c>
      <c r="AD378" s="9">
        <v>1</v>
      </c>
      <c r="AE378" s="9">
        <v>1</v>
      </c>
      <c r="AF378" s="9">
        <v>1</v>
      </c>
      <c r="AG378" s="9">
        <v>1</v>
      </c>
      <c r="AH378" s="9">
        <v>1</v>
      </c>
      <c r="AI378" s="9">
        <v>1</v>
      </c>
      <c r="AJ378" s="9">
        <v>1</v>
      </c>
      <c r="AK378" s="9">
        <v>1</v>
      </c>
      <c r="AL378" s="9">
        <v>1</v>
      </c>
      <c r="AM378" s="9">
        <v>1</v>
      </c>
      <c r="AN378" s="9">
        <v>1</v>
      </c>
      <c r="AO378" s="9">
        <v>1</v>
      </c>
      <c r="AP378" s="9">
        <v>1</v>
      </c>
      <c r="AQ378" s="9">
        <v>1</v>
      </c>
      <c r="AR378" s="9">
        <v>1</v>
      </c>
      <c r="AS378" s="9">
        <v>1</v>
      </c>
      <c r="AT378" s="9">
        <v>1</v>
      </c>
      <c r="AU378" s="9">
        <v>1</v>
      </c>
      <c r="AV378" s="9">
        <v>1</v>
      </c>
      <c r="AW378" s="9">
        <v>1</v>
      </c>
      <c r="AX378" s="9">
        <v>1</v>
      </c>
      <c r="AY378" s="9">
        <v>1</v>
      </c>
      <c r="AZ378" s="9">
        <v>1</v>
      </c>
      <c r="BA378" s="9">
        <v>1</v>
      </c>
      <c r="BB378" s="9">
        <v>1</v>
      </c>
      <c r="BC378" s="9">
        <v>1</v>
      </c>
      <c r="BD378" s="9">
        <v>1</v>
      </c>
      <c r="BE378" s="9">
        <v>1</v>
      </c>
      <c r="BF378" s="9">
        <v>1</v>
      </c>
      <c r="BG378" s="9">
        <v>1</v>
      </c>
      <c r="BH378" s="9">
        <v>1</v>
      </c>
      <c r="BI378" s="9">
        <v>1</v>
      </c>
      <c r="BJ378" s="9">
        <v>1</v>
      </c>
      <c r="BK378" s="9">
        <v>1</v>
      </c>
      <c r="BL378" s="9">
        <v>1</v>
      </c>
      <c r="BM378" s="9">
        <v>1</v>
      </c>
      <c r="BN378" s="9">
        <v>1</v>
      </c>
      <c r="BO378" s="9">
        <v>1</v>
      </c>
      <c r="BP378" s="9">
        <v>1</v>
      </c>
      <c r="BQ378" s="9">
        <v>1</v>
      </c>
      <c r="BR378" s="9">
        <v>1</v>
      </c>
      <c r="BS378" s="9">
        <v>1</v>
      </c>
      <c r="BT378" s="9">
        <v>1</v>
      </c>
      <c r="BU378" s="9">
        <v>1</v>
      </c>
      <c r="BV378" s="9">
        <v>1</v>
      </c>
      <c r="BW378" s="9">
        <v>1</v>
      </c>
      <c r="BX378" s="9">
        <v>1</v>
      </c>
    </row>
    <row r="379" spans="1:76">
      <c r="A379" s="3" t="s">
        <v>66</v>
      </c>
      <c r="B379" t="s">
        <v>3642</v>
      </c>
      <c r="C379" t="s">
        <v>3643</v>
      </c>
      <c r="D379" t="s">
        <v>4967</v>
      </c>
      <c r="F379" s="91" t="s">
        <v>4973</v>
      </c>
      <c r="H379" s="3" t="s">
        <v>4984</v>
      </c>
      <c r="I379" s="3"/>
      <c r="J379" s="124"/>
      <c r="K379" s="124"/>
      <c r="M379" s="124"/>
      <c r="V379" s="9">
        <v>1</v>
      </c>
      <c r="W379" s="9">
        <v>1</v>
      </c>
      <c r="X379" s="10">
        <v>1</v>
      </c>
      <c r="Y379" s="9">
        <v>1</v>
      </c>
      <c r="Z379" s="9">
        <v>1</v>
      </c>
      <c r="AA379" s="9">
        <v>1</v>
      </c>
      <c r="AB379" s="9">
        <v>1</v>
      </c>
      <c r="AC379" s="9">
        <v>1</v>
      </c>
      <c r="AD379" s="9">
        <v>1</v>
      </c>
      <c r="AE379" s="9">
        <v>1</v>
      </c>
      <c r="AF379" s="9">
        <v>1</v>
      </c>
      <c r="AG379" s="9">
        <v>1</v>
      </c>
      <c r="AH379" s="9">
        <v>1</v>
      </c>
      <c r="AI379" s="9">
        <v>1</v>
      </c>
      <c r="AJ379" s="9">
        <v>1</v>
      </c>
      <c r="AK379" s="9">
        <v>1</v>
      </c>
      <c r="AL379" s="9">
        <v>1</v>
      </c>
      <c r="AM379" s="9">
        <v>1</v>
      </c>
      <c r="AN379" s="9">
        <v>1</v>
      </c>
      <c r="AO379" s="9">
        <v>1</v>
      </c>
      <c r="AP379" s="9">
        <v>1</v>
      </c>
      <c r="AQ379" s="9">
        <v>1</v>
      </c>
      <c r="AR379" s="9">
        <v>1</v>
      </c>
      <c r="AS379" s="9">
        <v>1</v>
      </c>
      <c r="AT379" s="9">
        <v>1</v>
      </c>
      <c r="AU379" s="9">
        <v>1</v>
      </c>
      <c r="AV379" s="9">
        <v>1</v>
      </c>
      <c r="AW379" s="9">
        <v>1</v>
      </c>
      <c r="AX379" s="9">
        <v>1</v>
      </c>
      <c r="AY379" s="9">
        <v>1</v>
      </c>
      <c r="AZ379" s="9">
        <v>1</v>
      </c>
      <c r="BA379" s="9">
        <v>1</v>
      </c>
      <c r="BB379" s="9">
        <v>1</v>
      </c>
      <c r="BC379" s="9">
        <v>1</v>
      </c>
      <c r="BD379" s="9">
        <v>1</v>
      </c>
      <c r="BE379" s="9">
        <v>1</v>
      </c>
      <c r="BF379" s="9">
        <v>1</v>
      </c>
      <c r="BG379" s="9">
        <v>1</v>
      </c>
      <c r="BH379" s="9">
        <v>1</v>
      </c>
      <c r="BI379" s="9">
        <v>1</v>
      </c>
      <c r="BJ379" s="9">
        <v>1</v>
      </c>
      <c r="BK379" s="9">
        <v>1</v>
      </c>
      <c r="BL379" s="9">
        <v>1</v>
      </c>
      <c r="BM379" s="9">
        <v>1</v>
      </c>
      <c r="BN379" s="9">
        <v>1</v>
      </c>
      <c r="BO379" s="9">
        <v>1</v>
      </c>
      <c r="BP379" s="9">
        <v>1</v>
      </c>
      <c r="BQ379" s="9">
        <v>1</v>
      </c>
      <c r="BR379" s="9">
        <v>1</v>
      </c>
      <c r="BS379" s="9">
        <v>1</v>
      </c>
      <c r="BT379" s="9">
        <v>1</v>
      </c>
      <c r="BU379" s="9">
        <v>1</v>
      </c>
      <c r="BV379" s="9">
        <v>1</v>
      </c>
      <c r="BW379" s="9">
        <v>1</v>
      </c>
      <c r="BX379" s="9">
        <v>1</v>
      </c>
    </row>
    <row r="380" spans="1:76">
      <c r="A380" s="3" t="s">
        <v>66</v>
      </c>
      <c r="B380" t="s">
        <v>3652</v>
      </c>
      <c r="C380" t="s">
        <v>3653</v>
      </c>
      <c r="D380" t="s">
        <v>4967</v>
      </c>
      <c r="F380" s="91" t="s">
        <v>4973</v>
      </c>
      <c r="H380" s="3" t="s">
        <v>4984</v>
      </c>
      <c r="I380" s="3"/>
      <c r="J380" s="124"/>
      <c r="K380" s="124"/>
      <c r="M380" s="124"/>
      <c r="V380" s="9">
        <v>1</v>
      </c>
      <c r="W380" s="9">
        <v>1</v>
      </c>
      <c r="X380" s="10">
        <v>1</v>
      </c>
      <c r="Y380" s="9">
        <v>1</v>
      </c>
      <c r="Z380" s="9">
        <v>1</v>
      </c>
      <c r="AA380" s="9">
        <v>1</v>
      </c>
      <c r="AB380" s="9">
        <v>1</v>
      </c>
      <c r="AC380" s="9">
        <v>1</v>
      </c>
      <c r="AD380" s="9">
        <v>1</v>
      </c>
      <c r="AE380" s="9">
        <v>1</v>
      </c>
      <c r="AF380" s="9">
        <v>1</v>
      </c>
      <c r="AG380" s="9">
        <v>1</v>
      </c>
      <c r="AH380" s="9">
        <v>1</v>
      </c>
      <c r="AI380" s="9">
        <v>1</v>
      </c>
      <c r="AJ380" s="9">
        <v>1</v>
      </c>
      <c r="AK380" s="9">
        <v>1</v>
      </c>
      <c r="AL380" s="9">
        <v>1</v>
      </c>
      <c r="AM380" s="9">
        <v>1</v>
      </c>
      <c r="AN380" s="9">
        <v>1</v>
      </c>
      <c r="AO380" s="9">
        <v>1</v>
      </c>
      <c r="AP380" s="9">
        <v>1</v>
      </c>
      <c r="AQ380" s="9">
        <v>1</v>
      </c>
      <c r="AR380" s="9">
        <v>1</v>
      </c>
      <c r="AS380" s="9">
        <v>1</v>
      </c>
      <c r="AT380" s="9">
        <v>1</v>
      </c>
      <c r="AU380" s="9">
        <v>1</v>
      </c>
      <c r="AV380" s="9">
        <v>1</v>
      </c>
      <c r="AW380" s="9">
        <v>1</v>
      </c>
      <c r="AX380" s="9">
        <v>1</v>
      </c>
      <c r="AY380" s="9">
        <v>1</v>
      </c>
      <c r="AZ380" s="9">
        <v>1</v>
      </c>
      <c r="BA380" s="9">
        <v>1</v>
      </c>
      <c r="BB380" s="9">
        <v>1</v>
      </c>
      <c r="BC380" s="9">
        <v>1</v>
      </c>
      <c r="BD380" s="9">
        <v>1</v>
      </c>
      <c r="BE380" s="9">
        <v>1</v>
      </c>
      <c r="BF380" s="9">
        <v>1</v>
      </c>
      <c r="BG380" s="9">
        <v>1</v>
      </c>
      <c r="BH380" s="9">
        <v>1</v>
      </c>
      <c r="BI380" s="9">
        <v>1</v>
      </c>
      <c r="BJ380" s="9">
        <v>1</v>
      </c>
      <c r="BK380" s="9">
        <v>1</v>
      </c>
      <c r="BL380" s="9">
        <v>1</v>
      </c>
      <c r="BM380" s="9">
        <v>1</v>
      </c>
      <c r="BN380" s="9">
        <v>1</v>
      </c>
      <c r="BO380" s="9">
        <v>1</v>
      </c>
      <c r="BP380" s="9">
        <v>1</v>
      </c>
      <c r="BQ380" s="9">
        <v>1</v>
      </c>
      <c r="BR380" s="9">
        <v>1</v>
      </c>
      <c r="BS380" s="9">
        <v>1</v>
      </c>
      <c r="BT380" s="9">
        <v>1</v>
      </c>
      <c r="BU380" s="9">
        <v>1</v>
      </c>
      <c r="BV380" s="9">
        <v>1</v>
      </c>
      <c r="BW380" s="9">
        <v>1</v>
      </c>
      <c r="BX380" s="9">
        <v>1</v>
      </c>
    </row>
    <row r="381" spans="1:76">
      <c r="A381" s="3" t="s">
        <v>66</v>
      </c>
      <c r="B381" t="s">
        <v>3644</v>
      </c>
      <c r="C381" t="s">
        <v>3645</v>
      </c>
      <c r="D381" t="s">
        <v>4967</v>
      </c>
      <c r="F381" s="91" t="s">
        <v>4973</v>
      </c>
      <c r="H381" s="3" t="s">
        <v>4984</v>
      </c>
      <c r="I381" s="3"/>
      <c r="J381" s="124"/>
      <c r="K381" s="124"/>
      <c r="M381" s="124"/>
      <c r="V381" s="9">
        <v>1</v>
      </c>
      <c r="W381" s="9">
        <v>1</v>
      </c>
      <c r="X381" s="10">
        <v>1</v>
      </c>
      <c r="Y381" s="9">
        <v>1</v>
      </c>
      <c r="Z381" s="9">
        <v>1</v>
      </c>
      <c r="AA381" s="9">
        <v>1</v>
      </c>
      <c r="AB381" s="9">
        <v>1</v>
      </c>
      <c r="AC381" s="9">
        <v>1</v>
      </c>
      <c r="AD381" s="9">
        <v>1</v>
      </c>
      <c r="AE381" s="9">
        <v>1</v>
      </c>
      <c r="AF381" s="9">
        <v>1</v>
      </c>
      <c r="AG381" s="9">
        <v>1</v>
      </c>
      <c r="AH381" s="9">
        <v>1</v>
      </c>
      <c r="AI381" s="9">
        <v>1</v>
      </c>
      <c r="AJ381" s="9">
        <v>1</v>
      </c>
      <c r="AK381" s="9">
        <v>1</v>
      </c>
      <c r="AL381" s="9">
        <v>1</v>
      </c>
      <c r="AM381" s="9">
        <v>1</v>
      </c>
      <c r="AN381" s="9">
        <v>1</v>
      </c>
      <c r="AO381" s="9">
        <v>1</v>
      </c>
      <c r="AP381" s="9">
        <v>1</v>
      </c>
      <c r="AQ381" s="9">
        <v>1</v>
      </c>
      <c r="AR381" s="9">
        <v>1</v>
      </c>
      <c r="AS381" s="9">
        <v>1</v>
      </c>
      <c r="AT381" s="9">
        <v>1</v>
      </c>
      <c r="AU381" s="9">
        <v>1</v>
      </c>
      <c r="AV381" s="9">
        <v>1</v>
      </c>
      <c r="AW381" s="9">
        <v>1</v>
      </c>
      <c r="AX381" s="9">
        <v>1</v>
      </c>
      <c r="AY381" s="9">
        <v>1</v>
      </c>
      <c r="AZ381" s="9">
        <v>1</v>
      </c>
      <c r="BA381" s="9">
        <v>1</v>
      </c>
      <c r="BB381" s="9">
        <v>1</v>
      </c>
      <c r="BC381" s="9">
        <v>1</v>
      </c>
      <c r="BD381" s="9">
        <v>1</v>
      </c>
      <c r="BE381" s="9">
        <v>1</v>
      </c>
      <c r="BF381" s="9">
        <v>1</v>
      </c>
      <c r="BG381" s="9">
        <v>1</v>
      </c>
      <c r="BH381" s="9">
        <v>1</v>
      </c>
      <c r="BI381" s="9">
        <v>1</v>
      </c>
      <c r="BJ381" s="9">
        <v>1</v>
      </c>
      <c r="BK381" s="9">
        <v>1</v>
      </c>
      <c r="BL381" s="9">
        <v>1</v>
      </c>
      <c r="BM381" s="9">
        <v>1</v>
      </c>
      <c r="BN381" s="9">
        <v>1</v>
      </c>
      <c r="BO381" s="9">
        <v>1</v>
      </c>
      <c r="BP381" s="9">
        <v>1</v>
      </c>
      <c r="BQ381" s="9">
        <v>1</v>
      </c>
      <c r="BR381" s="9">
        <v>1</v>
      </c>
      <c r="BS381" s="9">
        <v>1</v>
      </c>
      <c r="BT381" s="9">
        <v>1</v>
      </c>
      <c r="BU381" s="9">
        <v>1</v>
      </c>
      <c r="BV381" s="9">
        <v>1</v>
      </c>
      <c r="BW381" s="9">
        <v>1</v>
      </c>
      <c r="BX381" s="9">
        <v>1</v>
      </c>
    </row>
    <row r="382" spans="1:76">
      <c r="A382" s="3" t="s">
        <v>66</v>
      </c>
      <c r="B382" t="s">
        <v>3648</v>
      </c>
      <c r="C382" t="s">
        <v>3649</v>
      </c>
      <c r="D382" t="s">
        <v>4967</v>
      </c>
      <c r="F382" s="91" t="s">
        <v>4973</v>
      </c>
      <c r="H382" s="3" t="s">
        <v>4984</v>
      </c>
      <c r="I382" s="3"/>
      <c r="J382" s="124"/>
      <c r="K382" s="124"/>
      <c r="M382" s="124"/>
      <c r="V382" s="9">
        <v>1</v>
      </c>
      <c r="W382" s="9">
        <v>1</v>
      </c>
      <c r="X382" s="10">
        <v>1</v>
      </c>
      <c r="Y382" s="9">
        <v>1</v>
      </c>
      <c r="Z382" s="9">
        <v>1</v>
      </c>
      <c r="AA382" s="9">
        <v>1</v>
      </c>
      <c r="AB382" s="9">
        <v>1</v>
      </c>
      <c r="AC382" s="9">
        <v>1</v>
      </c>
      <c r="AD382" s="9">
        <v>1</v>
      </c>
      <c r="AE382" s="9">
        <v>1</v>
      </c>
      <c r="AF382" s="9">
        <v>1</v>
      </c>
      <c r="AG382" s="9">
        <v>1</v>
      </c>
      <c r="AH382" s="9">
        <v>1</v>
      </c>
      <c r="AI382" s="9">
        <v>1</v>
      </c>
      <c r="AJ382" s="9">
        <v>1</v>
      </c>
      <c r="AK382" s="9">
        <v>1</v>
      </c>
      <c r="AL382" s="9">
        <v>1</v>
      </c>
      <c r="AM382" s="9">
        <v>1</v>
      </c>
      <c r="AN382" s="9">
        <v>1</v>
      </c>
      <c r="AO382" s="9">
        <v>1</v>
      </c>
      <c r="AP382" s="9">
        <v>1</v>
      </c>
      <c r="AQ382" s="9">
        <v>1</v>
      </c>
      <c r="AR382" s="9">
        <v>1</v>
      </c>
      <c r="AS382" s="9">
        <v>1</v>
      </c>
      <c r="AT382" s="9">
        <v>1</v>
      </c>
      <c r="AU382" s="9">
        <v>1</v>
      </c>
      <c r="AV382" s="9">
        <v>1</v>
      </c>
      <c r="AW382" s="9">
        <v>1</v>
      </c>
      <c r="AX382" s="9">
        <v>1</v>
      </c>
      <c r="AY382" s="9">
        <v>1</v>
      </c>
      <c r="AZ382" s="9">
        <v>1</v>
      </c>
      <c r="BA382" s="9">
        <v>1</v>
      </c>
      <c r="BB382" s="9">
        <v>1</v>
      </c>
      <c r="BC382" s="9">
        <v>1</v>
      </c>
      <c r="BD382" s="9">
        <v>1</v>
      </c>
      <c r="BE382" s="9">
        <v>1</v>
      </c>
      <c r="BF382" s="9">
        <v>1</v>
      </c>
      <c r="BG382" s="9">
        <v>1</v>
      </c>
      <c r="BH382" s="9">
        <v>1</v>
      </c>
      <c r="BI382" s="9">
        <v>1</v>
      </c>
      <c r="BJ382" s="9">
        <v>1</v>
      </c>
      <c r="BK382" s="9">
        <v>1</v>
      </c>
      <c r="BL382" s="9">
        <v>1</v>
      </c>
      <c r="BM382" s="9">
        <v>1</v>
      </c>
      <c r="BN382" s="9">
        <v>1</v>
      </c>
      <c r="BO382" s="9">
        <v>1</v>
      </c>
      <c r="BP382" s="9">
        <v>1</v>
      </c>
      <c r="BQ382" s="9">
        <v>1</v>
      </c>
      <c r="BR382" s="9">
        <v>1</v>
      </c>
      <c r="BS382" s="9">
        <v>1</v>
      </c>
      <c r="BT382" s="9">
        <v>1</v>
      </c>
      <c r="BU382" s="9">
        <v>1</v>
      </c>
      <c r="BV382" s="9">
        <v>1</v>
      </c>
      <c r="BW382" s="9">
        <v>1</v>
      </c>
      <c r="BX382" s="9">
        <v>1</v>
      </c>
    </row>
    <row r="383" spans="1:76">
      <c r="A383" s="3" t="s">
        <v>66</v>
      </c>
      <c r="B383" t="s">
        <v>3646</v>
      </c>
      <c r="C383" t="s">
        <v>3647</v>
      </c>
      <c r="D383" t="s">
        <v>4967</v>
      </c>
      <c r="F383" s="91" t="s">
        <v>4973</v>
      </c>
      <c r="H383" s="3" t="s">
        <v>4984</v>
      </c>
      <c r="I383" s="3"/>
      <c r="J383" s="124"/>
      <c r="K383" s="124"/>
      <c r="M383" s="124"/>
      <c r="V383" s="9">
        <v>1</v>
      </c>
      <c r="W383" s="9">
        <v>1</v>
      </c>
      <c r="X383" s="10">
        <v>1</v>
      </c>
      <c r="Y383" s="9">
        <v>1</v>
      </c>
      <c r="Z383" s="9">
        <v>1</v>
      </c>
      <c r="AA383" s="9">
        <v>1</v>
      </c>
      <c r="AB383" s="9">
        <v>1</v>
      </c>
      <c r="AC383" s="9">
        <v>1</v>
      </c>
      <c r="AD383" s="9">
        <v>1</v>
      </c>
      <c r="AE383" s="9">
        <v>1</v>
      </c>
      <c r="AF383" s="9">
        <v>1</v>
      </c>
      <c r="AG383" s="9">
        <v>1</v>
      </c>
      <c r="AH383" s="9">
        <v>1</v>
      </c>
      <c r="AI383" s="9">
        <v>1</v>
      </c>
      <c r="AJ383" s="9">
        <v>1</v>
      </c>
      <c r="AK383" s="9">
        <v>1</v>
      </c>
      <c r="AL383" s="9">
        <v>1</v>
      </c>
      <c r="AM383" s="9">
        <v>1</v>
      </c>
      <c r="AN383" s="9">
        <v>1</v>
      </c>
      <c r="AO383" s="9">
        <v>1</v>
      </c>
      <c r="AP383" s="9">
        <v>1</v>
      </c>
      <c r="AQ383" s="9">
        <v>1</v>
      </c>
      <c r="AR383" s="9">
        <v>1</v>
      </c>
      <c r="AS383" s="9">
        <v>1</v>
      </c>
      <c r="AT383" s="9">
        <v>1</v>
      </c>
      <c r="AU383" s="9">
        <v>1</v>
      </c>
      <c r="AV383" s="9">
        <v>1</v>
      </c>
      <c r="AW383" s="9">
        <v>1</v>
      </c>
      <c r="AX383" s="9">
        <v>1</v>
      </c>
      <c r="AY383" s="9">
        <v>1</v>
      </c>
      <c r="AZ383" s="9">
        <v>1</v>
      </c>
      <c r="BA383" s="9">
        <v>1</v>
      </c>
      <c r="BB383" s="9">
        <v>1</v>
      </c>
      <c r="BC383" s="9">
        <v>1</v>
      </c>
      <c r="BD383" s="9">
        <v>1</v>
      </c>
      <c r="BE383" s="9">
        <v>1</v>
      </c>
      <c r="BF383" s="9">
        <v>1</v>
      </c>
      <c r="BG383" s="9">
        <v>1</v>
      </c>
      <c r="BH383" s="9">
        <v>1</v>
      </c>
      <c r="BI383" s="9">
        <v>1</v>
      </c>
      <c r="BJ383" s="9">
        <v>1</v>
      </c>
      <c r="BK383" s="9">
        <v>1</v>
      </c>
      <c r="BL383" s="9">
        <v>1</v>
      </c>
      <c r="BM383" s="9">
        <v>1</v>
      </c>
      <c r="BN383" s="9">
        <v>1</v>
      </c>
      <c r="BO383" s="9">
        <v>1</v>
      </c>
      <c r="BP383" s="9">
        <v>1</v>
      </c>
      <c r="BQ383" s="9">
        <v>1</v>
      </c>
      <c r="BR383" s="9">
        <v>1</v>
      </c>
      <c r="BS383" s="9">
        <v>1</v>
      </c>
      <c r="BT383" s="9">
        <v>1</v>
      </c>
      <c r="BU383" s="9">
        <v>1</v>
      </c>
      <c r="BV383" s="9">
        <v>1</v>
      </c>
      <c r="BW383" s="9">
        <v>1</v>
      </c>
      <c r="BX383" s="9">
        <v>1</v>
      </c>
    </row>
    <row r="384" spans="1:76">
      <c r="A384" s="3" t="s">
        <v>66</v>
      </c>
      <c r="B384" t="s">
        <v>3656</v>
      </c>
      <c r="C384" t="s">
        <v>3657</v>
      </c>
      <c r="D384" t="s">
        <v>4967</v>
      </c>
      <c r="F384" s="91" t="s">
        <v>4973</v>
      </c>
      <c r="H384" s="3" t="s">
        <v>4984</v>
      </c>
      <c r="I384" s="3"/>
      <c r="J384" s="124"/>
      <c r="K384" s="124"/>
      <c r="M384" s="124"/>
      <c r="V384" s="9">
        <v>1</v>
      </c>
      <c r="W384" s="9">
        <v>1</v>
      </c>
      <c r="X384" s="10">
        <v>1</v>
      </c>
      <c r="Y384" s="9">
        <v>1</v>
      </c>
      <c r="Z384" s="9">
        <v>1</v>
      </c>
      <c r="AA384" s="9">
        <v>1</v>
      </c>
      <c r="AB384" s="9">
        <v>1</v>
      </c>
      <c r="AC384" s="9">
        <v>1</v>
      </c>
      <c r="AD384" s="9">
        <v>1</v>
      </c>
      <c r="AE384" s="9">
        <v>1</v>
      </c>
      <c r="AF384" s="9">
        <v>1</v>
      </c>
      <c r="AG384" s="9">
        <v>1</v>
      </c>
      <c r="AH384" s="9">
        <v>1</v>
      </c>
      <c r="AI384" s="9">
        <v>1</v>
      </c>
      <c r="AJ384" s="9">
        <v>1</v>
      </c>
      <c r="AK384" s="9">
        <v>1</v>
      </c>
      <c r="AL384" s="9">
        <v>1</v>
      </c>
      <c r="AM384" s="9">
        <v>1</v>
      </c>
      <c r="AN384" s="9">
        <v>1</v>
      </c>
      <c r="AO384" s="9">
        <v>1</v>
      </c>
      <c r="AP384" s="9">
        <v>1</v>
      </c>
      <c r="AQ384" s="9">
        <v>1</v>
      </c>
      <c r="AR384" s="9">
        <v>1</v>
      </c>
      <c r="AS384" s="9">
        <v>1</v>
      </c>
      <c r="AT384" s="9">
        <v>1</v>
      </c>
      <c r="AU384" s="9">
        <v>1</v>
      </c>
      <c r="AV384" s="9">
        <v>1</v>
      </c>
      <c r="AW384" s="9">
        <v>1</v>
      </c>
      <c r="AX384" s="9">
        <v>1</v>
      </c>
      <c r="AY384" s="9">
        <v>1</v>
      </c>
      <c r="AZ384" s="9">
        <v>1</v>
      </c>
      <c r="BA384" s="9">
        <v>1</v>
      </c>
      <c r="BB384" s="9">
        <v>1</v>
      </c>
      <c r="BC384" s="9">
        <v>1</v>
      </c>
      <c r="BD384" s="9">
        <v>1</v>
      </c>
      <c r="BE384" s="9">
        <v>1</v>
      </c>
      <c r="BF384" s="9">
        <v>1</v>
      </c>
      <c r="BG384" s="9">
        <v>1</v>
      </c>
      <c r="BH384" s="9">
        <v>1</v>
      </c>
      <c r="BI384" s="9">
        <v>1</v>
      </c>
      <c r="BJ384" s="9">
        <v>1</v>
      </c>
      <c r="BK384" s="9">
        <v>1</v>
      </c>
      <c r="BL384" s="9">
        <v>1</v>
      </c>
      <c r="BM384" s="9">
        <v>1</v>
      </c>
      <c r="BN384" s="9">
        <v>1</v>
      </c>
      <c r="BO384" s="9">
        <v>1</v>
      </c>
      <c r="BP384" s="9">
        <v>1</v>
      </c>
      <c r="BQ384" s="9">
        <v>1</v>
      </c>
      <c r="BR384" s="9">
        <v>1</v>
      </c>
      <c r="BS384" s="9">
        <v>1</v>
      </c>
      <c r="BT384" s="9">
        <v>1</v>
      </c>
      <c r="BU384" s="9">
        <v>1</v>
      </c>
      <c r="BV384" s="9">
        <v>1</v>
      </c>
      <c r="BW384" s="9">
        <v>1</v>
      </c>
      <c r="BX384" s="9">
        <v>1</v>
      </c>
    </row>
    <row r="385" spans="1:76">
      <c r="A385" s="3" t="s">
        <v>66</v>
      </c>
      <c r="B385" t="s">
        <v>3658</v>
      </c>
      <c r="C385" t="s">
        <v>3659</v>
      </c>
      <c r="D385" t="s">
        <v>4967</v>
      </c>
      <c r="F385" s="91" t="s">
        <v>4973</v>
      </c>
      <c r="H385" s="3" t="s">
        <v>4984</v>
      </c>
      <c r="I385" s="3"/>
      <c r="J385" s="124"/>
      <c r="K385" s="124"/>
      <c r="M385" s="124"/>
      <c r="V385" s="9">
        <v>1</v>
      </c>
      <c r="W385" s="9">
        <v>1</v>
      </c>
      <c r="X385" s="10">
        <v>1</v>
      </c>
      <c r="Y385" s="9">
        <v>1</v>
      </c>
      <c r="Z385" s="9">
        <v>1</v>
      </c>
      <c r="AA385" s="9">
        <v>1</v>
      </c>
      <c r="AB385" s="9">
        <v>1</v>
      </c>
      <c r="AC385" s="9">
        <v>1</v>
      </c>
      <c r="AD385" s="9">
        <v>1</v>
      </c>
      <c r="AE385" s="9">
        <v>1</v>
      </c>
      <c r="AF385" s="9">
        <v>1</v>
      </c>
      <c r="AG385" s="9">
        <v>1</v>
      </c>
      <c r="AH385" s="9">
        <v>1</v>
      </c>
      <c r="AI385" s="9">
        <v>1</v>
      </c>
      <c r="AJ385" s="9">
        <v>1</v>
      </c>
      <c r="AK385" s="9">
        <v>1</v>
      </c>
      <c r="AL385" s="9">
        <v>1</v>
      </c>
      <c r="AM385" s="9">
        <v>1</v>
      </c>
      <c r="AN385" s="9">
        <v>1</v>
      </c>
      <c r="AO385" s="9">
        <v>1</v>
      </c>
      <c r="AP385" s="9">
        <v>1</v>
      </c>
      <c r="AQ385" s="9">
        <v>1</v>
      </c>
      <c r="AR385" s="9">
        <v>1</v>
      </c>
      <c r="AS385" s="9">
        <v>1</v>
      </c>
      <c r="AT385" s="9">
        <v>1</v>
      </c>
      <c r="AU385" s="9">
        <v>1</v>
      </c>
      <c r="AV385" s="9">
        <v>1</v>
      </c>
      <c r="AW385" s="9">
        <v>1</v>
      </c>
      <c r="AX385" s="9">
        <v>1</v>
      </c>
      <c r="AY385" s="9">
        <v>1</v>
      </c>
      <c r="AZ385" s="9">
        <v>1</v>
      </c>
      <c r="BA385" s="9">
        <v>1</v>
      </c>
      <c r="BB385" s="9">
        <v>1</v>
      </c>
      <c r="BC385" s="9">
        <v>1</v>
      </c>
      <c r="BD385" s="9">
        <v>1</v>
      </c>
      <c r="BE385" s="9">
        <v>1</v>
      </c>
      <c r="BF385" s="9">
        <v>1</v>
      </c>
      <c r="BG385" s="9">
        <v>1</v>
      </c>
      <c r="BH385" s="9">
        <v>1</v>
      </c>
      <c r="BI385" s="9">
        <v>1</v>
      </c>
      <c r="BJ385" s="9">
        <v>1</v>
      </c>
      <c r="BK385" s="9">
        <v>1</v>
      </c>
      <c r="BL385" s="9">
        <v>1</v>
      </c>
      <c r="BM385" s="9">
        <v>1</v>
      </c>
      <c r="BN385" s="9">
        <v>1</v>
      </c>
      <c r="BO385" s="9">
        <v>1</v>
      </c>
      <c r="BP385" s="9">
        <v>1</v>
      </c>
      <c r="BQ385" s="9">
        <v>1</v>
      </c>
      <c r="BR385" s="9">
        <v>1</v>
      </c>
      <c r="BS385" s="9">
        <v>1</v>
      </c>
      <c r="BT385" s="9">
        <v>1</v>
      </c>
      <c r="BU385" s="9">
        <v>1</v>
      </c>
      <c r="BV385" s="9">
        <v>1</v>
      </c>
      <c r="BW385" s="9">
        <v>1</v>
      </c>
      <c r="BX385" s="9">
        <v>1</v>
      </c>
    </row>
    <row r="386" spans="1:76">
      <c r="A386" s="3" t="s">
        <v>66</v>
      </c>
      <c r="B386" t="s">
        <v>3660</v>
      </c>
      <c r="C386" t="s">
        <v>3661</v>
      </c>
      <c r="D386" t="s">
        <v>4967</v>
      </c>
      <c r="F386" s="91" t="s">
        <v>4973</v>
      </c>
      <c r="H386" s="3" t="s">
        <v>4984</v>
      </c>
      <c r="I386" s="3"/>
      <c r="J386" s="124"/>
      <c r="K386" s="124"/>
      <c r="M386" s="124"/>
      <c r="V386" s="9">
        <v>1</v>
      </c>
      <c r="W386" s="9">
        <v>1</v>
      </c>
      <c r="X386" s="10">
        <v>1</v>
      </c>
      <c r="Y386" s="9">
        <v>1</v>
      </c>
      <c r="Z386" s="9">
        <v>1</v>
      </c>
      <c r="AA386" s="9">
        <v>1</v>
      </c>
      <c r="AB386" s="9">
        <v>1</v>
      </c>
      <c r="AC386" s="9">
        <v>1</v>
      </c>
      <c r="AD386" s="9">
        <v>1</v>
      </c>
      <c r="AE386" s="9">
        <v>1</v>
      </c>
      <c r="AF386" s="9">
        <v>1</v>
      </c>
      <c r="AG386" s="9">
        <v>1</v>
      </c>
      <c r="AH386" s="9">
        <v>1</v>
      </c>
      <c r="AI386" s="9">
        <v>1</v>
      </c>
      <c r="AJ386" s="9">
        <v>1</v>
      </c>
      <c r="AK386" s="9">
        <v>1</v>
      </c>
      <c r="AL386" s="9">
        <v>1</v>
      </c>
      <c r="AM386" s="9">
        <v>1</v>
      </c>
      <c r="AN386" s="9">
        <v>1</v>
      </c>
      <c r="AO386" s="9">
        <v>1</v>
      </c>
      <c r="AP386" s="9">
        <v>1</v>
      </c>
      <c r="AQ386" s="9">
        <v>1</v>
      </c>
      <c r="AR386" s="9">
        <v>1</v>
      </c>
      <c r="AS386" s="9">
        <v>1</v>
      </c>
      <c r="AT386" s="9">
        <v>1</v>
      </c>
      <c r="AU386" s="9">
        <v>1</v>
      </c>
      <c r="AV386" s="9">
        <v>1</v>
      </c>
      <c r="AW386" s="9">
        <v>1</v>
      </c>
      <c r="AX386" s="9">
        <v>1</v>
      </c>
      <c r="AY386" s="9">
        <v>1</v>
      </c>
      <c r="AZ386" s="9">
        <v>1</v>
      </c>
      <c r="BA386" s="9">
        <v>1</v>
      </c>
      <c r="BB386" s="9">
        <v>1</v>
      </c>
      <c r="BC386" s="9">
        <v>1</v>
      </c>
      <c r="BD386" s="9">
        <v>1</v>
      </c>
      <c r="BE386" s="9">
        <v>1</v>
      </c>
      <c r="BF386" s="9">
        <v>1</v>
      </c>
      <c r="BG386" s="9">
        <v>1</v>
      </c>
      <c r="BH386" s="9">
        <v>1</v>
      </c>
      <c r="BI386" s="9">
        <v>1</v>
      </c>
      <c r="BJ386" s="9">
        <v>1</v>
      </c>
      <c r="BK386" s="9">
        <v>1</v>
      </c>
      <c r="BL386" s="9">
        <v>1</v>
      </c>
      <c r="BM386" s="9">
        <v>1</v>
      </c>
      <c r="BN386" s="9">
        <v>1</v>
      </c>
      <c r="BO386" s="9">
        <v>1</v>
      </c>
      <c r="BP386" s="9">
        <v>1</v>
      </c>
      <c r="BQ386" s="9">
        <v>1</v>
      </c>
      <c r="BR386" s="9">
        <v>1</v>
      </c>
      <c r="BS386" s="9">
        <v>1</v>
      </c>
      <c r="BT386" s="9">
        <v>1</v>
      </c>
      <c r="BU386" s="9">
        <v>1</v>
      </c>
      <c r="BV386" s="9">
        <v>1</v>
      </c>
      <c r="BW386" s="9">
        <v>1</v>
      </c>
      <c r="BX386" s="9">
        <v>1</v>
      </c>
    </row>
    <row r="387" spans="1:76">
      <c r="A387" s="3" t="s">
        <v>66</v>
      </c>
      <c r="B387" t="s">
        <v>3662</v>
      </c>
      <c r="C387" t="s">
        <v>3663</v>
      </c>
      <c r="D387" t="s">
        <v>4967</v>
      </c>
      <c r="F387" s="91" t="s">
        <v>4973</v>
      </c>
      <c r="H387" s="3" t="s">
        <v>4984</v>
      </c>
      <c r="I387" s="3"/>
      <c r="J387" s="124"/>
      <c r="K387" s="124"/>
      <c r="M387" s="124"/>
      <c r="V387" s="9">
        <v>1</v>
      </c>
      <c r="W387" s="9">
        <v>1</v>
      </c>
      <c r="X387" s="10">
        <v>1</v>
      </c>
      <c r="Y387" s="9">
        <v>1</v>
      </c>
      <c r="Z387" s="9">
        <v>1</v>
      </c>
      <c r="AA387" s="9">
        <v>1</v>
      </c>
      <c r="AB387" s="9">
        <v>1</v>
      </c>
      <c r="AC387" s="9">
        <v>1</v>
      </c>
      <c r="AD387" s="9">
        <v>1</v>
      </c>
      <c r="AE387" s="9">
        <v>1</v>
      </c>
      <c r="AF387" s="9">
        <v>1</v>
      </c>
      <c r="AG387" s="9">
        <v>1</v>
      </c>
      <c r="AH387" s="9">
        <v>1</v>
      </c>
      <c r="AI387" s="9">
        <v>1</v>
      </c>
      <c r="AJ387" s="9">
        <v>1</v>
      </c>
      <c r="AK387" s="9">
        <v>1</v>
      </c>
      <c r="AL387" s="9">
        <v>1</v>
      </c>
      <c r="AM387" s="9">
        <v>1</v>
      </c>
      <c r="AN387" s="9">
        <v>1</v>
      </c>
      <c r="AO387" s="9">
        <v>1</v>
      </c>
      <c r="AP387" s="9">
        <v>1</v>
      </c>
      <c r="AQ387" s="9">
        <v>1</v>
      </c>
      <c r="AR387" s="9">
        <v>1</v>
      </c>
      <c r="AS387" s="9">
        <v>1</v>
      </c>
      <c r="AT387" s="9">
        <v>1</v>
      </c>
      <c r="AU387" s="9">
        <v>1</v>
      </c>
      <c r="AV387" s="9">
        <v>1</v>
      </c>
      <c r="AW387" s="9">
        <v>1</v>
      </c>
      <c r="AX387" s="9">
        <v>1</v>
      </c>
      <c r="AY387" s="9">
        <v>1</v>
      </c>
      <c r="AZ387" s="9">
        <v>1</v>
      </c>
      <c r="BA387" s="9">
        <v>1</v>
      </c>
      <c r="BB387" s="9">
        <v>1</v>
      </c>
      <c r="BC387" s="9">
        <v>1</v>
      </c>
      <c r="BD387" s="9">
        <v>1</v>
      </c>
      <c r="BE387" s="9">
        <v>1</v>
      </c>
      <c r="BF387" s="9">
        <v>1</v>
      </c>
      <c r="BG387" s="9">
        <v>1</v>
      </c>
      <c r="BH387" s="9">
        <v>1</v>
      </c>
      <c r="BI387" s="9">
        <v>1</v>
      </c>
      <c r="BJ387" s="9">
        <v>1</v>
      </c>
      <c r="BK387" s="9">
        <v>1</v>
      </c>
      <c r="BL387" s="9">
        <v>1</v>
      </c>
      <c r="BM387" s="9">
        <v>1</v>
      </c>
      <c r="BN387" s="9">
        <v>1</v>
      </c>
      <c r="BO387" s="9">
        <v>1</v>
      </c>
      <c r="BP387" s="9">
        <v>1</v>
      </c>
      <c r="BQ387" s="9">
        <v>1</v>
      </c>
      <c r="BR387" s="9">
        <v>1</v>
      </c>
      <c r="BS387" s="9">
        <v>1</v>
      </c>
      <c r="BT387" s="9">
        <v>1</v>
      </c>
      <c r="BU387" s="9">
        <v>1</v>
      </c>
      <c r="BV387" s="9">
        <v>1</v>
      </c>
      <c r="BW387" s="9">
        <v>1</v>
      </c>
      <c r="BX387" s="9">
        <v>1</v>
      </c>
    </row>
    <row r="388" spans="1:76">
      <c r="A388" s="3" t="s">
        <v>66</v>
      </c>
      <c r="B388" t="s">
        <v>3670</v>
      </c>
      <c r="C388" t="s">
        <v>3671</v>
      </c>
      <c r="D388" t="s">
        <v>4967</v>
      </c>
      <c r="F388" s="91" t="s">
        <v>4973</v>
      </c>
      <c r="H388" s="3" t="s">
        <v>4984</v>
      </c>
      <c r="I388" s="3"/>
      <c r="J388" s="124"/>
      <c r="K388" s="124"/>
      <c r="M388" s="124"/>
      <c r="V388" s="9">
        <v>1</v>
      </c>
      <c r="W388" s="9">
        <v>1</v>
      </c>
      <c r="X388" s="10">
        <v>1</v>
      </c>
      <c r="Y388" s="9">
        <v>1</v>
      </c>
      <c r="Z388" s="9">
        <v>1</v>
      </c>
      <c r="AA388" s="9">
        <v>1</v>
      </c>
      <c r="AB388" s="9">
        <v>1</v>
      </c>
      <c r="AC388" s="9">
        <v>1</v>
      </c>
      <c r="AD388" s="9">
        <v>1</v>
      </c>
      <c r="AE388" s="9">
        <v>1</v>
      </c>
      <c r="AF388" s="9">
        <v>1</v>
      </c>
      <c r="AG388" s="9">
        <v>1</v>
      </c>
      <c r="AH388" s="9">
        <v>1</v>
      </c>
      <c r="AI388" s="9">
        <v>1</v>
      </c>
      <c r="AJ388" s="9">
        <v>1</v>
      </c>
      <c r="AK388" s="9">
        <v>1</v>
      </c>
      <c r="AL388" s="9">
        <v>1</v>
      </c>
      <c r="AM388" s="9">
        <v>1</v>
      </c>
      <c r="AN388" s="9">
        <v>1</v>
      </c>
      <c r="AO388" s="9">
        <v>1</v>
      </c>
      <c r="AP388" s="9">
        <v>1</v>
      </c>
      <c r="AQ388" s="9">
        <v>1</v>
      </c>
      <c r="AR388" s="9">
        <v>1</v>
      </c>
      <c r="AS388" s="9">
        <v>1</v>
      </c>
      <c r="AT388" s="9">
        <v>1</v>
      </c>
      <c r="AU388" s="9">
        <v>1</v>
      </c>
      <c r="AV388" s="9">
        <v>1</v>
      </c>
      <c r="AW388" s="9">
        <v>1</v>
      </c>
      <c r="AX388" s="9">
        <v>1</v>
      </c>
      <c r="AY388" s="9">
        <v>1</v>
      </c>
      <c r="AZ388" s="9">
        <v>1</v>
      </c>
      <c r="BA388" s="9">
        <v>1</v>
      </c>
      <c r="BB388" s="9">
        <v>1</v>
      </c>
      <c r="BC388" s="9">
        <v>1</v>
      </c>
      <c r="BD388" s="9">
        <v>1</v>
      </c>
      <c r="BE388" s="9">
        <v>1</v>
      </c>
      <c r="BF388" s="9">
        <v>1</v>
      </c>
      <c r="BG388" s="9">
        <v>1</v>
      </c>
      <c r="BH388" s="9">
        <v>1</v>
      </c>
      <c r="BI388" s="9">
        <v>1</v>
      </c>
      <c r="BJ388" s="9">
        <v>1</v>
      </c>
      <c r="BK388" s="9">
        <v>1</v>
      </c>
      <c r="BL388" s="9">
        <v>1</v>
      </c>
      <c r="BM388" s="9">
        <v>1</v>
      </c>
      <c r="BN388" s="9">
        <v>1</v>
      </c>
      <c r="BO388" s="9">
        <v>1</v>
      </c>
      <c r="BP388" s="9">
        <v>1</v>
      </c>
      <c r="BQ388" s="9">
        <v>1</v>
      </c>
      <c r="BR388" s="9">
        <v>1</v>
      </c>
      <c r="BS388" s="9">
        <v>1</v>
      </c>
      <c r="BT388" s="9">
        <v>1</v>
      </c>
      <c r="BU388" s="9">
        <v>1</v>
      </c>
      <c r="BV388" s="9">
        <v>1</v>
      </c>
      <c r="BW388" s="9">
        <v>1</v>
      </c>
      <c r="BX388" s="9">
        <v>1</v>
      </c>
    </row>
    <row r="389" spans="1:76">
      <c r="A389" s="3" t="s">
        <v>66</v>
      </c>
      <c r="B389" t="s">
        <v>3654</v>
      </c>
      <c r="C389" t="s">
        <v>3655</v>
      </c>
      <c r="D389" t="s">
        <v>4967</v>
      </c>
      <c r="F389" s="91" t="s">
        <v>4973</v>
      </c>
      <c r="H389" s="3" t="s">
        <v>4984</v>
      </c>
      <c r="I389" s="3"/>
      <c r="J389" s="124"/>
      <c r="K389" s="124"/>
      <c r="M389" s="124"/>
      <c r="V389" s="9">
        <v>1</v>
      </c>
      <c r="W389" s="9">
        <v>1</v>
      </c>
      <c r="X389" s="10">
        <v>1</v>
      </c>
      <c r="Y389" s="9">
        <v>1</v>
      </c>
      <c r="Z389" s="9">
        <v>1</v>
      </c>
      <c r="AA389" s="9">
        <v>1</v>
      </c>
      <c r="AB389" s="9">
        <v>1</v>
      </c>
      <c r="AC389" s="9">
        <v>1</v>
      </c>
      <c r="AD389" s="9">
        <v>1</v>
      </c>
      <c r="AE389" s="9">
        <v>1</v>
      </c>
      <c r="AF389" s="9">
        <v>1</v>
      </c>
      <c r="AG389" s="9">
        <v>1</v>
      </c>
      <c r="AH389" s="9">
        <v>1</v>
      </c>
      <c r="AI389" s="9">
        <v>1</v>
      </c>
      <c r="AJ389" s="9">
        <v>1</v>
      </c>
      <c r="AK389" s="9">
        <v>1</v>
      </c>
      <c r="AL389" s="9">
        <v>1</v>
      </c>
      <c r="AM389" s="9">
        <v>1</v>
      </c>
      <c r="AN389" s="9">
        <v>1</v>
      </c>
      <c r="AO389" s="9">
        <v>1</v>
      </c>
      <c r="AP389" s="9">
        <v>1</v>
      </c>
      <c r="AQ389" s="9">
        <v>1</v>
      </c>
      <c r="AR389" s="9">
        <v>1</v>
      </c>
      <c r="AS389" s="9">
        <v>1</v>
      </c>
      <c r="AT389" s="9">
        <v>1</v>
      </c>
      <c r="AU389" s="9">
        <v>1</v>
      </c>
      <c r="AV389" s="9">
        <v>1</v>
      </c>
      <c r="AW389" s="9">
        <v>1</v>
      </c>
      <c r="AX389" s="9">
        <v>1</v>
      </c>
      <c r="AY389" s="9">
        <v>1</v>
      </c>
      <c r="AZ389" s="9">
        <v>1</v>
      </c>
      <c r="BA389" s="9">
        <v>1</v>
      </c>
      <c r="BB389" s="9">
        <v>1</v>
      </c>
      <c r="BC389" s="9">
        <v>1</v>
      </c>
      <c r="BD389" s="9">
        <v>1</v>
      </c>
      <c r="BE389" s="9">
        <v>1</v>
      </c>
      <c r="BF389" s="9">
        <v>1</v>
      </c>
      <c r="BG389" s="9">
        <v>1</v>
      </c>
      <c r="BH389" s="9">
        <v>1</v>
      </c>
      <c r="BI389" s="9">
        <v>1</v>
      </c>
      <c r="BJ389" s="9">
        <v>1</v>
      </c>
      <c r="BK389" s="9">
        <v>1</v>
      </c>
      <c r="BL389" s="9">
        <v>1</v>
      </c>
      <c r="BM389" s="9">
        <v>1</v>
      </c>
      <c r="BN389" s="9">
        <v>1</v>
      </c>
      <c r="BO389" s="9">
        <v>1</v>
      </c>
      <c r="BP389" s="9">
        <v>1</v>
      </c>
      <c r="BQ389" s="9">
        <v>1</v>
      </c>
      <c r="BR389" s="9">
        <v>1</v>
      </c>
      <c r="BS389" s="9">
        <v>1</v>
      </c>
      <c r="BT389" s="9">
        <v>1</v>
      </c>
      <c r="BU389" s="9">
        <v>1</v>
      </c>
      <c r="BV389" s="9">
        <v>1</v>
      </c>
      <c r="BW389" s="9">
        <v>1</v>
      </c>
      <c r="BX389" s="9">
        <v>1</v>
      </c>
    </row>
    <row r="390" spans="1:76">
      <c r="A390" s="3" t="s">
        <v>66</v>
      </c>
      <c r="B390" t="s">
        <v>3672</v>
      </c>
      <c r="C390" t="s">
        <v>3673</v>
      </c>
      <c r="D390" t="s">
        <v>4967</v>
      </c>
      <c r="F390" s="91" t="s">
        <v>4973</v>
      </c>
      <c r="H390" s="3" t="s">
        <v>4984</v>
      </c>
      <c r="I390" s="3"/>
      <c r="J390" s="124"/>
      <c r="K390" s="124"/>
      <c r="M390" s="124"/>
      <c r="V390" s="9">
        <v>1</v>
      </c>
      <c r="W390" s="9">
        <v>1</v>
      </c>
      <c r="X390" s="10">
        <v>1</v>
      </c>
      <c r="Y390" s="9">
        <v>1</v>
      </c>
      <c r="Z390" s="9">
        <v>1</v>
      </c>
      <c r="AA390" s="9">
        <v>1</v>
      </c>
      <c r="AB390" s="9">
        <v>1</v>
      </c>
      <c r="AC390" s="9">
        <v>1</v>
      </c>
      <c r="AD390" s="9">
        <v>1</v>
      </c>
      <c r="AE390" s="9">
        <v>1</v>
      </c>
      <c r="AF390" s="9">
        <v>1</v>
      </c>
      <c r="AG390" s="9">
        <v>1</v>
      </c>
      <c r="AH390" s="9">
        <v>1</v>
      </c>
      <c r="AI390" s="9">
        <v>1</v>
      </c>
      <c r="AJ390" s="9">
        <v>1</v>
      </c>
      <c r="AK390" s="9">
        <v>1</v>
      </c>
      <c r="AL390" s="9">
        <v>1</v>
      </c>
      <c r="AM390" s="9">
        <v>1</v>
      </c>
      <c r="AN390" s="9">
        <v>1</v>
      </c>
      <c r="AO390" s="9">
        <v>1</v>
      </c>
      <c r="AP390" s="9">
        <v>1</v>
      </c>
      <c r="AQ390" s="9">
        <v>1</v>
      </c>
      <c r="AR390" s="9">
        <v>1</v>
      </c>
      <c r="AS390" s="9">
        <v>1</v>
      </c>
      <c r="AT390" s="9">
        <v>1</v>
      </c>
      <c r="AU390" s="9">
        <v>1</v>
      </c>
      <c r="AV390" s="9">
        <v>1</v>
      </c>
      <c r="AW390" s="9">
        <v>1</v>
      </c>
      <c r="AX390" s="9">
        <v>1</v>
      </c>
      <c r="AY390" s="9">
        <v>1</v>
      </c>
      <c r="AZ390" s="9">
        <v>1</v>
      </c>
      <c r="BA390" s="9">
        <v>1</v>
      </c>
      <c r="BB390" s="9">
        <v>1</v>
      </c>
      <c r="BC390" s="9">
        <v>1</v>
      </c>
      <c r="BD390" s="9">
        <v>1</v>
      </c>
      <c r="BE390" s="9">
        <v>1</v>
      </c>
      <c r="BF390" s="9">
        <v>1</v>
      </c>
      <c r="BG390" s="9">
        <v>1</v>
      </c>
      <c r="BH390" s="9">
        <v>1</v>
      </c>
      <c r="BI390" s="9">
        <v>1</v>
      </c>
      <c r="BJ390" s="9">
        <v>1</v>
      </c>
      <c r="BK390" s="9">
        <v>1</v>
      </c>
      <c r="BL390" s="9">
        <v>1</v>
      </c>
      <c r="BM390" s="9">
        <v>1</v>
      </c>
      <c r="BN390" s="9">
        <v>1</v>
      </c>
      <c r="BO390" s="9">
        <v>1</v>
      </c>
      <c r="BP390" s="9">
        <v>1</v>
      </c>
      <c r="BQ390" s="9">
        <v>1</v>
      </c>
      <c r="BR390" s="9">
        <v>1</v>
      </c>
      <c r="BS390" s="9">
        <v>1</v>
      </c>
      <c r="BT390" s="9">
        <v>1</v>
      </c>
      <c r="BU390" s="9">
        <v>1</v>
      </c>
      <c r="BV390" s="9">
        <v>1</v>
      </c>
      <c r="BW390" s="9">
        <v>1</v>
      </c>
      <c r="BX390" s="9">
        <v>1</v>
      </c>
    </row>
    <row r="391" spans="1:76">
      <c r="A391" s="3" t="s">
        <v>66</v>
      </c>
      <c r="B391" t="s">
        <v>3664</v>
      </c>
      <c r="C391" t="s">
        <v>3665</v>
      </c>
      <c r="D391" t="s">
        <v>4967</v>
      </c>
      <c r="F391" s="91" t="s">
        <v>4973</v>
      </c>
      <c r="H391" s="3" t="s">
        <v>4984</v>
      </c>
      <c r="I391" s="3"/>
      <c r="J391" s="124"/>
      <c r="K391" s="124"/>
      <c r="M391" s="124"/>
      <c r="V391" s="9">
        <v>1</v>
      </c>
      <c r="W391" s="9">
        <v>1</v>
      </c>
      <c r="X391" s="10">
        <v>1</v>
      </c>
      <c r="Y391" s="9">
        <v>1</v>
      </c>
      <c r="Z391" s="9">
        <v>1</v>
      </c>
      <c r="AA391" s="9">
        <v>1</v>
      </c>
      <c r="AB391" s="9">
        <v>1</v>
      </c>
      <c r="AC391" s="9">
        <v>1</v>
      </c>
      <c r="AD391" s="9">
        <v>1</v>
      </c>
      <c r="AE391" s="9">
        <v>1</v>
      </c>
      <c r="AF391" s="9">
        <v>1</v>
      </c>
      <c r="AG391" s="9">
        <v>1</v>
      </c>
      <c r="AH391" s="9">
        <v>1</v>
      </c>
      <c r="AI391" s="9">
        <v>1</v>
      </c>
      <c r="AJ391" s="9">
        <v>1</v>
      </c>
      <c r="AK391" s="9">
        <v>1</v>
      </c>
      <c r="AL391" s="9">
        <v>1</v>
      </c>
      <c r="AM391" s="9">
        <v>1</v>
      </c>
      <c r="AN391" s="9">
        <v>1</v>
      </c>
      <c r="AO391" s="9">
        <v>1</v>
      </c>
      <c r="AP391" s="9">
        <v>1</v>
      </c>
      <c r="AQ391" s="9">
        <v>1</v>
      </c>
      <c r="AR391" s="9">
        <v>1</v>
      </c>
      <c r="AS391" s="9">
        <v>1</v>
      </c>
      <c r="AT391" s="9">
        <v>1</v>
      </c>
      <c r="AU391" s="9">
        <v>1</v>
      </c>
      <c r="AV391" s="9">
        <v>1</v>
      </c>
      <c r="AW391" s="9">
        <v>1</v>
      </c>
      <c r="AX391" s="9">
        <v>1</v>
      </c>
      <c r="AY391" s="9">
        <v>1</v>
      </c>
      <c r="AZ391" s="9">
        <v>1</v>
      </c>
      <c r="BA391" s="9">
        <v>1</v>
      </c>
      <c r="BB391" s="9">
        <v>1</v>
      </c>
      <c r="BC391" s="9">
        <v>1</v>
      </c>
      <c r="BD391" s="9">
        <v>1</v>
      </c>
      <c r="BE391" s="9">
        <v>1</v>
      </c>
      <c r="BF391" s="9">
        <v>1</v>
      </c>
      <c r="BG391" s="9">
        <v>1</v>
      </c>
      <c r="BH391" s="9">
        <v>1</v>
      </c>
      <c r="BI391" s="9">
        <v>1</v>
      </c>
      <c r="BJ391" s="9">
        <v>1</v>
      </c>
      <c r="BK391" s="9">
        <v>1</v>
      </c>
      <c r="BL391" s="9">
        <v>1</v>
      </c>
      <c r="BM391" s="9">
        <v>1</v>
      </c>
      <c r="BN391" s="9">
        <v>1</v>
      </c>
      <c r="BO391" s="9">
        <v>1</v>
      </c>
      <c r="BP391" s="9">
        <v>1</v>
      </c>
      <c r="BQ391" s="9">
        <v>1</v>
      </c>
      <c r="BR391" s="9">
        <v>1</v>
      </c>
      <c r="BS391" s="9">
        <v>1</v>
      </c>
      <c r="BT391" s="9">
        <v>1</v>
      </c>
      <c r="BU391" s="9">
        <v>1</v>
      </c>
      <c r="BV391" s="9">
        <v>1</v>
      </c>
      <c r="BW391" s="9">
        <v>1</v>
      </c>
      <c r="BX391" s="9">
        <v>1</v>
      </c>
    </row>
    <row r="392" spans="1:76">
      <c r="A392" s="3" t="s">
        <v>66</v>
      </c>
      <c r="B392" t="s">
        <v>3650</v>
      </c>
      <c r="C392" t="s">
        <v>3651</v>
      </c>
      <c r="D392" t="s">
        <v>4967</v>
      </c>
      <c r="F392" s="91" t="s">
        <v>4973</v>
      </c>
      <c r="H392" s="3" t="s">
        <v>4984</v>
      </c>
      <c r="I392" s="3"/>
      <c r="J392" s="124"/>
      <c r="K392" s="124"/>
      <c r="M392" s="124"/>
      <c r="V392" s="9">
        <v>1</v>
      </c>
      <c r="W392" s="9">
        <v>1</v>
      </c>
      <c r="X392" s="10">
        <v>1</v>
      </c>
      <c r="Y392" s="9">
        <v>1</v>
      </c>
      <c r="Z392" s="9">
        <v>1</v>
      </c>
      <c r="AA392" s="9">
        <v>1</v>
      </c>
      <c r="AB392" s="9">
        <v>1</v>
      </c>
      <c r="AC392" s="9">
        <v>1</v>
      </c>
      <c r="AD392" s="9">
        <v>1</v>
      </c>
      <c r="AE392" s="9">
        <v>1</v>
      </c>
      <c r="AF392" s="9">
        <v>1</v>
      </c>
      <c r="AG392" s="9">
        <v>1</v>
      </c>
      <c r="AH392" s="9">
        <v>1</v>
      </c>
      <c r="AI392" s="9">
        <v>1</v>
      </c>
      <c r="AJ392" s="9">
        <v>1</v>
      </c>
      <c r="AK392" s="9">
        <v>1</v>
      </c>
      <c r="AL392" s="9">
        <v>1</v>
      </c>
      <c r="AM392" s="9">
        <v>1</v>
      </c>
      <c r="AN392" s="9">
        <v>1</v>
      </c>
      <c r="AO392" s="9">
        <v>1</v>
      </c>
      <c r="AP392" s="9">
        <v>1</v>
      </c>
      <c r="AQ392" s="9">
        <v>1</v>
      </c>
      <c r="AR392" s="9">
        <v>1</v>
      </c>
      <c r="AS392" s="9">
        <v>1</v>
      </c>
      <c r="AT392" s="9">
        <v>1</v>
      </c>
      <c r="AU392" s="9">
        <v>1</v>
      </c>
      <c r="AV392" s="9">
        <v>1</v>
      </c>
      <c r="AW392" s="9">
        <v>1</v>
      </c>
      <c r="AX392" s="9">
        <v>1</v>
      </c>
      <c r="AY392" s="9">
        <v>1</v>
      </c>
      <c r="AZ392" s="9">
        <v>1</v>
      </c>
      <c r="BA392" s="9">
        <v>1</v>
      </c>
      <c r="BB392" s="9">
        <v>1</v>
      </c>
      <c r="BC392" s="9">
        <v>1</v>
      </c>
      <c r="BD392" s="9">
        <v>1</v>
      </c>
      <c r="BE392" s="9">
        <v>1</v>
      </c>
      <c r="BF392" s="9">
        <v>1</v>
      </c>
      <c r="BG392" s="9">
        <v>1</v>
      </c>
      <c r="BH392" s="9">
        <v>1</v>
      </c>
      <c r="BI392" s="9">
        <v>1</v>
      </c>
      <c r="BJ392" s="9">
        <v>1</v>
      </c>
      <c r="BK392" s="9">
        <v>1</v>
      </c>
      <c r="BL392" s="9">
        <v>1</v>
      </c>
      <c r="BM392" s="9">
        <v>1</v>
      </c>
      <c r="BN392" s="9">
        <v>1</v>
      </c>
      <c r="BO392" s="9">
        <v>1</v>
      </c>
      <c r="BP392" s="9">
        <v>1</v>
      </c>
      <c r="BQ392" s="9">
        <v>1</v>
      </c>
      <c r="BR392" s="9">
        <v>1</v>
      </c>
      <c r="BS392" s="9">
        <v>1</v>
      </c>
      <c r="BT392" s="9">
        <v>1</v>
      </c>
      <c r="BU392" s="9">
        <v>1</v>
      </c>
      <c r="BV392" s="9">
        <v>1</v>
      </c>
      <c r="BW392" s="9">
        <v>1</v>
      </c>
      <c r="BX392" s="9">
        <v>1</v>
      </c>
    </row>
    <row r="393" spans="1:76">
      <c r="A393" s="3" t="s">
        <v>66</v>
      </c>
      <c r="B393" t="s">
        <v>3668</v>
      </c>
      <c r="C393" t="s">
        <v>3669</v>
      </c>
      <c r="D393" t="s">
        <v>4967</v>
      </c>
      <c r="F393" s="91" t="s">
        <v>4973</v>
      </c>
      <c r="H393" s="3" t="s">
        <v>4984</v>
      </c>
      <c r="I393" s="3"/>
      <c r="J393" s="124"/>
      <c r="K393" s="124"/>
      <c r="M393" s="124"/>
      <c r="V393" s="9">
        <v>1</v>
      </c>
      <c r="W393" s="9">
        <v>1</v>
      </c>
      <c r="X393" s="10">
        <v>1</v>
      </c>
      <c r="Y393" s="9">
        <v>1</v>
      </c>
      <c r="Z393" s="9">
        <v>1</v>
      </c>
      <c r="AA393" s="9">
        <v>1</v>
      </c>
      <c r="AB393" s="9">
        <v>1</v>
      </c>
      <c r="AC393" s="9">
        <v>1</v>
      </c>
      <c r="AD393" s="9">
        <v>1</v>
      </c>
      <c r="AE393" s="9">
        <v>1</v>
      </c>
      <c r="AF393" s="9">
        <v>1</v>
      </c>
      <c r="AG393" s="9">
        <v>1</v>
      </c>
      <c r="AH393" s="9">
        <v>1</v>
      </c>
      <c r="AI393" s="9">
        <v>1</v>
      </c>
      <c r="AJ393" s="9">
        <v>1</v>
      </c>
      <c r="AK393" s="9">
        <v>1</v>
      </c>
      <c r="AL393" s="9">
        <v>1</v>
      </c>
      <c r="AM393" s="9">
        <v>1</v>
      </c>
      <c r="AN393" s="9">
        <v>1</v>
      </c>
      <c r="AO393" s="9">
        <v>1</v>
      </c>
      <c r="AP393" s="9">
        <v>1</v>
      </c>
      <c r="AQ393" s="9">
        <v>1</v>
      </c>
      <c r="AR393" s="9">
        <v>1</v>
      </c>
      <c r="AS393" s="9">
        <v>1</v>
      </c>
      <c r="AT393" s="9">
        <v>1</v>
      </c>
      <c r="AU393" s="9">
        <v>1</v>
      </c>
      <c r="AV393" s="9">
        <v>1</v>
      </c>
      <c r="AW393" s="9">
        <v>1</v>
      </c>
      <c r="AX393" s="9">
        <v>1</v>
      </c>
      <c r="AY393" s="9">
        <v>1</v>
      </c>
      <c r="AZ393" s="9">
        <v>1</v>
      </c>
      <c r="BA393" s="9">
        <v>1</v>
      </c>
      <c r="BB393" s="9">
        <v>1</v>
      </c>
      <c r="BC393" s="9">
        <v>1</v>
      </c>
      <c r="BD393" s="9">
        <v>1</v>
      </c>
      <c r="BE393" s="9">
        <v>1</v>
      </c>
      <c r="BF393" s="9">
        <v>1</v>
      </c>
      <c r="BG393" s="9">
        <v>1</v>
      </c>
      <c r="BH393" s="9">
        <v>1</v>
      </c>
      <c r="BI393" s="9">
        <v>1</v>
      </c>
      <c r="BJ393" s="9">
        <v>1</v>
      </c>
      <c r="BK393" s="9">
        <v>1</v>
      </c>
      <c r="BL393" s="9">
        <v>1</v>
      </c>
      <c r="BM393" s="9">
        <v>1</v>
      </c>
      <c r="BN393" s="9">
        <v>1</v>
      </c>
      <c r="BO393" s="9">
        <v>1</v>
      </c>
      <c r="BP393" s="9">
        <v>1</v>
      </c>
      <c r="BQ393" s="9">
        <v>1</v>
      </c>
      <c r="BR393" s="9">
        <v>1</v>
      </c>
      <c r="BS393" s="9">
        <v>1</v>
      </c>
      <c r="BT393" s="9">
        <v>1</v>
      </c>
      <c r="BU393" s="9">
        <v>1</v>
      </c>
      <c r="BV393" s="9">
        <v>1</v>
      </c>
      <c r="BW393" s="9">
        <v>1</v>
      </c>
      <c r="BX393" s="9">
        <v>1</v>
      </c>
    </row>
    <row r="394" spans="1:76">
      <c r="A394" s="3" t="s">
        <v>66</v>
      </c>
      <c r="B394" t="s">
        <v>3674</v>
      </c>
      <c r="D394" t="s">
        <v>4967</v>
      </c>
      <c r="F394" s="91" t="s">
        <v>4973</v>
      </c>
      <c r="H394" s="3" t="s">
        <v>4984</v>
      </c>
      <c r="I394" s="3"/>
      <c r="J394" s="124"/>
      <c r="K394" s="124"/>
      <c r="M394" s="124"/>
      <c r="V394" s="9">
        <v>1</v>
      </c>
      <c r="W394" s="9">
        <v>1</v>
      </c>
      <c r="X394" s="10">
        <v>1</v>
      </c>
      <c r="Y394" s="9">
        <v>1</v>
      </c>
      <c r="Z394" s="9">
        <v>1</v>
      </c>
      <c r="AA394" s="9">
        <v>1</v>
      </c>
      <c r="AB394" s="9">
        <v>1</v>
      </c>
      <c r="AC394" s="9">
        <v>1</v>
      </c>
      <c r="AD394" s="9">
        <v>1</v>
      </c>
      <c r="AE394" s="9">
        <v>1</v>
      </c>
      <c r="AF394" s="9">
        <v>1</v>
      </c>
      <c r="AG394" s="9">
        <v>1</v>
      </c>
      <c r="AH394" s="9">
        <v>1</v>
      </c>
      <c r="AI394" s="9">
        <v>1</v>
      </c>
      <c r="AJ394" s="9">
        <v>1</v>
      </c>
      <c r="AK394" s="9">
        <v>1</v>
      </c>
      <c r="AL394" s="9">
        <v>1</v>
      </c>
      <c r="AM394" s="9">
        <v>1</v>
      </c>
      <c r="AN394" s="9">
        <v>1</v>
      </c>
      <c r="AO394" s="9">
        <v>1</v>
      </c>
      <c r="AP394" s="9">
        <v>1</v>
      </c>
      <c r="AQ394" s="9">
        <v>1</v>
      </c>
      <c r="AR394" s="9">
        <v>1</v>
      </c>
      <c r="AS394" s="9">
        <v>1</v>
      </c>
      <c r="AT394" s="9">
        <v>1</v>
      </c>
      <c r="AU394" s="9">
        <v>1</v>
      </c>
      <c r="AV394" s="9">
        <v>1</v>
      </c>
      <c r="AW394" s="9">
        <v>1</v>
      </c>
      <c r="AX394" s="9">
        <v>1</v>
      </c>
      <c r="AY394" s="9">
        <v>1</v>
      </c>
      <c r="AZ394" s="9">
        <v>1</v>
      </c>
      <c r="BA394" s="9">
        <v>1</v>
      </c>
      <c r="BB394" s="9">
        <v>1</v>
      </c>
      <c r="BC394" s="9">
        <v>1</v>
      </c>
      <c r="BD394" s="9">
        <v>1</v>
      </c>
      <c r="BE394" s="9">
        <v>1</v>
      </c>
      <c r="BF394" s="9">
        <v>1</v>
      </c>
      <c r="BG394" s="9">
        <v>1</v>
      </c>
      <c r="BH394" s="9">
        <v>1</v>
      </c>
      <c r="BI394" s="9">
        <v>1</v>
      </c>
      <c r="BJ394" s="9">
        <v>1</v>
      </c>
      <c r="BK394" s="9">
        <v>1</v>
      </c>
      <c r="BL394" s="9">
        <v>1</v>
      </c>
      <c r="BM394" s="9">
        <v>1</v>
      </c>
      <c r="BN394" s="9">
        <v>1</v>
      </c>
      <c r="BO394" s="9">
        <v>1</v>
      </c>
      <c r="BP394" s="9">
        <v>1</v>
      </c>
      <c r="BQ394" s="9">
        <v>1</v>
      </c>
      <c r="BR394" s="9">
        <v>1</v>
      </c>
      <c r="BS394" s="9">
        <v>1</v>
      </c>
      <c r="BT394" s="9">
        <v>1</v>
      </c>
      <c r="BU394" s="9">
        <v>1</v>
      </c>
      <c r="BV394" s="9">
        <v>1</v>
      </c>
      <c r="BW394" s="9">
        <v>1</v>
      </c>
      <c r="BX394" s="9">
        <v>1</v>
      </c>
    </row>
    <row r="395" spans="1:76">
      <c r="A395" s="3" t="s">
        <v>66</v>
      </c>
      <c r="B395" t="s">
        <v>4671</v>
      </c>
      <c r="D395" t="s">
        <v>4967</v>
      </c>
      <c r="F395" s="91" t="s">
        <v>4973</v>
      </c>
      <c r="H395" s="3" t="s">
        <v>4984</v>
      </c>
      <c r="I395" s="3"/>
      <c r="J395" s="124"/>
      <c r="K395" s="124"/>
      <c r="M395" s="124"/>
      <c r="X395" s="10">
        <v>1.8867924528301886E-2</v>
      </c>
      <c r="Y395" s="9">
        <v>1.8867924528301886E-2</v>
      </c>
      <c r="Z395" s="9">
        <v>1.8867924528301886E-2</v>
      </c>
      <c r="AA395" s="9">
        <v>1.8867924528301886E-2</v>
      </c>
      <c r="AB395" s="9">
        <v>1.8867924528301886E-2</v>
      </c>
      <c r="AC395" s="9">
        <v>1.8867924528301886E-2</v>
      </c>
      <c r="AD395" s="9">
        <v>1.8867924528301886E-2</v>
      </c>
      <c r="AE395" s="9">
        <v>1.8867924528301886E-2</v>
      </c>
      <c r="AF395" s="9">
        <v>1.8867924528301886E-2</v>
      </c>
      <c r="AG395" s="9">
        <v>1.8867924528301886E-2</v>
      </c>
      <c r="AH395" s="9">
        <v>1.8867924528301886E-2</v>
      </c>
      <c r="AI395" s="9">
        <v>1.8867924528301886E-2</v>
      </c>
      <c r="AJ395" s="9">
        <v>1.8867924528301886E-2</v>
      </c>
      <c r="AK395" s="9">
        <v>1.8867924528301886E-2</v>
      </c>
      <c r="AL395" s="9">
        <v>1.8867924528301886E-2</v>
      </c>
      <c r="AM395" s="9">
        <v>1.8867924528301886E-2</v>
      </c>
      <c r="AN395" s="9">
        <v>1.8867924528301886E-2</v>
      </c>
      <c r="AO395" s="9">
        <v>1.8867924528301886E-2</v>
      </c>
      <c r="AP395" s="9">
        <v>1.8867924528301886E-2</v>
      </c>
      <c r="AQ395" s="9">
        <v>1.8867924528301886E-2</v>
      </c>
      <c r="AR395" s="9">
        <v>1.8867924528301886E-2</v>
      </c>
      <c r="AS395" s="9">
        <v>1.8867924528301886E-2</v>
      </c>
      <c r="AT395" s="9">
        <v>1.8867924528301886E-2</v>
      </c>
      <c r="AU395" s="9">
        <v>1.8867924528301886E-2</v>
      </c>
      <c r="AV395" s="9">
        <v>1.8867924528301886E-2</v>
      </c>
      <c r="AW395" s="9">
        <v>1.8867924528301886E-2</v>
      </c>
      <c r="AX395" s="9">
        <v>1.8867924528301886E-2</v>
      </c>
      <c r="AY395" s="9">
        <v>1.8867924528301886E-2</v>
      </c>
      <c r="AZ395" s="9">
        <v>1.8867924528301886E-2</v>
      </c>
      <c r="BA395" s="9">
        <v>1.8867924528301886E-2</v>
      </c>
      <c r="BB395" s="9">
        <v>1.8867924528301886E-2</v>
      </c>
      <c r="BC395" s="9">
        <v>1.8867924528301886E-2</v>
      </c>
      <c r="BD395" s="9">
        <v>1.8867924528301886E-2</v>
      </c>
      <c r="BE395" s="9">
        <v>1.8867924528301886E-2</v>
      </c>
      <c r="BF395" s="9">
        <v>1.8867924528301886E-2</v>
      </c>
      <c r="BG395" s="9">
        <v>1.8867924528301886E-2</v>
      </c>
      <c r="BH395" s="9">
        <v>1.8867924528301886E-2</v>
      </c>
      <c r="BI395" s="9">
        <v>1.8867924528301886E-2</v>
      </c>
      <c r="BJ395" s="9">
        <v>1.8867924528301886E-2</v>
      </c>
      <c r="BK395" s="9">
        <v>1.8867924528301886E-2</v>
      </c>
      <c r="BL395" s="9">
        <v>1.8867924528301886E-2</v>
      </c>
      <c r="BM395" s="9">
        <v>1.8867924528301886E-2</v>
      </c>
      <c r="BN395" s="9">
        <v>1.8867924528301886E-2</v>
      </c>
      <c r="BO395" s="9">
        <v>1.8867924528301886E-2</v>
      </c>
      <c r="BP395" s="9">
        <v>1.8867924528301886E-2</v>
      </c>
      <c r="BQ395" s="9">
        <v>1.8867924528301886E-2</v>
      </c>
      <c r="BR395" s="9">
        <v>1.8867924528301886E-2</v>
      </c>
      <c r="BS395" s="9">
        <v>1.8867924528301886E-2</v>
      </c>
      <c r="BT395" s="9">
        <v>1.8867924528301886E-2</v>
      </c>
      <c r="BU395" s="9">
        <v>1.8867924528301886E-2</v>
      </c>
      <c r="BV395" s="9">
        <v>1.8867924528301886E-2</v>
      </c>
      <c r="BW395" s="9">
        <v>1.8867924528301886E-2</v>
      </c>
      <c r="BX395" s="9">
        <v>1.8867924528301886E-2</v>
      </c>
    </row>
    <row r="396" spans="1:76">
      <c r="A396" s="3" t="s">
        <v>66</v>
      </c>
      <c r="B396" t="s">
        <v>4681</v>
      </c>
      <c r="D396" t="s">
        <v>4967</v>
      </c>
      <c r="F396" s="91" t="s">
        <v>4973</v>
      </c>
      <c r="H396" s="3" t="s">
        <v>4984</v>
      </c>
      <c r="I396" s="3"/>
      <c r="J396" s="124"/>
      <c r="K396" s="124"/>
      <c r="M396" s="124"/>
      <c r="X396" s="10">
        <v>1.8867924528301886E-2</v>
      </c>
      <c r="Y396" s="9">
        <v>1.8867924528301886E-2</v>
      </c>
      <c r="Z396" s="9">
        <v>1.8867924528301886E-2</v>
      </c>
      <c r="AA396" s="9">
        <v>1.8867924528301886E-2</v>
      </c>
      <c r="AB396" s="9">
        <v>1.8867924528301886E-2</v>
      </c>
      <c r="AC396" s="9">
        <v>1.8867924528301886E-2</v>
      </c>
      <c r="AD396" s="9">
        <v>1.8867924528301886E-2</v>
      </c>
      <c r="AE396" s="9">
        <v>1.8867924528301886E-2</v>
      </c>
      <c r="AF396" s="9">
        <v>1.8867924528301886E-2</v>
      </c>
      <c r="AG396" s="9">
        <v>1.8867924528301886E-2</v>
      </c>
      <c r="AH396" s="9">
        <v>1.8867924528301886E-2</v>
      </c>
      <c r="AI396" s="9">
        <v>1.8867924528301886E-2</v>
      </c>
      <c r="AJ396" s="9">
        <v>1.8867924528301886E-2</v>
      </c>
      <c r="AK396" s="9">
        <v>1.8867924528301886E-2</v>
      </c>
      <c r="AL396" s="9">
        <v>1.8867924528301886E-2</v>
      </c>
      <c r="AM396" s="9">
        <v>1.8867924528301886E-2</v>
      </c>
      <c r="AN396" s="9">
        <v>1.8867924528301886E-2</v>
      </c>
      <c r="AO396" s="9">
        <v>1.8867924528301886E-2</v>
      </c>
      <c r="AP396" s="9">
        <v>1.8867924528301886E-2</v>
      </c>
      <c r="AQ396" s="9">
        <v>1.8867924528301886E-2</v>
      </c>
      <c r="AR396" s="9">
        <v>1.8867924528301886E-2</v>
      </c>
      <c r="AS396" s="9">
        <v>1.8867924528301886E-2</v>
      </c>
      <c r="AT396" s="9">
        <v>1.8867924528301886E-2</v>
      </c>
      <c r="AU396" s="9">
        <v>1.8867924528301886E-2</v>
      </c>
      <c r="AV396" s="9">
        <v>1.8867924528301886E-2</v>
      </c>
      <c r="AW396" s="9">
        <v>1.8867924528301886E-2</v>
      </c>
      <c r="AX396" s="9">
        <v>1.8867924528301886E-2</v>
      </c>
      <c r="AY396" s="9">
        <v>1.8867924528301886E-2</v>
      </c>
      <c r="AZ396" s="9">
        <v>1.8867924528301886E-2</v>
      </c>
      <c r="BA396" s="9">
        <v>1.8867924528301886E-2</v>
      </c>
      <c r="BB396" s="9">
        <v>1.8867924528301886E-2</v>
      </c>
      <c r="BC396" s="9">
        <v>1.8867924528301886E-2</v>
      </c>
      <c r="BD396" s="9">
        <v>1.8867924528301886E-2</v>
      </c>
      <c r="BE396" s="9">
        <v>1.8867924528301886E-2</v>
      </c>
      <c r="BF396" s="9">
        <v>1.8867924528301886E-2</v>
      </c>
      <c r="BG396" s="9">
        <v>1.8867924528301886E-2</v>
      </c>
      <c r="BH396" s="9">
        <v>1.8867924528301886E-2</v>
      </c>
      <c r="BI396" s="9">
        <v>1.8867924528301886E-2</v>
      </c>
      <c r="BJ396" s="9">
        <v>1.8867924528301886E-2</v>
      </c>
      <c r="BK396" s="9">
        <v>1.8867924528301886E-2</v>
      </c>
      <c r="BL396" s="9">
        <v>1.8867924528301886E-2</v>
      </c>
      <c r="BM396" s="9">
        <v>1.8867924528301886E-2</v>
      </c>
      <c r="BN396" s="9">
        <v>1.8867924528301886E-2</v>
      </c>
      <c r="BO396" s="9">
        <v>1.8867924528301886E-2</v>
      </c>
      <c r="BP396" s="9">
        <v>1.8867924528301886E-2</v>
      </c>
      <c r="BQ396" s="9">
        <v>1.8867924528301886E-2</v>
      </c>
      <c r="BR396" s="9">
        <v>1.8867924528301886E-2</v>
      </c>
      <c r="BS396" s="9">
        <v>1.8867924528301886E-2</v>
      </c>
      <c r="BT396" s="9">
        <v>1.8867924528301886E-2</v>
      </c>
      <c r="BU396" s="9">
        <v>1.8867924528301886E-2</v>
      </c>
      <c r="BV396" s="9">
        <v>1.8867924528301886E-2</v>
      </c>
      <c r="BW396" s="9">
        <v>1.8867924528301886E-2</v>
      </c>
      <c r="BX396" s="9">
        <v>1.8867924528301886E-2</v>
      </c>
    </row>
    <row r="397" spans="1:76">
      <c r="A397" s="3" t="s">
        <v>66</v>
      </c>
      <c r="B397" t="s">
        <v>4683</v>
      </c>
      <c r="D397" t="s">
        <v>4967</v>
      </c>
      <c r="F397" s="91" t="s">
        <v>4973</v>
      </c>
      <c r="H397" s="3" t="s">
        <v>4984</v>
      </c>
      <c r="I397" s="3"/>
      <c r="J397" s="124"/>
      <c r="K397" s="124"/>
      <c r="M397" s="124"/>
      <c r="X397" s="10">
        <v>1.8867924528301886E-2</v>
      </c>
      <c r="Y397" s="9">
        <v>1.8867924528301886E-2</v>
      </c>
      <c r="Z397" s="9">
        <v>1.8867924528301886E-2</v>
      </c>
      <c r="AA397" s="9">
        <v>1.8867924528301886E-2</v>
      </c>
      <c r="AB397" s="9">
        <v>1.8867924528301886E-2</v>
      </c>
      <c r="AC397" s="9">
        <v>1.8867924528301886E-2</v>
      </c>
      <c r="AD397" s="9">
        <v>1.8867924528301886E-2</v>
      </c>
      <c r="AE397" s="9">
        <v>1.8867924528301886E-2</v>
      </c>
      <c r="AF397" s="9">
        <v>1.8867924528301886E-2</v>
      </c>
      <c r="AG397" s="9">
        <v>1.8867924528301886E-2</v>
      </c>
      <c r="AH397" s="9">
        <v>1.8867924528301886E-2</v>
      </c>
      <c r="AI397" s="9">
        <v>1.8867924528301886E-2</v>
      </c>
      <c r="AJ397" s="9">
        <v>1.8867924528301886E-2</v>
      </c>
      <c r="AK397" s="9">
        <v>1.8867924528301886E-2</v>
      </c>
      <c r="AL397" s="9">
        <v>1.8867924528301886E-2</v>
      </c>
      <c r="AM397" s="9">
        <v>1.8867924528301886E-2</v>
      </c>
      <c r="AN397" s="9">
        <v>1.8867924528301886E-2</v>
      </c>
      <c r="AO397" s="9">
        <v>1.8867924528301886E-2</v>
      </c>
      <c r="AP397" s="9">
        <v>1.8867924528301886E-2</v>
      </c>
      <c r="AQ397" s="9">
        <v>1.8867924528301886E-2</v>
      </c>
      <c r="AR397" s="9">
        <v>1.8867924528301886E-2</v>
      </c>
      <c r="AS397" s="9">
        <v>1.8867924528301886E-2</v>
      </c>
      <c r="AT397" s="9">
        <v>1.8867924528301886E-2</v>
      </c>
      <c r="AU397" s="9">
        <v>1.8867924528301886E-2</v>
      </c>
      <c r="AV397" s="9">
        <v>1.8867924528301886E-2</v>
      </c>
      <c r="AW397" s="9">
        <v>1.8867924528301886E-2</v>
      </c>
      <c r="AX397" s="9">
        <v>1.8867924528301886E-2</v>
      </c>
      <c r="AY397" s="9">
        <v>1.8867924528301886E-2</v>
      </c>
      <c r="AZ397" s="9">
        <v>1.8867924528301886E-2</v>
      </c>
      <c r="BA397" s="9">
        <v>1.8867924528301886E-2</v>
      </c>
      <c r="BB397" s="9">
        <v>1.8867924528301886E-2</v>
      </c>
      <c r="BC397" s="9">
        <v>1.8867924528301886E-2</v>
      </c>
      <c r="BD397" s="9">
        <v>1.8867924528301886E-2</v>
      </c>
      <c r="BE397" s="9">
        <v>1.8867924528301886E-2</v>
      </c>
      <c r="BF397" s="9">
        <v>1.8867924528301886E-2</v>
      </c>
      <c r="BG397" s="9">
        <v>1.8867924528301886E-2</v>
      </c>
      <c r="BH397" s="9">
        <v>1.8867924528301886E-2</v>
      </c>
      <c r="BI397" s="9">
        <v>1.8867924528301886E-2</v>
      </c>
      <c r="BJ397" s="9">
        <v>1.8867924528301886E-2</v>
      </c>
      <c r="BK397" s="9">
        <v>1.8867924528301886E-2</v>
      </c>
      <c r="BL397" s="9">
        <v>1.8867924528301886E-2</v>
      </c>
      <c r="BM397" s="9">
        <v>1.8867924528301886E-2</v>
      </c>
      <c r="BN397" s="9">
        <v>1.8867924528301886E-2</v>
      </c>
      <c r="BO397" s="9">
        <v>1.8867924528301886E-2</v>
      </c>
      <c r="BP397" s="9">
        <v>1.8867924528301886E-2</v>
      </c>
      <c r="BQ397" s="9">
        <v>1.8867924528301886E-2</v>
      </c>
      <c r="BR397" s="9">
        <v>1.8867924528301886E-2</v>
      </c>
      <c r="BS397" s="9">
        <v>1.8867924528301886E-2</v>
      </c>
      <c r="BT397" s="9">
        <v>1.8867924528301886E-2</v>
      </c>
      <c r="BU397" s="9">
        <v>1.8867924528301886E-2</v>
      </c>
      <c r="BV397" s="9">
        <v>1.8867924528301886E-2</v>
      </c>
      <c r="BW397" s="9">
        <v>1.8867924528301886E-2</v>
      </c>
      <c r="BX397" s="9">
        <v>1.8867924528301886E-2</v>
      </c>
    </row>
    <row r="398" spans="1:76">
      <c r="A398" s="3" t="s">
        <v>66</v>
      </c>
      <c r="B398" t="s">
        <v>4740</v>
      </c>
      <c r="D398" t="s">
        <v>4967</v>
      </c>
      <c r="F398" s="91" t="s">
        <v>4973</v>
      </c>
      <c r="H398" s="3" t="s">
        <v>4984</v>
      </c>
      <c r="I398" s="3"/>
      <c r="J398" s="124"/>
      <c r="K398" s="124"/>
      <c r="M398" s="124"/>
      <c r="X398" s="10">
        <v>1.8867924528301886E-2</v>
      </c>
      <c r="Y398" s="9">
        <v>1.8867924528301886E-2</v>
      </c>
      <c r="Z398" s="9">
        <v>1.8867924528301886E-2</v>
      </c>
      <c r="AA398" s="9">
        <v>1.8867924528301886E-2</v>
      </c>
      <c r="AB398" s="9">
        <v>1.8867924528301886E-2</v>
      </c>
      <c r="AC398" s="9">
        <v>1.8867924528301886E-2</v>
      </c>
      <c r="AD398" s="9">
        <v>1.8867924528301886E-2</v>
      </c>
      <c r="AE398" s="9">
        <v>1.8867924528301886E-2</v>
      </c>
      <c r="AF398" s="9">
        <v>1.8867924528301886E-2</v>
      </c>
      <c r="AG398" s="9">
        <v>1.8867924528301886E-2</v>
      </c>
      <c r="AH398" s="9">
        <v>1.8867924528301886E-2</v>
      </c>
      <c r="AI398" s="9">
        <v>1.8867924528301886E-2</v>
      </c>
      <c r="AJ398" s="9">
        <v>1.8867924528301886E-2</v>
      </c>
      <c r="AK398" s="9">
        <v>1.8867924528301886E-2</v>
      </c>
      <c r="AL398" s="9">
        <v>1.8867924528301886E-2</v>
      </c>
      <c r="AM398" s="9">
        <v>1.8867924528301886E-2</v>
      </c>
      <c r="AN398" s="9">
        <v>1.8867924528301886E-2</v>
      </c>
      <c r="AO398" s="9">
        <v>1.8867924528301886E-2</v>
      </c>
      <c r="AP398" s="9">
        <v>1.8867924528301886E-2</v>
      </c>
      <c r="AQ398" s="9">
        <v>1.8867924528301886E-2</v>
      </c>
      <c r="AR398" s="9">
        <v>1.8867924528301886E-2</v>
      </c>
      <c r="AS398" s="9">
        <v>1.8867924528301886E-2</v>
      </c>
      <c r="AT398" s="9">
        <v>1.8867924528301886E-2</v>
      </c>
      <c r="AU398" s="9">
        <v>1.8867924528301886E-2</v>
      </c>
      <c r="AV398" s="9">
        <v>1.8867924528301886E-2</v>
      </c>
      <c r="AW398" s="9">
        <v>1.8867924528301886E-2</v>
      </c>
      <c r="AX398" s="9">
        <v>1.8867924528301886E-2</v>
      </c>
      <c r="AY398" s="9">
        <v>1.8867924528301886E-2</v>
      </c>
      <c r="AZ398" s="9">
        <v>1.8867924528301886E-2</v>
      </c>
      <c r="BA398" s="9">
        <v>1.8867924528301886E-2</v>
      </c>
      <c r="BB398" s="9">
        <v>1.8867924528301886E-2</v>
      </c>
      <c r="BC398" s="9">
        <v>1.8867924528301886E-2</v>
      </c>
      <c r="BD398" s="9">
        <v>1.8867924528301886E-2</v>
      </c>
      <c r="BE398" s="9">
        <v>1.8867924528301886E-2</v>
      </c>
      <c r="BF398" s="9">
        <v>1.8867924528301886E-2</v>
      </c>
      <c r="BG398" s="9">
        <v>1.8867924528301886E-2</v>
      </c>
      <c r="BH398" s="9">
        <v>1.8867924528301886E-2</v>
      </c>
      <c r="BI398" s="9">
        <v>1.8867924528301886E-2</v>
      </c>
      <c r="BJ398" s="9">
        <v>1.8867924528301886E-2</v>
      </c>
      <c r="BK398" s="9">
        <v>1.8867924528301886E-2</v>
      </c>
      <c r="BL398" s="9">
        <v>1.8867924528301886E-2</v>
      </c>
      <c r="BM398" s="9">
        <v>1.8867924528301886E-2</v>
      </c>
      <c r="BN398" s="9">
        <v>1.8867924528301886E-2</v>
      </c>
      <c r="BO398" s="9">
        <v>1.8867924528301886E-2</v>
      </c>
      <c r="BP398" s="9">
        <v>1.8867924528301886E-2</v>
      </c>
      <c r="BQ398" s="9">
        <v>1.8867924528301886E-2</v>
      </c>
      <c r="BR398" s="9">
        <v>1.8867924528301886E-2</v>
      </c>
      <c r="BS398" s="9">
        <v>1.8867924528301886E-2</v>
      </c>
      <c r="BT398" s="9">
        <v>1.8867924528301886E-2</v>
      </c>
      <c r="BU398" s="9">
        <v>1.8867924528301886E-2</v>
      </c>
      <c r="BV398" s="9">
        <v>1.8867924528301886E-2</v>
      </c>
      <c r="BW398" s="9">
        <v>1.8867924528301886E-2</v>
      </c>
      <c r="BX398" s="9">
        <v>1.8867924528301886E-2</v>
      </c>
    </row>
    <row r="399" spans="1:76">
      <c r="A399" s="3" t="s">
        <v>66</v>
      </c>
      <c r="B399" t="s">
        <v>4748</v>
      </c>
      <c r="D399" t="s">
        <v>4967</v>
      </c>
      <c r="F399" s="91" t="s">
        <v>4973</v>
      </c>
      <c r="H399" s="3" t="s">
        <v>4984</v>
      </c>
      <c r="I399" s="3"/>
      <c r="J399" s="124"/>
      <c r="K399" s="124"/>
      <c r="M399" s="124"/>
      <c r="X399" s="10">
        <v>1.8867924528301886E-2</v>
      </c>
      <c r="Y399" s="9">
        <v>1.8867924528301886E-2</v>
      </c>
      <c r="Z399" s="9">
        <v>1.8867924528301886E-2</v>
      </c>
      <c r="AA399" s="9">
        <v>1.8867924528301886E-2</v>
      </c>
      <c r="AB399" s="9">
        <v>1.8867924528301886E-2</v>
      </c>
      <c r="AC399" s="9">
        <v>1.8867924528301886E-2</v>
      </c>
      <c r="AD399" s="9">
        <v>1.8867924528301886E-2</v>
      </c>
      <c r="AE399" s="9">
        <v>1.8867924528301886E-2</v>
      </c>
      <c r="AF399" s="9">
        <v>1.8867924528301886E-2</v>
      </c>
      <c r="AG399" s="9">
        <v>1.8867924528301886E-2</v>
      </c>
      <c r="AH399" s="9">
        <v>1.8867924528301886E-2</v>
      </c>
      <c r="AI399" s="9">
        <v>1.8867924528301886E-2</v>
      </c>
      <c r="AJ399" s="9">
        <v>1.8867924528301886E-2</v>
      </c>
      <c r="AK399" s="9">
        <v>1.8867924528301886E-2</v>
      </c>
      <c r="AL399" s="9">
        <v>1.8867924528301886E-2</v>
      </c>
      <c r="AM399" s="9">
        <v>1.8867924528301886E-2</v>
      </c>
      <c r="AN399" s="9">
        <v>1.8867924528301886E-2</v>
      </c>
      <c r="AO399" s="9">
        <v>1.8867924528301886E-2</v>
      </c>
      <c r="AP399" s="9">
        <v>1.8867924528301886E-2</v>
      </c>
      <c r="AQ399" s="9">
        <v>1.8867924528301886E-2</v>
      </c>
      <c r="AR399" s="9">
        <v>1.8867924528301886E-2</v>
      </c>
      <c r="AS399" s="9">
        <v>1.8867924528301886E-2</v>
      </c>
      <c r="AT399" s="9">
        <v>1.8867924528301886E-2</v>
      </c>
      <c r="AU399" s="9">
        <v>1.8867924528301886E-2</v>
      </c>
      <c r="AV399" s="9">
        <v>1.8867924528301886E-2</v>
      </c>
      <c r="AW399" s="9">
        <v>1.8867924528301886E-2</v>
      </c>
      <c r="AX399" s="9">
        <v>1.8867924528301886E-2</v>
      </c>
      <c r="AY399" s="9">
        <v>1.8867924528301886E-2</v>
      </c>
      <c r="AZ399" s="9">
        <v>1.8867924528301886E-2</v>
      </c>
      <c r="BA399" s="9">
        <v>1.8867924528301886E-2</v>
      </c>
      <c r="BB399" s="9">
        <v>1.8867924528301886E-2</v>
      </c>
      <c r="BC399" s="9">
        <v>1.8867924528301886E-2</v>
      </c>
      <c r="BD399" s="9">
        <v>1.8867924528301886E-2</v>
      </c>
      <c r="BE399" s="9">
        <v>1.8867924528301886E-2</v>
      </c>
      <c r="BF399" s="9">
        <v>1.8867924528301886E-2</v>
      </c>
      <c r="BG399" s="9">
        <v>1.8867924528301886E-2</v>
      </c>
      <c r="BH399" s="9">
        <v>1.8867924528301886E-2</v>
      </c>
      <c r="BI399" s="9">
        <v>1.8867924528301886E-2</v>
      </c>
      <c r="BJ399" s="9">
        <v>1.8867924528301886E-2</v>
      </c>
      <c r="BK399" s="9">
        <v>1.8867924528301886E-2</v>
      </c>
      <c r="BL399" s="9">
        <v>1.8867924528301886E-2</v>
      </c>
      <c r="BM399" s="9">
        <v>1.8867924528301886E-2</v>
      </c>
      <c r="BN399" s="9">
        <v>1.8867924528301886E-2</v>
      </c>
      <c r="BO399" s="9">
        <v>1.8867924528301886E-2</v>
      </c>
      <c r="BP399" s="9">
        <v>1.8867924528301886E-2</v>
      </c>
      <c r="BQ399" s="9">
        <v>1.8867924528301886E-2</v>
      </c>
      <c r="BR399" s="9">
        <v>1.8867924528301886E-2</v>
      </c>
      <c r="BS399" s="9">
        <v>1.8867924528301886E-2</v>
      </c>
      <c r="BT399" s="9">
        <v>1.8867924528301886E-2</v>
      </c>
      <c r="BU399" s="9">
        <v>1.8867924528301886E-2</v>
      </c>
      <c r="BV399" s="9">
        <v>1.8867924528301886E-2</v>
      </c>
      <c r="BW399" s="9">
        <v>1.8867924528301886E-2</v>
      </c>
      <c r="BX399" s="9">
        <v>1.8867924528301886E-2</v>
      </c>
    </row>
    <row r="400" spans="1:76">
      <c r="A400" s="3" t="s">
        <v>66</v>
      </c>
      <c r="B400" t="s">
        <v>4742</v>
      </c>
      <c r="D400" t="s">
        <v>4967</v>
      </c>
      <c r="F400" s="91" t="s">
        <v>4973</v>
      </c>
      <c r="H400" s="3" t="s">
        <v>4984</v>
      </c>
      <c r="I400" s="3"/>
      <c r="J400" s="124"/>
      <c r="K400" s="124"/>
      <c r="M400" s="124"/>
      <c r="X400" s="10">
        <v>1.8867924528301886E-2</v>
      </c>
      <c r="Y400" s="9">
        <v>1.8867924528301886E-2</v>
      </c>
      <c r="Z400" s="9">
        <v>1.8867924528301886E-2</v>
      </c>
      <c r="AA400" s="9">
        <v>1.8867924528301886E-2</v>
      </c>
      <c r="AB400" s="9">
        <v>1.8867924528301886E-2</v>
      </c>
      <c r="AC400" s="9">
        <v>1.8867924528301886E-2</v>
      </c>
      <c r="AD400" s="9">
        <v>1.8867924528301886E-2</v>
      </c>
      <c r="AE400" s="9">
        <v>1.8867924528301886E-2</v>
      </c>
      <c r="AF400" s="9">
        <v>1.8867924528301886E-2</v>
      </c>
      <c r="AG400" s="9">
        <v>1.8867924528301886E-2</v>
      </c>
      <c r="AH400" s="9">
        <v>1.8867924528301886E-2</v>
      </c>
      <c r="AI400" s="9">
        <v>1.8867924528301886E-2</v>
      </c>
      <c r="AJ400" s="9">
        <v>1.8867924528301886E-2</v>
      </c>
      <c r="AK400" s="9">
        <v>1.8867924528301886E-2</v>
      </c>
      <c r="AL400" s="9">
        <v>1.8867924528301886E-2</v>
      </c>
      <c r="AM400" s="9">
        <v>1.8867924528301886E-2</v>
      </c>
      <c r="AN400" s="9">
        <v>1.8867924528301886E-2</v>
      </c>
      <c r="AO400" s="9">
        <v>1.8867924528301886E-2</v>
      </c>
      <c r="AP400" s="9">
        <v>1.8867924528301886E-2</v>
      </c>
      <c r="AQ400" s="9">
        <v>1.8867924528301886E-2</v>
      </c>
      <c r="AR400" s="9">
        <v>1.8867924528301886E-2</v>
      </c>
      <c r="AS400" s="9">
        <v>1.8867924528301886E-2</v>
      </c>
      <c r="AT400" s="9">
        <v>1.8867924528301886E-2</v>
      </c>
      <c r="AU400" s="9">
        <v>1.8867924528301886E-2</v>
      </c>
      <c r="AV400" s="9">
        <v>1.8867924528301886E-2</v>
      </c>
      <c r="AW400" s="9">
        <v>1.8867924528301886E-2</v>
      </c>
      <c r="AX400" s="9">
        <v>1.8867924528301886E-2</v>
      </c>
      <c r="AY400" s="9">
        <v>1.8867924528301886E-2</v>
      </c>
      <c r="AZ400" s="9">
        <v>1.8867924528301886E-2</v>
      </c>
      <c r="BA400" s="9">
        <v>1.8867924528301886E-2</v>
      </c>
      <c r="BB400" s="9">
        <v>1.8867924528301886E-2</v>
      </c>
      <c r="BC400" s="9">
        <v>1.8867924528301886E-2</v>
      </c>
      <c r="BD400" s="9">
        <v>1.8867924528301886E-2</v>
      </c>
      <c r="BE400" s="9">
        <v>1.8867924528301886E-2</v>
      </c>
      <c r="BF400" s="9">
        <v>1.8867924528301886E-2</v>
      </c>
      <c r="BG400" s="9">
        <v>1.8867924528301886E-2</v>
      </c>
      <c r="BH400" s="9">
        <v>1.8867924528301886E-2</v>
      </c>
      <c r="BI400" s="9">
        <v>1.8867924528301886E-2</v>
      </c>
      <c r="BJ400" s="9">
        <v>1.8867924528301886E-2</v>
      </c>
      <c r="BK400" s="9">
        <v>1.8867924528301886E-2</v>
      </c>
      <c r="BL400" s="9">
        <v>1.8867924528301886E-2</v>
      </c>
      <c r="BM400" s="9">
        <v>1.8867924528301886E-2</v>
      </c>
      <c r="BN400" s="9">
        <v>1.8867924528301886E-2</v>
      </c>
      <c r="BO400" s="9">
        <v>1.8867924528301886E-2</v>
      </c>
      <c r="BP400" s="9">
        <v>1.8867924528301886E-2</v>
      </c>
      <c r="BQ400" s="9">
        <v>1.8867924528301886E-2</v>
      </c>
      <c r="BR400" s="9">
        <v>1.8867924528301886E-2</v>
      </c>
      <c r="BS400" s="9">
        <v>1.8867924528301886E-2</v>
      </c>
      <c r="BT400" s="9">
        <v>1.8867924528301886E-2</v>
      </c>
      <c r="BU400" s="9">
        <v>1.8867924528301886E-2</v>
      </c>
      <c r="BV400" s="9">
        <v>1.8867924528301886E-2</v>
      </c>
      <c r="BW400" s="9">
        <v>1.8867924528301886E-2</v>
      </c>
      <c r="BX400" s="9">
        <v>1.8867924528301886E-2</v>
      </c>
    </row>
    <row r="401" spans="1:76">
      <c r="A401" s="3" t="s">
        <v>66</v>
      </c>
      <c r="B401" t="s">
        <v>4744</v>
      </c>
      <c r="D401" t="s">
        <v>4967</v>
      </c>
      <c r="F401" s="91" t="s">
        <v>4973</v>
      </c>
      <c r="H401" s="3" t="s">
        <v>4984</v>
      </c>
      <c r="I401" s="3"/>
      <c r="J401" s="124"/>
      <c r="K401" s="124"/>
      <c r="M401" s="124"/>
      <c r="X401" s="10">
        <v>1.8867924528301886E-2</v>
      </c>
      <c r="Y401" s="9">
        <v>1.8867924528301886E-2</v>
      </c>
      <c r="Z401" s="9">
        <v>1.8867924528301886E-2</v>
      </c>
      <c r="AA401" s="9">
        <v>1.8867924528301886E-2</v>
      </c>
      <c r="AB401" s="9">
        <v>1.8867924528301886E-2</v>
      </c>
      <c r="AC401" s="9">
        <v>1.8867924528301886E-2</v>
      </c>
      <c r="AD401" s="9">
        <v>1.8867924528301886E-2</v>
      </c>
      <c r="AE401" s="9">
        <v>1.8867924528301886E-2</v>
      </c>
      <c r="AF401" s="9">
        <v>1.8867924528301886E-2</v>
      </c>
      <c r="AG401" s="9">
        <v>1.8867924528301886E-2</v>
      </c>
      <c r="AH401" s="9">
        <v>1.8867924528301886E-2</v>
      </c>
      <c r="AI401" s="9">
        <v>1.8867924528301886E-2</v>
      </c>
      <c r="AJ401" s="9">
        <v>1.8867924528301886E-2</v>
      </c>
      <c r="AK401" s="9">
        <v>1.8867924528301886E-2</v>
      </c>
      <c r="AL401" s="9">
        <v>1.8867924528301886E-2</v>
      </c>
      <c r="AM401" s="9">
        <v>1.8867924528301886E-2</v>
      </c>
      <c r="AN401" s="9">
        <v>1.8867924528301886E-2</v>
      </c>
      <c r="AO401" s="9">
        <v>1.8867924528301886E-2</v>
      </c>
      <c r="AP401" s="9">
        <v>1.8867924528301886E-2</v>
      </c>
      <c r="AQ401" s="9">
        <v>1.8867924528301886E-2</v>
      </c>
      <c r="AR401" s="9">
        <v>1.8867924528301886E-2</v>
      </c>
      <c r="AS401" s="9">
        <v>1.8867924528301886E-2</v>
      </c>
      <c r="AT401" s="9">
        <v>1.8867924528301886E-2</v>
      </c>
      <c r="AU401" s="9">
        <v>1.8867924528301886E-2</v>
      </c>
      <c r="AV401" s="9">
        <v>1.8867924528301886E-2</v>
      </c>
      <c r="AW401" s="9">
        <v>1.8867924528301886E-2</v>
      </c>
      <c r="AX401" s="9">
        <v>1.8867924528301886E-2</v>
      </c>
      <c r="AY401" s="9">
        <v>1.8867924528301886E-2</v>
      </c>
      <c r="AZ401" s="9">
        <v>1.8867924528301886E-2</v>
      </c>
      <c r="BA401" s="9">
        <v>1.8867924528301886E-2</v>
      </c>
      <c r="BB401" s="9">
        <v>1.8867924528301886E-2</v>
      </c>
      <c r="BC401" s="9">
        <v>1.8867924528301886E-2</v>
      </c>
      <c r="BD401" s="9">
        <v>1.8867924528301886E-2</v>
      </c>
      <c r="BE401" s="9">
        <v>1.8867924528301886E-2</v>
      </c>
      <c r="BF401" s="9">
        <v>1.8867924528301886E-2</v>
      </c>
      <c r="BG401" s="9">
        <v>1.8867924528301886E-2</v>
      </c>
      <c r="BH401" s="9">
        <v>1.8867924528301886E-2</v>
      </c>
      <c r="BI401" s="9">
        <v>1.8867924528301886E-2</v>
      </c>
      <c r="BJ401" s="9">
        <v>1.8867924528301886E-2</v>
      </c>
      <c r="BK401" s="9">
        <v>1.8867924528301886E-2</v>
      </c>
      <c r="BL401" s="9">
        <v>1.8867924528301886E-2</v>
      </c>
      <c r="BM401" s="9">
        <v>1.8867924528301886E-2</v>
      </c>
      <c r="BN401" s="9">
        <v>1.8867924528301886E-2</v>
      </c>
      <c r="BO401" s="9">
        <v>1.8867924528301886E-2</v>
      </c>
      <c r="BP401" s="9">
        <v>1.8867924528301886E-2</v>
      </c>
      <c r="BQ401" s="9">
        <v>1.8867924528301886E-2</v>
      </c>
      <c r="BR401" s="9">
        <v>1.8867924528301886E-2</v>
      </c>
      <c r="BS401" s="9">
        <v>1.8867924528301886E-2</v>
      </c>
      <c r="BT401" s="9">
        <v>1.8867924528301886E-2</v>
      </c>
      <c r="BU401" s="9">
        <v>1.8867924528301886E-2</v>
      </c>
      <c r="BV401" s="9">
        <v>1.8867924528301886E-2</v>
      </c>
      <c r="BW401" s="9">
        <v>1.8867924528301886E-2</v>
      </c>
      <c r="BX401" s="9">
        <v>1.8867924528301886E-2</v>
      </c>
    </row>
    <row r="402" spans="1:76">
      <c r="A402" s="3" t="s">
        <v>66</v>
      </c>
      <c r="B402" t="s">
        <v>4746</v>
      </c>
      <c r="D402" t="s">
        <v>4967</v>
      </c>
      <c r="F402" s="91" t="s">
        <v>4973</v>
      </c>
      <c r="H402" s="3" t="s">
        <v>4984</v>
      </c>
      <c r="I402" s="3"/>
      <c r="J402" s="124"/>
      <c r="K402" s="124"/>
      <c r="M402" s="124"/>
      <c r="X402" s="10">
        <v>1.8867924528301886E-2</v>
      </c>
      <c r="Y402" s="9">
        <v>1.8867924528301886E-2</v>
      </c>
      <c r="Z402" s="9">
        <v>1.8867924528301886E-2</v>
      </c>
      <c r="AA402" s="9">
        <v>1.8867924528301886E-2</v>
      </c>
      <c r="AB402" s="9">
        <v>1.8867924528301886E-2</v>
      </c>
      <c r="AC402" s="9">
        <v>1.8867924528301886E-2</v>
      </c>
      <c r="AD402" s="9">
        <v>1.8867924528301886E-2</v>
      </c>
      <c r="AE402" s="9">
        <v>1.8867924528301886E-2</v>
      </c>
      <c r="AF402" s="9">
        <v>1.8867924528301886E-2</v>
      </c>
      <c r="AG402" s="9">
        <v>1.8867924528301886E-2</v>
      </c>
      <c r="AH402" s="9">
        <v>1.8867924528301886E-2</v>
      </c>
      <c r="AI402" s="9">
        <v>1.8867924528301886E-2</v>
      </c>
      <c r="AJ402" s="9">
        <v>1.8867924528301886E-2</v>
      </c>
      <c r="AK402" s="9">
        <v>1.8867924528301886E-2</v>
      </c>
      <c r="AL402" s="9">
        <v>1.8867924528301886E-2</v>
      </c>
      <c r="AM402" s="9">
        <v>1.8867924528301886E-2</v>
      </c>
      <c r="AN402" s="9">
        <v>1.8867924528301886E-2</v>
      </c>
      <c r="AO402" s="9">
        <v>1.8867924528301886E-2</v>
      </c>
      <c r="AP402" s="9">
        <v>1.8867924528301886E-2</v>
      </c>
      <c r="AQ402" s="9">
        <v>1.8867924528301886E-2</v>
      </c>
      <c r="AR402" s="9">
        <v>1.8867924528301886E-2</v>
      </c>
      <c r="AS402" s="9">
        <v>1.8867924528301886E-2</v>
      </c>
      <c r="AT402" s="9">
        <v>1.8867924528301886E-2</v>
      </c>
      <c r="AU402" s="9">
        <v>1.8867924528301886E-2</v>
      </c>
      <c r="AV402" s="9">
        <v>1.8867924528301886E-2</v>
      </c>
      <c r="AW402" s="9">
        <v>1.8867924528301886E-2</v>
      </c>
      <c r="AX402" s="9">
        <v>1.8867924528301886E-2</v>
      </c>
      <c r="AY402" s="9">
        <v>1.8867924528301886E-2</v>
      </c>
      <c r="AZ402" s="9">
        <v>1.8867924528301886E-2</v>
      </c>
      <c r="BA402" s="9">
        <v>1.8867924528301886E-2</v>
      </c>
      <c r="BB402" s="9">
        <v>1.8867924528301886E-2</v>
      </c>
      <c r="BC402" s="9">
        <v>1.8867924528301886E-2</v>
      </c>
      <c r="BD402" s="9">
        <v>1.8867924528301886E-2</v>
      </c>
      <c r="BE402" s="9">
        <v>1.8867924528301886E-2</v>
      </c>
      <c r="BF402" s="9">
        <v>1.8867924528301886E-2</v>
      </c>
      <c r="BG402" s="9">
        <v>1.8867924528301886E-2</v>
      </c>
      <c r="BH402" s="9">
        <v>1.8867924528301886E-2</v>
      </c>
      <c r="BI402" s="9">
        <v>1.8867924528301886E-2</v>
      </c>
      <c r="BJ402" s="9">
        <v>1.8867924528301886E-2</v>
      </c>
      <c r="BK402" s="9">
        <v>1.8867924528301886E-2</v>
      </c>
      <c r="BL402" s="9">
        <v>1.8867924528301886E-2</v>
      </c>
      <c r="BM402" s="9">
        <v>1.8867924528301886E-2</v>
      </c>
      <c r="BN402" s="9">
        <v>1.8867924528301886E-2</v>
      </c>
      <c r="BO402" s="9">
        <v>1.8867924528301886E-2</v>
      </c>
      <c r="BP402" s="9">
        <v>1.8867924528301886E-2</v>
      </c>
      <c r="BQ402" s="9">
        <v>1.8867924528301886E-2</v>
      </c>
      <c r="BR402" s="9">
        <v>1.8867924528301886E-2</v>
      </c>
      <c r="BS402" s="9">
        <v>1.8867924528301886E-2</v>
      </c>
      <c r="BT402" s="9">
        <v>1.8867924528301886E-2</v>
      </c>
      <c r="BU402" s="9">
        <v>1.8867924528301886E-2</v>
      </c>
      <c r="BV402" s="9">
        <v>1.8867924528301886E-2</v>
      </c>
      <c r="BW402" s="9">
        <v>1.8867924528301886E-2</v>
      </c>
      <c r="BX402" s="9">
        <v>1.8867924528301886E-2</v>
      </c>
    </row>
    <row r="403" spans="1:76">
      <c r="A403" s="3" t="s">
        <v>66</v>
      </c>
      <c r="B403" t="s">
        <v>4750</v>
      </c>
      <c r="D403" t="s">
        <v>4967</v>
      </c>
      <c r="F403" s="91" t="s">
        <v>4973</v>
      </c>
      <c r="H403" s="3" t="s">
        <v>4984</v>
      </c>
      <c r="I403" s="3"/>
      <c r="J403" s="124"/>
      <c r="K403" s="124"/>
      <c r="M403" s="124"/>
      <c r="X403" s="10">
        <v>1.8867924528301886E-2</v>
      </c>
      <c r="Y403" s="9">
        <v>1.8867924528301886E-2</v>
      </c>
      <c r="Z403" s="9">
        <v>1.8867924528301886E-2</v>
      </c>
      <c r="AA403" s="9">
        <v>1.8867924528301886E-2</v>
      </c>
      <c r="AB403" s="9">
        <v>1.8867924528301886E-2</v>
      </c>
      <c r="AC403" s="9">
        <v>1.8867924528301886E-2</v>
      </c>
      <c r="AD403" s="9">
        <v>1.8867924528301886E-2</v>
      </c>
      <c r="AE403" s="9">
        <v>1.8867924528301886E-2</v>
      </c>
      <c r="AF403" s="9">
        <v>1.8867924528301886E-2</v>
      </c>
      <c r="AG403" s="9">
        <v>1.8867924528301886E-2</v>
      </c>
      <c r="AH403" s="9">
        <v>1.8867924528301886E-2</v>
      </c>
      <c r="AI403" s="9">
        <v>1.8867924528301886E-2</v>
      </c>
      <c r="AJ403" s="9">
        <v>1.8867924528301886E-2</v>
      </c>
      <c r="AK403" s="9">
        <v>1.8867924528301886E-2</v>
      </c>
      <c r="AL403" s="9">
        <v>1.8867924528301886E-2</v>
      </c>
      <c r="AM403" s="9">
        <v>1.8867924528301886E-2</v>
      </c>
      <c r="AN403" s="9">
        <v>1.8867924528301886E-2</v>
      </c>
      <c r="AO403" s="9">
        <v>1.8867924528301886E-2</v>
      </c>
      <c r="AP403" s="9">
        <v>1.8867924528301886E-2</v>
      </c>
      <c r="AQ403" s="9">
        <v>1.8867924528301886E-2</v>
      </c>
      <c r="AR403" s="9">
        <v>1.8867924528301886E-2</v>
      </c>
      <c r="AS403" s="9">
        <v>1.8867924528301886E-2</v>
      </c>
      <c r="AT403" s="9">
        <v>1.8867924528301886E-2</v>
      </c>
      <c r="AU403" s="9">
        <v>1.8867924528301886E-2</v>
      </c>
      <c r="AV403" s="9">
        <v>1.8867924528301886E-2</v>
      </c>
      <c r="AW403" s="9">
        <v>1.8867924528301886E-2</v>
      </c>
      <c r="AX403" s="9">
        <v>1.8867924528301886E-2</v>
      </c>
      <c r="AY403" s="9">
        <v>1.8867924528301886E-2</v>
      </c>
      <c r="AZ403" s="9">
        <v>1.8867924528301886E-2</v>
      </c>
      <c r="BA403" s="9">
        <v>1.8867924528301886E-2</v>
      </c>
      <c r="BB403" s="9">
        <v>1.8867924528301886E-2</v>
      </c>
      <c r="BC403" s="9">
        <v>1.8867924528301886E-2</v>
      </c>
      <c r="BD403" s="9">
        <v>1.8867924528301886E-2</v>
      </c>
      <c r="BE403" s="9">
        <v>1.8867924528301886E-2</v>
      </c>
      <c r="BF403" s="9">
        <v>1.8867924528301886E-2</v>
      </c>
      <c r="BG403" s="9">
        <v>1.8867924528301886E-2</v>
      </c>
      <c r="BH403" s="9">
        <v>1.8867924528301886E-2</v>
      </c>
      <c r="BI403" s="9">
        <v>1.8867924528301886E-2</v>
      </c>
      <c r="BJ403" s="9">
        <v>1.8867924528301886E-2</v>
      </c>
      <c r="BK403" s="9">
        <v>1.8867924528301886E-2</v>
      </c>
      <c r="BL403" s="9">
        <v>1.8867924528301886E-2</v>
      </c>
      <c r="BM403" s="9">
        <v>1.8867924528301886E-2</v>
      </c>
      <c r="BN403" s="9">
        <v>1.8867924528301886E-2</v>
      </c>
      <c r="BO403" s="9">
        <v>1.8867924528301886E-2</v>
      </c>
      <c r="BP403" s="9">
        <v>1.8867924528301886E-2</v>
      </c>
      <c r="BQ403" s="9">
        <v>1.8867924528301886E-2</v>
      </c>
      <c r="BR403" s="9">
        <v>1.8867924528301886E-2</v>
      </c>
      <c r="BS403" s="9">
        <v>1.8867924528301886E-2</v>
      </c>
      <c r="BT403" s="9">
        <v>1.8867924528301886E-2</v>
      </c>
      <c r="BU403" s="9">
        <v>1.8867924528301886E-2</v>
      </c>
      <c r="BV403" s="9">
        <v>1.8867924528301886E-2</v>
      </c>
      <c r="BW403" s="9">
        <v>1.8867924528301886E-2</v>
      </c>
      <c r="BX403" s="9">
        <v>1.8867924528301886E-2</v>
      </c>
    </row>
    <row r="404" spans="1:76">
      <c r="A404" s="3" t="s">
        <v>66</v>
      </c>
      <c r="B404" t="s">
        <v>4753</v>
      </c>
      <c r="D404" t="s">
        <v>4967</v>
      </c>
      <c r="F404" s="91" t="s">
        <v>4973</v>
      </c>
      <c r="H404" s="3" t="s">
        <v>4984</v>
      </c>
      <c r="I404" s="3"/>
      <c r="J404" s="124"/>
      <c r="K404" s="124"/>
      <c r="M404" s="124"/>
      <c r="X404" s="10">
        <v>1.8867924528301886E-2</v>
      </c>
      <c r="Y404" s="9">
        <v>1.8867924528301886E-2</v>
      </c>
      <c r="Z404" s="9">
        <v>1.8867924528301886E-2</v>
      </c>
      <c r="AA404" s="9">
        <v>1.8867924528301886E-2</v>
      </c>
      <c r="AB404" s="9">
        <v>1.8867924528301886E-2</v>
      </c>
      <c r="AC404" s="9">
        <v>1.8867924528301886E-2</v>
      </c>
      <c r="AD404" s="9">
        <v>1.8867924528301886E-2</v>
      </c>
      <c r="AE404" s="9">
        <v>1.8867924528301886E-2</v>
      </c>
      <c r="AF404" s="9">
        <v>1.8867924528301886E-2</v>
      </c>
      <c r="AG404" s="9">
        <v>1.8867924528301886E-2</v>
      </c>
      <c r="AH404" s="9">
        <v>1.8867924528301886E-2</v>
      </c>
      <c r="AI404" s="9">
        <v>1.8867924528301886E-2</v>
      </c>
      <c r="AJ404" s="9">
        <v>1.8867924528301886E-2</v>
      </c>
      <c r="AK404" s="9">
        <v>1.8867924528301886E-2</v>
      </c>
      <c r="AL404" s="9">
        <v>1.8867924528301886E-2</v>
      </c>
      <c r="AM404" s="9">
        <v>1.8867924528301886E-2</v>
      </c>
      <c r="AN404" s="9">
        <v>1.8867924528301886E-2</v>
      </c>
      <c r="AO404" s="9">
        <v>1.8867924528301886E-2</v>
      </c>
      <c r="AP404" s="9">
        <v>1.8867924528301886E-2</v>
      </c>
      <c r="AQ404" s="9">
        <v>1.8867924528301886E-2</v>
      </c>
      <c r="AR404" s="9">
        <v>1.8867924528301886E-2</v>
      </c>
      <c r="AS404" s="9">
        <v>1.8867924528301886E-2</v>
      </c>
      <c r="AT404" s="9">
        <v>1.8867924528301886E-2</v>
      </c>
      <c r="AU404" s="9">
        <v>1.8867924528301886E-2</v>
      </c>
      <c r="AV404" s="9">
        <v>1.8867924528301886E-2</v>
      </c>
      <c r="AW404" s="9">
        <v>1.8867924528301886E-2</v>
      </c>
      <c r="AX404" s="9">
        <v>1.8867924528301886E-2</v>
      </c>
      <c r="AY404" s="9">
        <v>1.8867924528301886E-2</v>
      </c>
      <c r="AZ404" s="9">
        <v>1.8867924528301886E-2</v>
      </c>
      <c r="BA404" s="9">
        <v>1.8867924528301886E-2</v>
      </c>
      <c r="BB404" s="9">
        <v>1.8867924528301886E-2</v>
      </c>
      <c r="BC404" s="9">
        <v>1.8867924528301886E-2</v>
      </c>
      <c r="BD404" s="9">
        <v>1.8867924528301886E-2</v>
      </c>
      <c r="BE404" s="9">
        <v>1.8867924528301886E-2</v>
      </c>
      <c r="BF404" s="9">
        <v>1.8867924528301886E-2</v>
      </c>
      <c r="BG404" s="9">
        <v>1.8867924528301886E-2</v>
      </c>
      <c r="BH404" s="9">
        <v>1.8867924528301886E-2</v>
      </c>
      <c r="BI404" s="9">
        <v>1.8867924528301886E-2</v>
      </c>
      <c r="BJ404" s="9">
        <v>1.8867924528301886E-2</v>
      </c>
      <c r="BK404" s="9">
        <v>1.8867924528301886E-2</v>
      </c>
      <c r="BL404" s="9">
        <v>1.8867924528301886E-2</v>
      </c>
      <c r="BM404" s="9">
        <v>1.8867924528301886E-2</v>
      </c>
      <c r="BN404" s="9">
        <v>1.8867924528301886E-2</v>
      </c>
      <c r="BO404" s="9">
        <v>1.8867924528301886E-2</v>
      </c>
      <c r="BP404" s="9">
        <v>1.8867924528301886E-2</v>
      </c>
      <c r="BQ404" s="9">
        <v>1.8867924528301886E-2</v>
      </c>
      <c r="BR404" s="9">
        <v>1.8867924528301886E-2</v>
      </c>
      <c r="BS404" s="9">
        <v>1.8867924528301886E-2</v>
      </c>
      <c r="BT404" s="9">
        <v>1.8867924528301886E-2</v>
      </c>
      <c r="BU404" s="9">
        <v>1.8867924528301886E-2</v>
      </c>
      <c r="BV404" s="9">
        <v>1.8867924528301886E-2</v>
      </c>
      <c r="BW404" s="9">
        <v>1.8867924528301886E-2</v>
      </c>
      <c r="BX404" s="9">
        <v>1.8867924528301886E-2</v>
      </c>
    </row>
    <row r="405" spans="1:76">
      <c r="A405" s="3" t="s">
        <v>66</v>
      </c>
      <c r="B405" t="s">
        <v>4756</v>
      </c>
      <c r="D405" t="s">
        <v>4967</v>
      </c>
      <c r="F405" s="91" t="s">
        <v>4973</v>
      </c>
      <c r="H405" s="3" t="s">
        <v>4984</v>
      </c>
      <c r="I405" s="3"/>
      <c r="J405" s="124"/>
      <c r="K405" s="124"/>
      <c r="M405" s="124"/>
      <c r="X405" s="10">
        <v>1.8867924528301886E-2</v>
      </c>
      <c r="Y405" s="9">
        <v>1.8867924528301886E-2</v>
      </c>
      <c r="Z405" s="9">
        <v>1.8867924528301886E-2</v>
      </c>
      <c r="AA405" s="9">
        <v>1.8867924528301886E-2</v>
      </c>
      <c r="AB405" s="9">
        <v>1.8867924528301886E-2</v>
      </c>
      <c r="AC405" s="9">
        <v>1.8867924528301886E-2</v>
      </c>
      <c r="AD405" s="9">
        <v>1.8867924528301886E-2</v>
      </c>
      <c r="AE405" s="9">
        <v>1.8867924528301886E-2</v>
      </c>
      <c r="AF405" s="9">
        <v>1.8867924528301886E-2</v>
      </c>
      <c r="AG405" s="9">
        <v>1.8867924528301886E-2</v>
      </c>
      <c r="AH405" s="9">
        <v>1.8867924528301886E-2</v>
      </c>
      <c r="AI405" s="9">
        <v>1.8867924528301886E-2</v>
      </c>
      <c r="AJ405" s="9">
        <v>1.8867924528301886E-2</v>
      </c>
      <c r="AK405" s="9">
        <v>1.8867924528301886E-2</v>
      </c>
      <c r="AL405" s="9">
        <v>1.8867924528301886E-2</v>
      </c>
      <c r="AM405" s="9">
        <v>1.8867924528301886E-2</v>
      </c>
      <c r="AN405" s="9">
        <v>1.8867924528301886E-2</v>
      </c>
      <c r="AO405" s="9">
        <v>1.8867924528301886E-2</v>
      </c>
      <c r="AP405" s="9">
        <v>1.8867924528301886E-2</v>
      </c>
      <c r="AQ405" s="9">
        <v>1.8867924528301886E-2</v>
      </c>
      <c r="AR405" s="9">
        <v>1.8867924528301886E-2</v>
      </c>
      <c r="AS405" s="9">
        <v>1.8867924528301886E-2</v>
      </c>
      <c r="AT405" s="9">
        <v>1.8867924528301886E-2</v>
      </c>
      <c r="AU405" s="9">
        <v>1.8867924528301886E-2</v>
      </c>
      <c r="AV405" s="9">
        <v>1.8867924528301886E-2</v>
      </c>
      <c r="AW405" s="9">
        <v>1.8867924528301886E-2</v>
      </c>
      <c r="AX405" s="9">
        <v>1.8867924528301886E-2</v>
      </c>
      <c r="AY405" s="9">
        <v>1.8867924528301886E-2</v>
      </c>
      <c r="AZ405" s="9">
        <v>1.8867924528301886E-2</v>
      </c>
      <c r="BA405" s="9">
        <v>1.8867924528301886E-2</v>
      </c>
      <c r="BB405" s="9">
        <v>1.8867924528301886E-2</v>
      </c>
      <c r="BC405" s="9">
        <v>1.8867924528301886E-2</v>
      </c>
      <c r="BD405" s="9">
        <v>1.8867924528301886E-2</v>
      </c>
      <c r="BE405" s="9">
        <v>1.8867924528301886E-2</v>
      </c>
      <c r="BF405" s="9">
        <v>1.8867924528301886E-2</v>
      </c>
      <c r="BG405" s="9">
        <v>1.8867924528301886E-2</v>
      </c>
      <c r="BH405" s="9">
        <v>1.8867924528301886E-2</v>
      </c>
      <c r="BI405" s="9">
        <v>1.8867924528301886E-2</v>
      </c>
      <c r="BJ405" s="9">
        <v>1.8867924528301886E-2</v>
      </c>
      <c r="BK405" s="9">
        <v>1.8867924528301886E-2</v>
      </c>
      <c r="BL405" s="9">
        <v>1.8867924528301886E-2</v>
      </c>
      <c r="BM405" s="9">
        <v>1.8867924528301886E-2</v>
      </c>
      <c r="BN405" s="9">
        <v>1.8867924528301886E-2</v>
      </c>
      <c r="BO405" s="9">
        <v>1.8867924528301886E-2</v>
      </c>
      <c r="BP405" s="9">
        <v>1.8867924528301886E-2</v>
      </c>
      <c r="BQ405" s="9">
        <v>1.8867924528301886E-2</v>
      </c>
      <c r="BR405" s="9">
        <v>1.8867924528301886E-2</v>
      </c>
      <c r="BS405" s="9">
        <v>1.8867924528301886E-2</v>
      </c>
      <c r="BT405" s="9">
        <v>1.8867924528301886E-2</v>
      </c>
      <c r="BU405" s="9">
        <v>1.8867924528301886E-2</v>
      </c>
      <c r="BV405" s="9">
        <v>1.8867924528301886E-2</v>
      </c>
      <c r="BW405" s="9">
        <v>1.8867924528301886E-2</v>
      </c>
      <c r="BX405" s="9">
        <v>1.8867924528301886E-2</v>
      </c>
    </row>
    <row r="406" spans="1:76">
      <c r="A406" s="3" t="s">
        <v>66</v>
      </c>
      <c r="B406" t="s">
        <v>4759</v>
      </c>
      <c r="D406" t="s">
        <v>4967</v>
      </c>
      <c r="F406" s="91" t="s">
        <v>4973</v>
      </c>
      <c r="H406" s="3" t="s">
        <v>4984</v>
      </c>
      <c r="I406" s="3"/>
      <c r="J406" s="124"/>
      <c r="K406" s="124"/>
      <c r="M406" s="124"/>
      <c r="X406" s="10">
        <v>1.8867924528301886E-2</v>
      </c>
      <c r="Y406" s="9">
        <v>1.8867924528301886E-2</v>
      </c>
      <c r="Z406" s="9">
        <v>1.8867924528301886E-2</v>
      </c>
      <c r="AA406" s="9">
        <v>1.8867924528301886E-2</v>
      </c>
      <c r="AB406" s="9">
        <v>1.8867924528301886E-2</v>
      </c>
      <c r="AC406" s="9">
        <v>1.8867924528301886E-2</v>
      </c>
      <c r="AD406" s="9">
        <v>1.8867924528301886E-2</v>
      </c>
      <c r="AE406" s="9">
        <v>1.8867924528301886E-2</v>
      </c>
      <c r="AF406" s="9">
        <v>1.8867924528301886E-2</v>
      </c>
      <c r="AG406" s="9">
        <v>1.8867924528301886E-2</v>
      </c>
      <c r="AH406" s="9">
        <v>1.8867924528301886E-2</v>
      </c>
      <c r="AI406" s="9">
        <v>1.8867924528301886E-2</v>
      </c>
      <c r="AJ406" s="9">
        <v>1.8867924528301886E-2</v>
      </c>
      <c r="AK406" s="9">
        <v>1.8867924528301886E-2</v>
      </c>
      <c r="AL406" s="9">
        <v>1.8867924528301886E-2</v>
      </c>
      <c r="AM406" s="9">
        <v>1.8867924528301886E-2</v>
      </c>
      <c r="AN406" s="9">
        <v>1.8867924528301886E-2</v>
      </c>
      <c r="AO406" s="9">
        <v>1.8867924528301886E-2</v>
      </c>
      <c r="AP406" s="9">
        <v>1.8867924528301886E-2</v>
      </c>
      <c r="AQ406" s="9">
        <v>1.8867924528301886E-2</v>
      </c>
      <c r="AR406" s="9">
        <v>1.8867924528301886E-2</v>
      </c>
      <c r="AS406" s="9">
        <v>1.8867924528301886E-2</v>
      </c>
      <c r="AT406" s="9">
        <v>1.8867924528301886E-2</v>
      </c>
      <c r="AU406" s="9">
        <v>1.8867924528301886E-2</v>
      </c>
      <c r="AV406" s="9">
        <v>1.8867924528301886E-2</v>
      </c>
      <c r="AW406" s="9">
        <v>1.8867924528301886E-2</v>
      </c>
      <c r="AX406" s="9">
        <v>1.8867924528301886E-2</v>
      </c>
      <c r="AY406" s="9">
        <v>1.8867924528301886E-2</v>
      </c>
      <c r="AZ406" s="9">
        <v>1.8867924528301886E-2</v>
      </c>
      <c r="BA406" s="9">
        <v>1.8867924528301886E-2</v>
      </c>
      <c r="BB406" s="9">
        <v>1.8867924528301886E-2</v>
      </c>
      <c r="BC406" s="9">
        <v>1.8867924528301886E-2</v>
      </c>
      <c r="BD406" s="9">
        <v>1.8867924528301886E-2</v>
      </c>
      <c r="BE406" s="9">
        <v>1.8867924528301886E-2</v>
      </c>
      <c r="BF406" s="9">
        <v>1.8867924528301886E-2</v>
      </c>
      <c r="BG406" s="9">
        <v>1.8867924528301886E-2</v>
      </c>
      <c r="BH406" s="9">
        <v>1.8867924528301886E-2</v>
      </c>
      <c r="BI406" s="9">
        <v>1.8867924528301886E-2</v>
      </c>
      <c r="BJ406" s="9">
        <v>1.8867924528301886E-2</v>
      </c>
      <c r="BK406" s="9">
        <v>1.8867924528301886E-2</v>
      </c>
      <c r="BL406" s="9">
        <v>1.8867924528301886E-2</v>
      </c>
      <c r="BM406" s="9">
        <v>1.8867924528301886E-2</v>
      </c>
      <c r="BN406" s="9">
        <v>1.8867924528301886E-2</v>
      </c>
      <c r="BO406" s="9">
        <v>1.8867924528301886E-2</v>
      </c>
      <c r="BP406" s="9">
        <v>1.8867924528301886E-2</v>
      </c>
      <c r="BQ406" s="9">
        <v>1.8867924528301886E-2</v>
      </c>
      <c r="BR406" s="9">
        <v>1.8867924528301886E-2</v>
      </c>
      <c r="BS406" s="9">
        <v>1.8867924528301886E-2</v>
      </c>
      <c r="BT406" s="9">
        <v>1.8867924528301886E-2</v>
      </c>
      <c r="BU406" s="9">
        <v>1.8867924528301886E-2</v>
      </c>
      <c r="BV406" s="9">
        <v>1.8867924528301886E-2</v>
      </c>
      <c r="BW406" s="9">
        <v>1.8867924528301886E-2</v>
      </c>
      <c r="BX406" s="9">
        <v>1.8867924528301886E-2</v>
      </c>
    </row>
    <row r="407" spans="1:76">
      <c r="A407" s="3" t="s">
        <v>66</v>
      </c>
      <c r="B407" t="s">
        <v>4762</v>
      </c>
      <c r="D407" t="s">
        <v>4967</v>
      </c>
      <c r="F407" s="91" t="s">
        <v>4973</v>
      </c>
      <c r="H407" s="3" t="s">
        <v>4984</v>
      </c>
      <c r="I407" s="3"/>
      <c r="J407" s="124"/>
      <c r="K407" s="124"/>
      <c r="M407" s="124"/>
      <c r="X407" s="10">
        <v>1.8867924528301886E-2</v>
      </c>
      <c r="Y407" s="9">
        <v>1.8867924528301886E-2</v>
      </c>
      <c r="Z407" s="9">
        <v>1.8867924528301886E-2</v>
      </c>
      <c r="AA407" s="9">
        <v>1.8867924528301886E-2</v>
      </c>
      <c r="AB407" s="9">
        <v>1.8867924528301886E-2</v>
      </c>
      <c r="AC407" s="9">
        <v>1.8867924528301886E-2</v>
      </c>
      <c r="AD407" s="9">
        <v>1.8867924528301886E-2</v>
      </c>
      <c r="AE407" s="9">
        <v>1.8867924528301886E-2</v>
      </c>
      <c r="AF407" s="9">
        <v>1.8867924528301886E-2</v>
      </c>
      <c r="AG407" s="9">
        <v>1.8867924528301886E-2</v>
      </c>
      <c r="AH407" s="9">
        <v>1.8867924528301886E-2</v>
      </c>
      <c r="AI407" s="9">
        <v>1.8867924528301886E-2</v>
      </c>
      <c r="AJ407" s="9">
        <v>1.8867924528301886E-2</v>
      </c>
      <c r="AK407" s="9">
        <v>1.8867924528301886E-2</v>
      </c>
      <c r="AL407" s="9">
        <v>1.8867924528301886E-2</v>
      </c>
      <c r="AM407" s="9">
        <v>1.8867924528301886E-2</v>
      </c>
      <c r="AN407" s="9">
        <v>1.8867924528301886E-2</v>
      </c>
      <c r="AO407" s="9">
        <v>1.8867924528301886E-2</v>
      </c>
      <c r="AP407" s="9">
        <v>1.8867924528301886E-2</v>
      </c>
      <c r="AQ407" s="9">
        <v>1.8867924528301886E-2</v>
      </c>
      <c r="AR407" s="9">
        <v>1.8867924528301886E-2</v>
      </c>
      <c r="AS407" s="9">
        <v>1.8867924528301886E-2</v>
      </c>
      <c r="AT407" s="9">
        <v>1.8867924528301886E-2</v>
      </c>
      <c r="AU407" s="9">
        <v>1.8867924528301886E-2</v>
      </c>
      <c r="AV407" s="9">
        <v>1.8867924528301886E-2</v>
      </c>
      <c r="AW407" s="9">
        <v>1.8867924528301886E-2</v>
      </c>
      <c r="AX407" s="9">
        <v>1.8867924528301886E-2</v>
      </c>
      <c r="AY407" s="9">
        <v>1.8867924528301886E-2</v>
      </c>
      <c r="AZ407" s="9">
        <v>1.8867924528301886E-2</v>
      </c>
      <c r="BA407" s="9">
        <v>1.8867924528301886E-2</v>
      </c>
      <c r="BB407" s="9">
        <v>1.8867924528301886E-2</v>
      </c>
      <c r="BC407" s="9">
        <v>1.8867924528301886E-2</v>
      </c>
      <c r="BD407" s="9">
        <v>1.8867924528301886E-2</v>
      </c>
      <c r="BE407" s="9">
        <v>1.8867924528301886E-2</v>
      </c>
      <c r="BF407" s="9">
        <v>1.8867924528301886E-2</v>
      </c>
      <c r="BG407" s="9">
        <v>1.8867924528301886E-2</v>
      </c>
      <c r="BH407" s="9">
        <v>1.8867924528301886E-2</v>
      </c>
      <c r="BI407" s="9">
        <v>1.8867924528301886E-2</v>
      </c>
      <c r="BJ407" s="9">
        <v>1.8867924528301886E-2</v>
      </c>
      <c r="BK407" s="9">
        <v>1.8867924528301886E-2</v>
      </c>
      <c r="BL407" s="9">
        <v>1.8867924528301886E-2</v>
      </c>
      <c r="BM407" s="9">
        <v>1.8867924528301886E-2</v>
      </c>
      <c r="BN407" s="9">
        <v>1.8867924528301886E-2</v>
      </c>
      <c r="BO407" s="9">
        <v>1.8867924528301886E-2</v>
      </c>
      <c r="BP407" s="9">
        <v>1.8867924528301886E-2</v>
      </c>
      <c r="BQ407" s="9">
        <v>1.8867924528301886E-2</v>
      </c>
      <c r="BR407" s="9">
        <v>1.8867924528301886E-2</v>
      </c>
      <c r="BS407" s="9">
        <v>1.8867924528301886E-2</v>
      </c>
      <c r="BT407" s="9">
        <v>1.8867924528301886E-2</v>
      </c>
      <c r="BU407" s="9">
        <v>1.8867924528301886E-2</v>
      </c>
      <c r="BV407" s="9">
        <v>1.8867924528301886E-2</v>
      </c>
      <c r="BW407" s="9">
        <v>1.8867924528301886E-2</v>
      </c>
      <c r="BX407" s="9">
        <v>1.8867924528301886E-2</v>
      </c>
    </row>
    <row r="408" spans="1:76">
      <c r="A408" s="3" t="s">
        <v>66</v>
      </c>
      <c r="B408" t="s">
        <v>4475</v>
      </c>
      <c r="D408" t="s">
        <v>4967</v>
      </c>
      <c r="F408" s="91" t="s">
        <v>4973</v>
      </c>
      <c r="H408" s="3" t="s">
        <v>4984</v>
      </c>
      <c r="I408" s="3"/>
      <c r="J408" s="124"/>
      <c r="K408" s="124"/>
      <c r="M408" s="124"/>
      <c r="X408" s="10">
        <v>1.8867924528301886E-2</v>
      </c>
      <c r="Y408" s="9">
        <v>1.8867924528301886E-2</v>
      </c>
      <c r="Z408" s="9">
        <v>1.8867924528301886E-2</v>
      </c>
      <c r="AA408" s="9">
        <v>1.8867924528301886E-2</v>
      </c>
      <c r="AB408" s="9">
        <v>1.8867924528301886E-2</v>
      </c>
      <c r="AC408" s="9">
        <v>1.8867924528301886E-2</v>
      </c>
      <c r="AD408" s="9">
        <v>1.8867924528301886E-2</v>
      </c>
      <c r="AE408" s="9">
        <v>1.8867924528301886E-2</v>
      </c>
      <c r="AF408" s="9">
        <v>1.8867924528301886E-2</v>
      </c>
      <c r="AG408" s="9">
        <v>1.8867924528301886E-2</v>
      </c>
      <c r="AH408" s="9">
        <v>1.8867924528301886E-2</v>
      </c>
      <c r="AI408" s="9">
        <v>1.8867924528301886E-2</v>
      </c>
      <c r="AJ408" s="9">
        <v>1.8867924528301886E-2</v>
      </c>
      <c r="AK408" s="9">
        <v>1.8867924528301886E-2</v>
      </c>
      <c r="AL408" s="9">
        <v>1.8867924528301886E-2</v>
      </c>
      <c r="AM408" s="9">
        <v>1.8867924528301886E-2</v>
      </c>
      <c r="AN408" s="9">
        <v>1.8867924528301886E-2</v>
      </c>
      <c r="AO408" s="9">
        <v>1.8867924528301886E-2</v>
      </c>
      <c r="AP408" s="9">
        <v>1.8867924528301886E-2</v>
      </c>
      <c r="AQ408" s="9">
        <v>1.8867924528301886E-2</v>
      </c>
      <c r="AR408" s="9">
        <v>1.8867924528301886E-2</v>
      </c>
      <c r="AS408" s="9">
        <v>1.8867924528301886E-2</v>
      </c>
      <c r="AT408" s="9">
        <v>1.8867924528301886E-2</v>
      </c>
      <c r="AU408" s="9">
        <v>1.8867924528301886E-2</v>
      </c>
      <c r="AV408" s="9">
        <v>1.8867924528301886E-2</v>
      </c>
      <c r="AW408" s="9">
        <v>1.8867924528301886E-2</v>
      </c>
      <c r="AX408" s="9">
        <v>1.8867924528301886E-2</v>
      </c>
      <c r="AY408" s="9">
        <v>1.8867924528301886E-2</v>
      </c>
      <c r="AZ408" s="9">
        <v>1.8867924528301886E-2</v>
      </c>
      <c r="BA408" s="9">
        <v>1.8867924528301886E-2</v>
      </c>
      <c r="BB408" s="9">
        <v>1.8867924528301886E-2</v>
      </c>
      <c r="BC408" s="9">
        <v>1.8867924528301886E-2</v>
      </c>
      <c r="BD408" s="9">
        <v>1.8867924528301886E-2</v>
      </c>
      <c r="BE408" s="9">
        <v>1.8867924528301886E-2</v>
      </c>
      <c r="BF408" s="9">
        <v>1.8867924528301886E-2</v>
      </c>
      <c r="BG408" s="9">
        <v>1.8867924528301886E-2</v>
      </c>
      <c r="BH408" s="9">
        <v>1.8867924528301886E-2</v>
      </c>
      <c r="BI408" s="9">
        <v>1.8867924528301886E-2</v>
      </c>
      <c r="BJ408" s="9">
        <v>1.8867924528301886E-2</v>
      </c>
      <c r="BK408" s="9">
        <v>1.8867924528301886E-2</v>
      </c>
      <c r="BL408" s="9">
        <v>1.8867924528301886E-2</v>
      </c>
      <c r="BM408" s="9">
        <v>1.8867924528301886E-2</v>
      </c>
      <c r="BN408" s="9">
        <v>1.8867924528301886E-2</v>
      </c>
      <c r="BO408" s="9">
        <v>1.8867924528301886E-2</v>
      </c>
      <c r="BP408" s="9">
        <v>1.8867924528301886E-2</v>
      </c>
      <c r="BQ408" s="9">
        <v>1.8867924528301886E-2</v>
      </c>
      <c r="BR408" s="9">
        <v>1.8867924528301886E-2</v>
      </c>
      <c r="BS408" s="9">
        <v>1.8867924528301886E-2</v>
      </c>
      <c r="BT408" s="9">
        <v>1.8867924528301886E-2</v>
      </c>
      <c r="BU408" s="9">
        <v>1.8867924528301886E-2</v>
      </c>
      <c r="BV408" s="9">
        <v>1.8867924528301886E-2</v>
      </c>
      <c r="BW408" s="9">
        <v>1.8867924528301886E-2</v>
      </c>
      <c r="BX408" s="9">
        <v>1.8867924528301886E-2</v>
      </c>
    </row>
    <row r="409" spans="1:76">
      <c r="A409" s="3" t="s">
        <v>66</v>
      </c>
      <c r="B409" t="s">
        <v>4272</v>
      </c>
      <c r="D409" t="s">
        <v>4967</v>
      </c>
      <c r="F409" s="91" t="s">
        <v>4973</v>
      </c>
      <c r="H409" s="3" t="s">
        <v>4984</v>
      </c>
      <c r="I409" s="3"/>
      <c r="J409" s="124"/>
      <c r="K409" s="124"/>
      <c r="M409" s="124"/>
      <c r="X409" s="10">
        <v>1.8867924528301886E-2</v>
      </c>
      <c r="Y409" s="9">
        <v>1.8867924528301886E-2</v>
      </c>
      <c r="Z409" s="9">
        <v>1.8867924528301886E-2</v>
      </c>
      <c r="AA409" s="9">
        <v>1.8867924528301886E-2</v>
      </c>
      <c r="AB409" s="9">
        <v>1.8867924528301886E-2</v>
      </c>
      <c r="AC409" s="9">
        <v>1.8867924528301886E-2</v>
      </c>
      <c r="AD409" s="9">
        <v>1.8867924528301886E-2</v>
      </c>
      <c r="AE409" s="9">
        <v>1.8867924528301886E-2</v>
      </c>
      <c r="AF409" s="9">
        <v>1.8867924528301886E-2</v>
      </c>
      <c r="AG409" s="9">
        <v>1.8867924528301886E-2</v>
      </c>
      <c r="AH409" s="9">
        <v>1.8867924528301886E-2</v>
      </c>
      <c r="AI409" s="9">
        <v>1.8867924528301886E-2</v>
      </c>
      <c r="AJ409" s="9">
        <v>1.8867924528301886E-2</v>
      </c>
      <c r="AK409" s="9">
        <v>1.8867924528301886E-2</v>
      </c>
      <c r="AL409" s="9">
        <v>1.8867924528301886E-2</v>
      </c>
      <c r="AM409" s="9">
        <v>1.8867924528301886E-2</v>
      </c>
      <c r="AN409" s="9">
        <v>1.8867924528301886E-2</v>
      </c>
      <c r="AO409" s="9">
        <v>1.8867924528301886E-2</v>
      </c>
      <c r="AP409" s="9">
        <v>1.8867924528301886E-2</v>
      </c>
      <c r="AQ409" s="9">
        <v>1.8867924528301886E-2</v>
      </c>
      <c r="AR409" s="9">
        <v>1.8867924528301886E-2</v>
      </c>
      <c r="AS409" s="9">
        <v>1.8867924528301886E-2</v>
      </c>
      <c r="AT409" s="9">
        <v>1.8867924528301886E-2</v>
      </c>
      <c r="AU409" s="9">
        <v>1.8867924528301886E-2</v>
      </c>
      <c r="AV409" s="9">
        <v>1.8867924528301886E-2</v>
      </c>
      <c r="AW409" s="9">
        <v>1.8867924528301886E-2</v>
      </c>
      <c r="AX409" s="9">
        <v>1.8867924528301886E-2</v>
      </c>
      <c r="AY409" s="9">
        <v>1.8867924528301886E-2</v>
      </c>
      <c r="AZ409" s="9">
        <v>1.8867924528301886E-2</v>
      </c>
      <c r="BA409" s="9">
        <v>1.8867924528301886E-2</v>
      </c>
      <c r="BB409" s="9">
        <v>1.8867924528301886E-2</v>
      </c>
      <c r="BC409" s="9">
        <v>1.8867924528301886E-2</v>
      </c>
      <c r="BD409" s="9">
        <v>1.8867924528301886E-2</v>
      </c>
      <c r="BE409" s="9">
        <v>1.8867924528301886E-2</v>
      </c>
      <c r="BF409" s="9">
        <v>1.8867924528301886E-2</v>
      </c>
      <c r="BG409" s="9">
        <v>1.8867924528301886E-2</v>
      </c>
      <c r="BH409" s="9">
        <v>1.8867924528301886E-2</v>
      </c>
      <c r="BI409" s="9">
        <v>1.8867924528301886E-2</v>
      </c>
      <c r="BJ409" s="9">
        <v>1.8867924528301886E-2</v>
      </c>
      <c r="BK409" s="9">
        <v>1.8867924528301886E-2</v>
      </c>
      <c r="BL409" s="9">
        <v>1.8867924528301886E-2</v>
      </c>
      <c r="BM409" s="9">
        <v>1.8867924528301886E-2</v>
      </c>
      <c r="BN409" s="9">
        <v>1.8867924528301886E-2</v>
      </c>
      <c r="BO409" s="9">
        <v>1.8867924528301886E-2</v>
      </c>
      <c r="BP409" s="9">
        <v>1.8867924528301886E-2</v>
      </c>
      <c r="BQ409" s="9">
        <v>1.8867924528301886E-2</v>
      </c>
      <c r="BR409" s="9">
        <v>1.8867924528301886E-2</v>
      </c>
      <c r="BS409" s="9">
        <v>1.8867924528301886E-2</v>
      </c>
      <c r="BT409" s="9">
        <v>1.8867924528301886E-2</v>
      </c>
      <c r="BU409" s="9">
        <v>1.8867924528301886E-2</v>
      </c>
      <c r="BV409" s="9">
        <v>1.8867924528301886E-2</v>
      </c>
      <c r="BW409" s="9">
        <v>1.8867924528301886E-2</v>
      </c>
      <c r="BX409" s="9">
        <v>1.8867924528301886E-2</v>
      </c>
    </row>
    <row r="410" spans="1:76">
      <c r="A410" s="3" t="s">
        <v>66</v>
      </c>
      <c r="B410" t="s">
        <v>4355</v>
      </c>
      <c r="D410" t="s">
        <v>4967</v>
      </c>
      <c r="F410" s="91" t="s">
        <v>4973</v>
      </c>
      <c r="H410" s="3" t="s">
        <v>4984</v>
      </c>
      <c r="I410" s="3"/>
      <c r="J410" s="124"/>
      <c r="K410" s="124"/>
      <c r="M410" s="124"/>
      <c r="X410" s="10">
        <v>1.8867924528301886E-2</v>
      </c>
      <c r="Y410" s="9">
        <v>1.8867924528301886E-2</v>
      </c>
      <c r="Z410" s="9">
        <v>1.8867924528301886E-2</v>
      </c>
      <c r="AA410" s="9">
        <v>1.8867924528301886E-2</v>
      </c>
      <c r="AB410" s="9">
        <v>1.8867924528301886E-2</v>
      </c>
      <c r="AC410" s="9">
        <v>1.8867924528301886E-2</v>
      </c>
      <c r="AD410" s="9">
        <v>1.8867924528301886E-2</v>
      </c>
      <c r="AE410" s="9">
        <v>1.8867924528301886E-2</v>
      </c>
      <c r="AF410" s="9">
        <v>1.8867924528301886E-2</v>
      </c>
      <c r="AG410" s="9">
        <v>1.8867924528301886E-2</v>
      </c>
      <c r="AH410" s="9">
        <v>1.8867924528301886E-2</v>
      </c>
      <c r="AI410" s="9">
        <v>1.8867924528301886E-2</v>
      </c>
      <c r="AJ410" s="9">
        <v>1.8867924528301886E-2</v>
      </c>
      <c r="AK410" s="9">
        <v>1.8867924528301886E-2</v>
      </c>
      <c r="AL410" s="9">
        <v>1.8867924528301886E-2</v>
      </c>
      <c r="AM410" s="9">
        <v>1.8867924528301886E-2</v>
      </c>
      <c r="AN410" s="9">
        <v>1.8867924528301886E-2</v>
      </c>
      <c r="AO410" s="9">
        <v>1.8867924528301886E-2</v>
      </c>
      <c r="AP410" s="9">
        <v>1.8867924528301886E-2</v>
      </c>
      <c r="AQ410" s="9">
        <v>1.8867924528301886E-2</v>
      </c>
      <c r="AR410" s="9">
        <v>1.8867924528301886E-2</v>
      </c>
      <c r="AS410" s="9">
        <v>1.8867924528301886E-2</v>
      </c>
      <c r="AT410" s="9">
        <v>1.8867924528301886E-2</v>
      </c>
      <c r="AU410" s="9">
        <v>1.8867924528301886E-2</v>
      </c>
      <c r="AV410" s="9">
        <v>1.8867924528301886E-2</v>
      </c>
      <c r="AW410" s="9">
        <v>1.8867924528301886E-2</v>
      </c>
      <c r="AX410" s="9">
        <v>1.8867924528301886E-2</v>
      </c>
      <c r="AY410" s="9">
        <v>1.8867924528301886E-2</v>
      </c>
      <c r="AZ410" s="9">
        <v>1.8867924528301886E-2</v>
      </c>
      <c r="BA410" s="9">
        <v>1.8867924528301886E-2</v>
      </c>
      <c r="BB410" s="9">
        <v>1.8867924528301886E-2</v>
      </c>
      <c r="BC410" s="9">
        <v>1.8867924528301886E-2</v>
      </c>
      <c r="BD410" s="9">
        <v>1.8867924528301886E-2</v>
      </c>
      <c r="BE410" s="9">
        <v>1.8867924528301886E-2</v>
      </c>
      <c r="BF410" s="9">
        <v>1.8867924528301886E-2</v>
      </c>
      <c r="BG410" s="9">
        <v>1.8867924528301886E-2</v>
      </c>
      <c r="BH410" s="9">
        <v>1.8867924528301886E-2</v>
      </c>
      <c r="BI410" s="9">
        <v>1.8867924528301886E-2</v>
      </c>
      <c r="BJ410" s="9">
        <v>1.8867924528301886E-2</v>
      </c>
      <c r="BK410" s="9">
        <v>1.8867924528301886E-2</v>
      </c>
      <c r="BL410" s="9">
        <v>1.8867924528301886E-2</v>
      </c>
      <c r="BM410" s="9">
        <v>1.8867924528301886E-2</v>
      </c>
      <c r="BN410" s="9">
        <v>1.8867924528301886E-2</v>
      </c>
      <c r="BO410" s="9">
        <v>1.8867924528301886E-2</v>
      </c>
      <c r="BP410" s="9">
        <v>1.8867924528301886E-2</v>
      </c>
      <c r="BQ410" s="9">
        <v>1.8867924528301886E-2</v>
      </c>
      <c r="BR410" s="9">
        <v>1.8867924528301886E-2</v>
      </c>
      <c r="BS410" s="9">
        <v>1.8867924528301886E-2</v>
      </c>
      <c r="BT410" s="9">
        <v>1.8867924528301886E-2</v>
      </c>
      <c r="BU410" s="9">
        <v>1.8867924528301886E-2</v>
      </c>
      <c r="BV410" s="9">
        <v>1.8867924528301886E-2</v>
      </c>
      <c r="BW410" s="9">
        <v>1.8867924528301886E-2</v>
      </c>
      <c r="BX410" s="9">
        <v>1.8867924528301886E-2</v>
      </c>
    </row>
    <row r="411" spans="1:76">
      <c r="A411" s="3" t="s">
        <v>66</v>
      </c>
      <c r="B411" t="s">
        <v>4413</v>
      </c>
      <c r="D411" t="s">
        <v>4967</v>
      </c>
      <c r="F411" s="91" t="s">
        <v>4973</v>
      </c>
      <c r="H411" s="3" t="s">
        <v>4984</v>
      </c>
      <c r="I411" s="3"/>
      <c r="J411" s="124"/>
      <c r="K411" s="124"/>
      <c r="M411" s="124"/>
      <c r="X411" s="10">
        <v>1.8867924528301886E-2</v>
      </c>
      <c r="Y411" s="9">
        <v>1.8867924528301886E-2</v>
      </c>
      <c r="Z411" s="9">
        <v>1.8867924528301886E-2</v>
      </c>
      <c r="AA411" s="9">
        <v>1.8867924528301886E-2</v>
      </c>
      <c r="AB411" s="9">
        <v>1.8867924528301886E-2</v>
      </c>
      <c r="AC411" s="9">
        <v>1.8867924528301886E-2</v>
      </c>
      <c r="AD411" s="9">
        <v>1.8867924528301886E-2</v>
      </c>
      <c r="AE411" s="9">
        <v>1.8867924528301886E-2</v>
      </c>
      <c r="AF411" s="9">
        <v>1.8867924528301886E-2</v>
      </c>
      <c r="AG411" s="9">
        <v>1.8867924528301886E-2</v>
      </c>
      <c r="AH411" s="9">
        <v>1.8867924528301886E-2</v>
      </c>
      <c r="AI411" s="9">
        <v>1.8867924528301886E-2</v>
      </c>
      <c r="AJ411" s="9">
        <v>1.8867924528301886E-2</v>
      </c>
      <c r="AK411" s="9">
        <v>1.8867924528301886E-2</v>
      </c>
      <c r="AL411" s="9">
        <v>1.8867924528301886E-2</v>
      </c>
      <c r="AM411" s="9">
        <v>1.8867924528301886E-2</v>
      </c>
      <c r="AN411" s="9">
        <v>1.8867924528301886E-2</v>
      </c>
      <c r="AO411" s="9">
        <v>1.8867924528301886E-2</v>
      </c>
      <c r="AP411" s="9">
        <v>1.8867924528301886E-2</v>
      </c>
      <c r="AQ411" s="9">
        <v>1.8867924528301886E-2</v>
      </c>
      <c r="AR411" s="9">
        <v>1.8867924528301886E-2</v>
      </c>
      <c r="AS411" s="9">
        <v>1.8867924528301886E-2</v>
      </c>
      <c r="AT411" s="9">
        <v>1.8867924528301886E-2</v>
      </c>
      <c r="AU411" s="9">
        <v>1.8867924528301886E-2</v>
      </c>
      <c r="AV411" s="9">
        <v>1.8867924528301886E-2</v>
      </c>
      <c r="AW411" s="9">
        <v>1.8867924528301886E-2</v>
      </c>
      <c r="AX411" s="9">
        <v>1.8867924528301886E-2</v>
      </c>
      <c r="AY411" s="9">
        <v>1.8867924528301886E-2</v>
      </c>
      <c r="AZ411" s="9">
        <v>1.8867924528301886E-2</v>
      </c>
      <c r="BA411" s="9">
        <v>1.8867924528301886E-2</v>
      </c>
      <c r="BB411" s="9">
        <v>1.8867924528301886E-2</v>
      </c>
      <c r="BC411" s="9">
        <v>1.8867924528301886E-2</v>
      </c>
      <c r="BD411" s="9">
        <v>1.8867924528301886E-2</v>
      </c>
      <c r="BE411" s="9">
        <v>1.8867924528301886E-2</v>
      </c>
      <c r="BF411" s="9">
        <v>1.8867924528301886E-2</v>
      </c>
      <c r="BG411" s="9">
        <v>1.8867924528301886E-2</v>
      </c>
      <c r="BH411" s="9">
        <v>1.8867924528301886E-2</v>
      </c>
      <c r="BI411" s="9">
        <v>1.8867924528301886E-2</v>
      </c>
      <c r="BJ411" s="9">
        <v>1.8867924528301886E-2</v>
      </c>
      <c r="BK411" s="9">
        <v>1.8867924528301886E-2</v>
      </c>
      <c r="BL411" s="9">
        <v>1.8867924528301886E-2</v>
      </c>
      <c r="BM411" s="9">
        <v>1.8867924528301886E-2</v>
      </c>
      <c r="BN411" s="9">
        <v>1.8867924528301886E-2</v>
      </c>
      <c r="BO411" s="9">
        <v>1.8867924528301886E-2</v>
      </c>
      <c r="BP411" s="9">
        <v>1.8867924528301886E-2</v>
      </c>
      <c r="BQ411" s="9">
        <v>1.8867924528301886E-2</v>
      </c>
      <c r="BR411" s="9">
        <v>1.8867924528301886E-2</v>
      </c>
      <c r="BS411" s="9">
        <v>1.8867924528301886E-2</v>
      </c>
      <c r="BT411" s="9">
        <v>1.8867924528301886E-2</v>
      </c>
      <c r="BU411" s="9">
        <v>1.8867924528301886E-2</v>
      </c>
      <c r="BV411" s="9">
        <v>1.8867924528301886E-2</v>
      </c>
      <c r="BW411" s="9">
        <v>1.8867924528301886E-2</v>
      </c>
      <c r="BX411" s="9">
        <v>1.8867924528301886E-2</v>
      </c>
    </row>
    <row r="412" spans="1:76">
      <c r="A412" s="3" t="s">
        <v>66</v>
      </c>
      <c r="B412" t="s">
        <v>4396</v>
      </c>
      <c r="D412" t="s">
        <v>4967</v>
      </c>
      <c r="F412" s="91" t="s">
        <v>4973</v>
      </c>
      <c r="H412" s="3" t="s">
        <v>4984</v>
      </c>
      <c r="I412" s="3"/>
      <c r="J412" s="124"/>
      <c r="K412" s="124"/>
      <c r="M412" s="124"/>
      <c r="X412" s="10">
        <v>1.8867924528301886E-2</v>
      </c>
      <c r="Y412" s="9">
        <v>1.8867924528301886E-2</v>
      </c>
      <c r="Z412" s="9">
        <v>1.8867924528301886E-2</v>
      </c>
      <c r="AA412" s="9">
        <v>1.8867924528301886E-2</v>
      </c>
      <c r="AB412" s="9">
        <v>1.8867924528301886E-2</v>
      </c>
      <c r="AC412" s="9">
        <v>1.8867924528301886E-2</v>
      </c>
      <c r="AD412" s="9">
        <v>1.8867924528301886E-2</v>
      </c>
      <c r="AE412" s="9">
        <v>1.8867924528301886E-2</v>
      </c>
      <c r="AF412" s="9">
        <v>1.8867924528301886E-2</v>
      </c>
      <c r="AG412" s="9">
        <v>1.8867924528301886E-2</v>
      </c>
      <c r="AH412" s="9">
        <v>1.8867924528301886E-2</v>
      </c>
      <c r="AI412" s="9">
        <v>1.8867924528301886E-2</v>
      </c>
      <c r="AJ412" s="9">
        <v>1.8867924528301886E-2</v>
      </c>
      <c r="AK412" s="9">
        <v>1.8867924528301886E-2</v>
      </c>
      <c r="AL412" s="9">
        <v>1.8867924528301886E-2</v>
      </c>
      <c r="AM412" s="9">
        <v>1.8867924528301886E-2</v>
      </c>
      <c r="AN412" s="9">
        <v>1.8867924528301886E-2</v>
      </c>
      <c r="AO412" s="9">
        <v>1.8867924528301886E-2</v>
      </c>
      <c r="AP412" s="9">
        <v>1.8867924528301886E-2</v>
      </c>
      <c r="AQ412" s="9">
        <v>1.8867924528301886E-2</v>
      </c>
      <c r="AR412" s="9">
        <v>1.8867924528301886E-2</v>
      </c>
      <c r="AS412" s="9">
        <v>1.8867924528301886E-2</v>
      </c>
      <c r="AT412" s="9">
        <v>1.8867924528301886E-2</v>
      </c>
      <c r="AU412" s="9">
        <v>1.8867924528301886E-2</v>
      </c>
      <c r="AV412" s="9">
        <v>1.8867924528301886E-2</v>
      </c>
      <c r="AW412" s="9">
        <v>1.8867924528301886E-2</v>
      </c>
      <c r="AX412" s="9">
        <v>1.8867924528301886E-2</v>
      </c>
      <c r="AY412" s="9">
        <v>1.8867924528301886E-2</v>
      </c>
      <c r="AZ412" s="9">
        <v>1.8867924528301886E-2</v>
      </c>
      <c r="BA412" s="9">
        <v>1.8867924528301886E-2</v>
      </c>
      <c r="BB412" s="9">
        <v>1.8867924528301886E-2</v>
      </c>
      <c r="BC412" s="9">
        <v>1.8867924528301886E-2</v>
      </c>
      <c r="BD412" s="9">
        <v>1.8867924528301886E-2</v>
      </c>
      <c r="BE412" s="9">
        <v>1.8867924528301886E-2</v>
      </c>
      <c r="BF412" s="9">
        <v>1.8867924528301886E-2</v>
      </c>
      <c r="BG412" s="9">
        <v>1.8867924528301886E-2</v>
      </c>
      <c r="BH412" s="9">
        <v>1.8867924528301886E-2</v>
      </c>
      <c r="BI412" s="9">
        <v>1.8867924528301886E-2</v>
      </c>
      <c r="BJ412" s="9">
        <v>1.8867924528301886E-2</v>
      </c>
      <c r="BK412" s="9">
        <v>1.8867924528301886E-2</v>
      </c>
      <c r="BL412" s="9">
        <v>1.8867924528301886E-2</v>
      </c>
      <c r="BM412" s="9">
        <v>1.8867924528301886E-2</v>
      </c>
      <c r="BN412" s="9">
        <v>1.8867924528301886E-2</v>
      </c>
      <c r="BO412" s="9">
        <v>1.8867924528301886E-2</v>
      </c>
      <c r="BP412" s="9">
        <v>1.8867924528301886E-2</v>
      </c>
      <c r="BQ412" s="9">
        <v>1.8867924528301886E-2</v>
      </c>
      <c r="BR412" s="9">
        <v>1.8867924528301886E-2</v>
      </c>
      <c r="BS412" s="9">
        <v>1.8867924528301886E-2</v>
      </c>
      <c r="BT412" s="9">
        <v>1.8867924528301886E-2</v>
      </c>
      <c r="BU412" s="9">
        <v>1.8867924528301886E-2</v>
      </c>
      <c r="BV412" s="9">
        <v>1.8867924528301886E-2</v>
      </c>
      <c r="BW412" s="9">
        <v>1.8867924528301886E-2</v>
      </c>
      <c r="BX412" s="9">
        <v>1.8867924528301886E-2</v>
      </c>
    </row>
    <row r="413" spans="1:76">
      <c r="A413" s="3" t="s">
        <v>66</v>
      </c>
      <c r="B413" t="s">
        <v>4279</v>
      </c>
      <c r="D413" t="s">
        <v>4967</v>
      </c>
      <c r="F413" s="91" t="s">
        <v>4973</v>
      </c>
      <c r="H413" s="3" t="s">
        <v>4984</v>
      </c>
      <c r="I413" s="3"/>
      <c r="J413" s="124"/>
      <c r="K413" s="124"/>
      <c r="M413" s="124"/>
      <c r="X413" s="10">
        <v>1.8867924528301886E-2</v>
      </c>
      <c r="Y413" s="9">
        <v>1.8867924528301886E-2</v>
      </c>
      <c r="Z413" s="9">
        <v>1.8867924528301886E-2</v>
      </c>
      <c r="AA413" s="9">
        <v>1.8867924528301886E-2</v>
      </c>
      <c r="AB413" s="9">
        <v>1.8867924528301886E-2</v>
      </c>
      <c r="AC413" s="9">
        <v>1.8867924528301886E-2</v>
      </c>
      <c r="AD413" s="9">
        <v>1.8867924528301886E-2</v>
      </c>
      <c r="AE413" s="9">
        <v>1.8867924528301886E-2</v>
      </c>
      <c r="AF413" s="9">
        <v>1.8867924528301886E-2</v>
      </c>
      <c r="AG413" s="9">
        <v>1.8867924528301886E-2</v>
      </c>
      <c r="AH413" s="9">
        <v>1.8867924528301886E-2</v>
      </c>
      <c r="AI413" s="9">
        <v>1.8867924528301886E-2</v>
      </c>
      <c r="AJ413" s="9">
        <v>1.8867924528301886E-2</v>
      </c>
      <c r="AK413" s="9">
        <v>1.8867924528301886E-2</v>
      </c>
      <c r="AL413" s="9">
        <v>1.8867924528301886E-2</v>
      </c>
      <c r="AM413" s="9">
        <v>1.8867924528301886E-2</v>
      </c>
      <c r="AN413" s="9">
        <v>1.8867924528301886E-2</v>
      </c>
      <c r="AO413" s="9">
        <v>1.8867924528301886E-2</v>
      </c>
      <c r="AP413" s="9">
        <v>1.8867924528301886E-2</v>
      </c>
      <c r="AQ413" s="9">
        <v>1.8867924528301886E-2</v>
      </c>
      <c r="AR413" s="9">
        <v>1.8867924528301886E-2</v>
      </c>
      <c r="AS413" s="9">
        <v>1.8867924528301886E-2</v>
      </c>
      <c r="AT413" s="9">
        <v>1.8867924528301886E-2</v>
      </c>
      <c r="AU413" s="9">
        <v>1.8867924528301886E-2</v>
      </c>
      <c r="AV413" s="9">
        <v>1.8867924528301886E-2</v>
      </c>
      <c r="AW413" s="9">
        <v>1.8867924528301886E-2</v>
      </c>
      <c r="AX413" s="9">
        <v>1.8867924528301886E-2</v>
      </c>
      <c r="AY413" s="9">
        <v>1.8867924528301886E-2</v>
      </c>
      <c r="AZ413" s="9">
        <v>1.8867924528301886E-2</v>
      </c>
      <c r="BA413" s="9">
        <v>1.8867924528301886E-2</v>
      </c>
      <c r="BB413" s="9">
        <v>1.8867924528301886E-2</v>
      </c>
      <c r="BC413" s="9">
        <v>1.8867924528301886E-2</v>
      </c>
      <c r="BD413" s="9">
        <v>1.8867924528301886E-2</v>
      </c>
      <c r="BE413" s="9">
        <v>1.8867924528301886E-2</v>
      </c>
      <c r="BF413" s="9">
        <v>1.8867924528301886E-2</v>
      </c>
      <c r="BG413" s="9">
        <v>1.8867924528301886E-2</v>
      </c>
      <c r="BH413" s="9">
        <v>1.8867924528301886E-2</v>
      </c>
      <c r="BI413" s="9">
        <v>1.8867924528301886E-2</v>
      </c>
      <c r="BJ413" s="9">
        <v>1.8867924528301886E-2</v>
      </c>
      <c r="BK413" s="9">
        <v>1.8867924528301886E-2</v>
      </c>
      <c r="BL413" s="9">
        <v>1.8867924528301886E-2</v>
      </c>
      <c r="BM413" s="9">
        <v>1.8867924528301886E-2</v>
      </c>
      <c r="BN413" s="9">
        <v>1.8867924528301886E-2</v>
      </c>
      <c r="BO413" s="9">
        <v>1.8867924528301886E-2</v>
      </c>
      <c r="BP413" s="9">
        <v>1.8867924528301886E-2</v>
      </c>
      <c r="BQ413" s="9">
        <v>1.8867924528301886E-2</v>
      </c>
      <c r="BR413" s="9">
        <v>1.8867924528301886E-2</v>
      </c>
      <c r="BS413" s="9">
        <v>1.8867924528301886E-2</v>
      </c>
      <c r="BT413" s="9">
        <v>1.8867924528301886E-2</v>
      </c>
      <c r="BU413" s="9">
        <v>1.8867924528301886E-2</v>
      </c>
      <c r="BV413" s="9">
        <v>1.8867924528301886E-2</v>
      </c>
      <c r="BW413" s="9">
        <v>1.8867924528301886E-2</v>
      </c>
      <c r="BX413" s="9">
        <v>1.8867924528301886E-2</v>
      </c>
    </row>
    <row r="414" spans="1:76">
      <c r="A414" s="3" t="s">
        <v>66</v>
      </c>
      <c r="B414" t="s">
        <v>4353</v>
      </c>
      <c r="D414" t="s">
        <v>4967</v>
      </c>
      <c r="F414" s="91" t="s">
        <v>4973</v>
      </c>
      <c r="H414" s="3" t="s">
        <v>4984</v>
      </c>
      <c r="I414" s="3"/>
      <c r="J414" s="124"/>
      <c r="K414" s="124"/>
      <c r="M414" s="124"/>
      <c r="X414" s="10">
        <v>1.8867924528301886E-2</v>
      </c>
      <c r="Y414" s="9">
        <v>1.8867924528301886E-2</v>
      </c>
      <c r="Z414" s="9">
        <v>1.8867924528301886E-2</v>
      </c>
      <c r="AA414" s="9">
        <v>1.8867924528301886E-2</v>
      </c>
      <c r="AB414" s="9">
        <v>1.8867924528301886E-2</v>
      </c>
      <c r="AC414" s="9">
        <v>1.8867924528301886E-2</v>
      </c>
      <c r="AD414" s="9">
        <v>1.8867924528301886E-2</v>
      </c>
      <c r="AE414" s="9">
        <v>1.8867924528301886E-2</v>
      </c>
      <c r="AF414" s="9">
        <v>1.8867924528301886E-2</v>
      </c>
      <c r="AG414" s="9">
        <v>1.8867924528301886E-2</v>
      </c>
      <c r="AH414" s="9">
        <v>1.8867924528301886E-2</v>
      </c>
      <c r="AI414" s="9">
        <v>1.8867924528301886E-2</v>
      </c>
      <c r="AJ414" s="9">
        <v>1.8867924528301886E-2</v>
      </c>
      <c r="AK414" s="9">
        <v>1.8867924528301886E-2</v>
      </c>
      <c r="AL414" s="9">
        <v>1.8867924528301886E-2</v>
      </c>
      <c r="AM414" s="9">
        <v>1.8867924528301886E-2</v>
      </c>
      <c r="AN414" s="9">
        <v>1.8867924528301886E-2</v>
      </c>
      <c r="AO414" s="9">
        <v>1.8867924528301886E-2</v>
      </c>
      <c r="AP414" s="9">
        <v>1.8867924528301886E-2</v>
      </c>
      <c r="AQ414" s="9">
        <v>1.8867924528301886E-2</v>
      </c>
      <c r="AR414" s="9">
        <v>1.8867924528301886E-2</v>
      </c>
      <c r="AS414" s="9">
        <v>1.8867924528301886E-2</v>
      </c>
      <c r="AT414" s="9">
        <v>1.8867924528301886E-2</v>
      </c>
      <c r="AU414" s="9">
        <v>1.8867924528301886E-2</v>
      </c>
      <c r="AV414" s="9">
        <v>1.8867924528301886E-2</v>
      </c>
      <c r="AW414" s="9">
        <v>1.8867924528301886E-2</v>
      </c>
      <c r="AX414" s="9">
        <v>1.8867924528301886E-2</v>
      </c>
      <c r="AY414" s="9">
        <v>1.8867924528301886E-2</v>
      </c>
      <c r="AZ414" s="9">
        <v>1.8867924528301886E-2</v>
      </c>
      <c r="BA414" s="9">
        <v>1.8867924528301886E-2</v>
      </c>
      <c r="BB414" s="9">
        <v>1.8867924528301886E-2</v>
      </c>
      <c r="BC414" s="9">
        <v>1.8867924528301886E-2</v>
      </c>
      <c r="BD414" s="9">
        <v>1.8867924528301886E-2</v>
      </c>
      <c r="BE414" s="9">
        <v>1.8867924528301886E-2</v>
      </c>
      <c r="BF414" s="9">
        <v>1.8867924528301886E-2</v>
      </c>
      <c r="BG414" s="9">
        <v>1.8867924528301886E-2</v>
      </c>
      <c r="BH414" s="9">
        <v>1.8867924528301886E-2</v>
      </c>
      <c r="BI414" s="9">
        <v>1.8867924528301886E-2</v>
      </c>
      <c r="BJ414" s="9">
        <v>1.8867924528301886E-2</v>
      </c>
      <c r="BK414" s="9">
        <v>1.8867924528301886E-2</v>
      </c>
      <c r="BL414" s="9">
        <v>1.8867924528301886E-2</v>
      </c>
      <c r="BM414" s="9">
        <v>1.8867924528301886E-2</v>
      </c>
      <c r="BN414" s="9">
        <v>1.8867924528301886E-2</v>
      </c>
      <c r="BO414" s="9">
        <v>1.8867924528301886E-2</v>
      </c>
      <c r="BP414" s="9">
        <v>1.8867924528301886E-2</v>
      </c>
      <c r="BQ414" s="9">
        <v>1.8867924528301886E-2</v>
      </c>
      <c r="BR414" s="9">
        <v>1.8867924528301886E-2</v>
      </c>
      <c r="BS414" s="9">
        <v>1.8867924528301886E-2</v>
      </c>
      <c r="BT414" s="9">
        <v>1.8867924528301886E-2</v>
      </c>
      <c r="BU414" s="9">
        <v>1.8867924528301886E-2</v>
      </c>
      <c r="BV414" s="9">
        <v>1.8867924528301886E-2</v>
      </c>
      <c r="BW414" s="9">
        <v>1.8867924528301886E-2</v>
      </c>
      <c r="BX414" s="9">
        <v>1.8867924528301886E-2</v>
      </c>
    </row>
    <row r="415" spans="1:76">
      <c r="A415" s="3" t="s">
        <v>66</v>
      </c>
      <c r="B415" t="s">
        <v>4594</v>
      </c>
      <c r="D415" t="s">
        <v>4967</v>
      </c>
      <c r="F415" s="91" t="s">
        <v>4973</v>
      </c>
      <c r="H415" s="3" t="s">
        <v>4984</v>
      </c>
      <c r="I415" s="3"/>
      <c r="J415" s="124"/>
      <c r="K415" s="124"/>
      <c r="M415" s="124"/>
      <c r="X415" s="10">
        <v>1.8867924528301886E-2</v>
      </c>
      <c r="Y415" s="9">
        <v>1.8867924528301886E-2</v>
      </c>
      <c r="Z415" s="9">
        <v>1.8867924528301886E-2</v>
      </c>
      <c r="AA415" s="9">
        <v>1.8867924528301886E-2</v>
      </c>
      <c r="AB415" s="9">
        <v>1.8867924528301886E-2</v>
      </c>
      <c r="AC415" s="9">
        <v>1.8867924528301886E-2</v>
      </c>
      <c r="AD415" s="9">
        <v>1.8867924528301886E-2</v>
      </c>
      <c r="AE415" s="9">
        <v>1.8867924528301886E-2</v>
      </c>
      <c r="AF415" s="9">
        <v>1.8867924528301886E-2</v>
      </c>
      <c r="AG415" s="9">
        <v>1.8867924528301886E-2</v>
      </c>
      <c r="AH415" s="9">
        <v>1.8867924528301886E-2</v>
      </c>
      <c r="AI415" s="9">
        <v>1.8867924528301886E-2</v>
      </c>
      <c r="AJ415" s="9">
        <v>1.8867924528301886E-2</v>
      </c>
      <c r="AK415" s="9">
        <v>1.8867924528301886E-2</v>
      </c>
      <c r="AL415" s="9">
        <v>1.8867924528301886E-2</v>
      </c>
      <c r="AM415" s="9">
        <v>1.8867924528301886E-2</v>
      </c>
      <c r="AN415" s="9">
        <v>1.8867924528301886E-2</v>
      </c>
      <c r="AO415" s="9">
        <v>1.8867924528301886E-2</v>
      </c>
      <c r="AP415" s="9">
        <v>1.8867924528301886E-2</v>
      </c>
      <c r="AQ415" s="9">
        <v>1.8867924528301886E-2</v>
      </c>
      <c r="AR415" s="9">
        <v>1.8867924528301886E-2</v>
      </c>
      <c r="AS415" s="9">
        <v>1.8867924528301886E-2</v>
      </c>
      <c r="AT415" s="9">
        <v>1.8867924528301886E-2</v>
      </c>
      <c r="AU415" s="9">
        <v>1.8867924528301886E-2</v>
      </c>
      <c r="AV415" s="9">
        <v>1.8867924528301886E-2</v>
      </c>
      <c r="AW415" s="9">
        <v>1.8867924528301886E-2</v>
      </c>
      <c r="AX415" s="9">
        <v>1.8867924528301886E-2</v>
      </c>
      <c r="AY415" s="9">
        <v>1.8867924528301886E-2</v>
      </c>
      <c r="AZ415" s="9">
        <v>1.8867924528301886E-2</v>
      </c>
      <c r="BA415" s="9">
        <v>1.8867924528301886E-2</v>
      </c>
      <c r="BB415" s="9">
        <v>1.8867924528301886E-2</v>
      </c>
      <c r="BC415" s="9">
        <v>1.8867924528301886E-2</v>
      </c>
      <c r="BD415" s="9">
        <v>1.8867924528301886E-2</v>
      </c>
      <c r="BE415" s="9">
        <v>1.8867924528301886E-2</v>
      </c>
      <c r="BF415" s="9">
        <v>1.8867924528301886E-2</v>
      </c>
      <c r="BG415" s="9">
        <v>1.8867924528301886E-2</v>
      </c>
      <c r="BH415" s="9">
        <v>1.8867924528301886E-2</v>
      </c>
      <c r="BI415" s="9">
        <v>1.8867924528301886E-2</v>
      </c>
      <c r="BJ415" s="9">
        <v>1.8867924528301886E-2</v>
      </c>
      <c r="BK415" s="9">
        <v>1.8867924528301886E-2</v>
      </c>
      <c r="BL415" s="9">
        <v>1.8867924528301886E-2</v>
      </c>
      <c r="BM415" s="9">
        <v>1.8867924528301886E-2</v>
      </c>
      <c r="BN415" s="9">
        <v>1.8867924528301886E-2</v>
      </c>
      <c r="BO415" s="9">
        <v>1.8867924528301886E-2</v>
      </c>
      <c r="BP415" s="9">
        <v>1.8867924528301886E-2</v>
      </c>
      <c r="BQ415" s="9">
        <v>1.8867924528301886E-2</v>
      </c>
      <c r="BR415" s="9">
        <v>1.8867924528301886E-2</v>
      </c>
      <c r="BS415" s="9">
        <v>1.8867924528301886E-2</v>
      </c>
      <c r="BT415" s="9">
        <v>1.8867924528301886E-2</v>
      </c>
      <c r="BU415" s="9">
        <v>1.8867924528301886E-2</v>
      </c>
      <c r="BV415" s="9">
        <v>1.8867924528301886E-2</v>
      </c>
      <c r="BW415" s="9">
        <v>1.8867924528301886E-2</v>
      </c>
      <c r="BX415" s="9">
        <v>1.8867924528301886E-2</v>
      </c>
    </row>
    <row r="416" spans="1:76">
      <c r="A416" s="3" t="s">
        <v>66</v>
      </c>
      <c r="B416" t="s">
        <v>4579</v>
      </c>
      <c r="D416" t="s">
        <v>4967</v>
      </c>
      <c r="F416" s="91" t="s">
        <v>4973</v>
      </c>
      <c r="H416" s="3" t="s">
        <v>4984</v>
      </c>
      <c r="I416" s="3"/>
      <c r="J416" s="124"/>
      <c r="K416" s="124"/>
      <c r="M416" s="124"/>
      <c r="X416" s="10">
        <v>1.8867924528301886E-2</v>
      </c>
      <c r="Y416" s="9">
        <v>1.8867924528301886E-2</v>
      </c>
      <c r="Z416" s="9">
        <v>1.8867924528301886E-2</v>
      </c>
      <c r="AA416" s="9">
        <v>1.8867924528301886E-2</v>
      </c>
      <c r="AB416" s="9">
        <v>1.8867924528301886E-2</v>
      </c>
      <c r="AC416" s="9">
        <v>1.8867924528301886E-2</v>
      </c>
      <c r="AD416" s="9">
        <v>1.8867924528301886E-2</v>
      </c>
      <c r="AE416" s="9">
        <v>1.8867924528301886E-2</v>
      </c>
      <c r="AF416" s="9">
        <v>1.8867924528301886E-2</v>
      </c>
      <c r="AG416" s="9">
        <v>1.8867924528301886E-2</v>
      </c>
      <c r="AH416" s="9">
        <v>1.8867924528301886E-2</v>
      </c>
      <c r="AI416" s="9">
        <v>1.8867924528301886E-2</v>
      </c>
      <c r="AJ416" s="9">
        <v>1.8867924528301886E-2</v>
      </c>
      <c r="AK416" s="9">
        <v>1.8867924528301886E-2</v>
      </c>
      <c r="AL416" s="9">
        <v>1.8867924528301886E-2</v>
      </c>
      <c r="AM416" s="9">
        <v>1.8867924528301886E-2</v>
      </c>
      <c r="AN416" s="9">
        <v>1.8867924528301886E-2</v>
      </c>
      <c r="AO416" s="9">
        <v>1.8867924528301886E-2</v>
      </c>
      <c r="AP416" s="9">
        <v>1.8867924528301886E-2</v>
      </c>
      <c r="AQ416" s="9">
        <v>1.8867924528301886E-2</v>
      </c>
      <c r="AR416" s="9">
        <v>1.8867924528301886E-2</v>
      </c>
      <c r="AS416" s="9">
        <v>1.8867924528301886E-2</v>
      </c>
      <c r="AT416" s="9">
        <v>1.8867924528301886E-2</v>
      </c>
      <c r="AU416" s="9">
        <v>1.8867924528301886E-2</v>
      </c>
      <c r="AV416" s="9">
        <v>1.8867924528301886E-2</v>
      </c>
      <c r="AW416" s="9">
        <v>1.8867924528301886E-2</v>
      </c>
      <c r="AX416" s="9">
        <v>1.8867924528301886E-2</v>
      </c>
      <c r="AY416" s="9">
        <v>1.8867924528301886E-2</v>
      </c>
      <c r="AZ416" s="9">
        <v>1.8867924528301886E-2</v>
      </c>
      <c r="BA416" s="9">
        <v>1.8867924528301886E-2</v>
      </c>
      <c r="BB416" s="9">
        <v>1.8867924528301886E-2</v>
      </c>
      <c r="BC416" s="9">
        <v>1.8867924528301886E-2</v>
      </c>
      <c r="BD416" s="9">
        <v>1.8867924528301886E-2</v>
      </c>
      <c r="BE416" s="9">
        <v>1.8867924528301886E-2</v>
      </c>
      <c r="BF416" s="9">
        <v>1.8867924528301886E-2</v>
      </c>
      <c r="BG416" s="9">
        <v>1.8867924528301886E-2</v>
      </c>
      <c r="BH416" s="9">
        <v>1.8867924528301886E-2</v>
      </c>
      <c r="BI416" s="9">
        <v>1.8867924528301886E-2</v>
      </c>
      <c r="BJ416" s="9">
        <v>1.8867924528301886E-2</v>
      </c>
      <c r="BK416" s="9">
        <v>1.8867924528301886E-2</v>
      </c>
      <c r="BL416" s="9">
        <v>1.8867924528301886E-2</v>
      </c>
      <c r="BM416" s="9">
        <v>1.8867924528301886E-2</v>
      </c>
      <c r="BN416" s="9">
        <v>1.8867924528301886E-2</v>
      </c>
      <c r="BO416" s="9">
        <v>1.8867924528301886E-2</v>
      </c>
      <c r="BP416" s="9">
        <v>1.8867924528301886E-2</v>
      </c>
      <c r="BQ416" s="9">
        <v>1.8867924528301886E-2</v>
      </c>
      <c r="BR416" s="9">
        <v>1.8867924528301886E-2</v>
      </c>
      <c r="BS416" s="9">
        <v>1.8867924528301886E-2</v>
      </c>
      <c r="BT416" s="9">
        <v>1.8867924528301886E-2</v>
      </c>
      <c r="BU416" s="9">
        <v>1.8867924528301886E-2</v>
      </c>
      <c r="BV416" s="9">
        <v>1.8867924528301886E-2</v>
      </c>
      <c r="BW416" s="9">
        <v>1.8867924528301886E-2</v>
      </c>
      <c r="BX416" s="9">
        <v>1.8867924528301886E-2</v>
      </c>
    </row>
    <row r="417" spans="1:29">
      <c r="A417" s="3" t="s">
        <v>66</v>
      </c>
      <c r="B417" t="s">
        <v>4523</v>
      </c>
      <c r="D417" t="s">
        <v>4967</v>
      </c>
      <c r="F417" s="91" t="s">
        <v>4973</v>
      </c>
      <c r="H417" s="3" t="s">
        <v>4984</v>
      </c>
      <c r="I417" s="3"/>
      <c r="J417" s="124"/>
      <c r="K417" s="124"/>
      <c r="M417" s="124"/>
      <c r="X417" s="10">
        <v>0.16666666666666666</v>
      </c>
      <c r="Y417" s="9">
        <v>0.16666666666666666</v>
      </c>
      <c r="Z417" s="9">
        <v>0.16666666666666666</v>
      </c>
      <c r="AA417" s="9">
        <v>0.16666666666666666</v>
      </c>
      <c r="AB417" s="9">
        <v>0.16666666666666666</v>
      </c>
      <c r="AC417" s="9">
        <v>0.16666666666666666</v>
      </c>
    </row>
    <row r="418" spans="1:29">
      <c r="A418" s="3" t="s">
        <v>66</v>
      </c>
      <c r="B418" t="s">
        <v>4525</v>
      </c>
      <c r="D418" t="s">
        <v>4967</v>
      </c>
      <c r="F418" s="91" t="s">
        <v>4973</v>
      </c>
      <c r="H418" s="3" t="s">
        <v>4984</v>
      </c>
      <c r="I418" s="3"/>
      <c r="J418" s="124"/>
      <c r="K418" s="124"/>
      <c r="M418" s="124"/>
      <c r="X418" s="10">
        <v>0.16666666666666666</v>
      </c>
      <c r="Y418" s="9">
        <v>0.16666666666666666</v>
      </c>
      <c r="Z418" s="9">
        <v>0.16666666666666666</v>
      </c>
      <c r="AA418" s="9">
        <v>0.16666666666666666</v>
      </c>
      <c r="AB418" s="9">
        <v>0.16666666666666666</v>
      </c>
      <c r="AC418" s="9">
        <v>0.16666666666666666</v>
      </c>
    </row>
    <row r="419" spans="1:29">
      <c r="A419" s="3" t="s">
        <v>66</v>
      </c>
      <c r="B419" t="s">
        <v>4529</v>
      </c>
      <c r="D419" t="s">
        <v>4967</v>
      </c>
      <c r="F419" s="91" t="s">
        <v>4973</v>
      </c>
      <c r="H419" s="3" t="s">
        <v>4984</v>
      </c>
      <c r="I419" s="3"/>
      <c r="J419" s="124"/>
      <c r="K419" s="124"/>
      <c r="M419" s="124"/>
      <c r="X419" s="10">
        <v>0.16666666666666666</v>
      </c>
      <c r="Y419" s="9">
        <v>0.16666666666666666</v>
      </c>
      <c r="Z419" s="9">
        <v>0.16666666666666666</v>
      </c>
      <c r="AA419" s="9">
        <v>0.16666666666666666</v>
      </c>
      <c r="AB419" s="9">
        <v>0.16666666666666666</v>
      </c>
      <c r="AC419" s="9">
        <v>0.16666666666666666</v>
      </c>
    </row>
    <row r="420" spans="1:29">
      <c r="A420" s="3" t="s">
        <v>66</v>
      </c>
      <c r="B420" t="s">
        <v>4531</v>
      </c>
      <c r="D420" t="s">
        <v>4967</v>
      </c>
      <c r="F420" s="91" t="s">
        <v>4973</v>
      </c>
      <c r="H420" s="3" t="s">
        <v>4984</v>
      </c>
      <c r="I420" s="3"/>
      <c r="J420" s="124"/>
      <c r="K420" s="124"/>
      <c r="M420" s="124"/>
      <c r="X420" s="10">
        <v>0.16666666666666666</v>
      </c>
      <c r="Y420" s="9">
        <v>0.16666666666666666</v>
      </c>
      <c r="Z420" s="9">
        <v>0.16666666666666666</v>
      </c>
      <c r="AA420" s="9">
        <v>0.16666666666666666</v>
      </c>
      <c r="AB420" s="9">
        <v>0.16666666666666666</v>
      </c>
      <c r="AC420" s="9">
        <v>0.16666666666666666</v>
      </c>
    </row>
    <row r="421" spans="1:29">
      <c r="A421" s="3" t="s">
        <v>66</v>
      </c>
      <c r="B421" t="s">
        <v>4533</v>
      </c>
      <c r="D421" t="s">
        <v>4967</v>
      </c>
      <c r="F421" s="91" t="s">
        <v>4973</v>
      </c>
      <c r="H421" s="3" t="s">
        <v>4984</v>
      </c>
      <c r="I421" s="3"/>
      <c r="J421" s="124"/>
      <c r="K421" s="124"/>
      <c r="M421" s="124"/>
      <c r="X421" s="10">
        <v>0.16666666666666666</v>
      </c>
      <c r="Y421" s="9">
        <v>0.16666666666666666</v>
      </c>
      <c r="Z421" s="9">
        <v>0.16666666666666666</v>
      </c>
      <c r="AA421" s="9">
        <v>0.16666666666666666</v>
      </c>
      <c r="AB421" s="9">
        <v>0.16666666666666666</v>
      </c>
      <c r="AC421" s="9">
        <v>0.16666666666666666</v>
      </c>
    </row>
    <row r="422" spans="1:29">
      <c r="A422" s="3" t="s">
        <v>66</v>
      </c>
      <c r="B422" t="s">
        <v>4535</v>
      </c>
      <c r="D422" t="s">
        <v>4967</v>
      </c>
      <c r="F422" s="91" t="s">
        <v>4973</v>
      </c>
      <c r="H422" s="3" t="s">
        <v>4984</v>
      </c>
      <c r="I422" s="3"/>
      <c r="J422" s="124"/>
      <c r="K422" s="124"/>
      <c r="M422" s="124"/>
      <c r="X422" s="10">
        <v>0.16666666666666666</v>
      </c>
      <c r="Y422" s="9">
        <v>0.16666666666666666</v>
      </c>
      <c r="Z422" s="9">
        <v>0.16666666666666666</v>
      </c>
      <c r="AA422" s="9">
        <v>0.16666666666666666</v>
      </c>
      <c r="AB422" s="9">
        <v>0.16666666666666666</v>
      </c>
      <c r="AC422" s="9">
        <v>0.16666666666666666</v>
      </c>
    </row>
    <row r="423" spans="1:29">
      <c r="A423" s="3" t="s">
        <v>66</v>
      </c>
      <c r="B423" t="s">
        <v>4537</v>
      </c>
      <c r="D423" t="s">
        <v>4967</v>
      </c>
      <c r="F423" s="91" t="s">
        <v>4973</v>
      </c>
      <c r="H423" s="3" t="s">
        <v>4984</v>
      </c>
      <c r="I423" s="3"/>
      <c r="J423" s="124"/>
      <c r="K423" s="124"/>
      <c r="M423" s="124"/>
      <c r="X423" s="10">
        <v>0.16666666666666666</v>
      </c>
      <c r="Y423" s="9">
        <v>0.16666666666666666</v>
      </c>
      <c r="Z423" s="9">
        <v>0.16666666666666666</v>
      </c>
      <c r="AA423" s="9">
        <v>0.16666666666666666</v>
      </c>
      <c r="AB423" s="9">
        <v>0.16666666666666666</v>
      </c>
      <c r="AC423" s="9">
        <v>0.16666666666666666</v>
      </c>
    </row>
    <row r="424" spans="1:29">
      <c r="A424" s="3" t="s">
        <v>66</v>
      </c>
      <c r="B424" t="s">
        <v>4539</v>
      </c>
      <c r="D424" t="s">
        <v>4967</v>
      </c>
      <c r="F424" s="91" t="s">
        <v>4973</v>
      </c>
      <c r="H424" s="3" t="s">
        <v>4984</v>
      </c>
      <c r="I424" s="3"/>
      <c r="J424" s="124"/>
      <c r="K424" s="124"/>
      <c r="M424" s="124"/>
      <c r="X424" s="10">
        <v>0.16666666666666666</v>
      </c>
      <c r="Y424" s="9">
        <v>0.16666666666666666</v>
      </c>
      <c r="Z424" s="9">
        <v>0.16666666666666666</v>
      </c>
      <c r="AA424" s="9">
        <v>0.16666666666666666</v>
      </c>
      <c r="AB424" s="9">
        <v>0.16666666666666666</v>
      </c>
      <c r="AC424" s="9">
        <v>0.16666666666666666</v>
      </c>
    </row>
    <row r="425" spans="1:29">
      <c r="A425" s="3" t="s">
        <v>66</v>
      </c>
      <c r="B425" t="s">
        <v>4541</v>
      </c>
      <c r="D425" t="s">
        <v>4967</v>
      </c>
      <c r="F425" s="91" t="s">
        <v>4973</v>
      </c>
      <c r="H425" s="3" t="s">
        <v>4984</v>
      </c>
      <c r="I425" s="3"/>
      <c r="J425" s="124"/>
      <c r="K425" s="124"/>
      <c r="M425" s="124"/>
      <c r="X425" s="10">
        <v>0.16666666666666666</v>
      </c>
      <c r="Y425" s="9">
        <v>0.16666666666666666</v>
      </c>
      <c r="Z425" s="9">
        <v>0.16666666666666666</v>
      </c>
      <c r="AA425" s="9">
        <v>0.16666666666666666</v>
      </c>
      <c r="AB425" s="9">
        <v>0.16666666666666666</v>
      </c>
      <c r="AC425" s="9">
        <v>0.16666666666666666</v>
      </c>
    </row>
    <row r="426" spans="1:29">
      <c r="A426" s="3" t="s">
        <v>66</v>
      </c>
      <c r="B426" t="s">
        <v>4543</v>
      </c>
      <c r="D426" t="s">
        <v>4967</v>
      </c>
      <c r="F426" s="91" t="s">
        <v>4973</v>
      </c>
      <c r="H426" s="3" t="s">
        <v>4984</v>
      </c>
      <c r="I426" s="3"/>
      <c r="J426" s="124"/>
      <c r="K426" s="124"/>
      <c r="M426" s="124"/>
      <c r="X426" s="10">
        <v>0.16666666666666666</v>
      </c>
      <c r="Y426" s="9">
        <v>0.16666666666666666</v>
      </c>
      <c r="Z426" s="9">
        <v>0.16666666666666666</v>
      </c>
      <c r="AA426" s="9">
        <v>0.16666666666666666</v>
      </c>
      <c r="AB426" s="9">
        <v>0.16666666666666666</v>
      </c>
      <c r="AC426" s="9">
        <v>0.16666666666666666</v>
      </c>
    </row>
    <row r="427" spans="1:29">
      <c r="A427" s="3" t="s">
        <v>66</v>
      </c>
      <c r="B427" t="s">
        <v>4545</v>
      </c>
      <c r="D427" t="s">
        <v>4967</v>
      </c>
      <c r="F427" s="91" t="s">
        <v>4973</v>
      </c>
      <c r="H427" s="3" t="s">
        <v>4984</v>
      </c>
      <c r="I427" s="3"/>
      <c r="J427" s="124"/>
      <c r="K427" s="124"/>
      <c r="M427" s="124"/>
      <c r="X427" s="10">
        <v>0.16666666666666666</v>
      </c>
      <c r="Y427" s="9">
        <v>0.16666666666666666</v>
      </c>
      <c r="Z427" s="9">
        <v>0.16666666666666666</v>
      </c>
      <c r="AA427" s="9">
        <v>0.16666666666666666</v>
      </c>
      <c r="AB427" s="9">
        <v>0.16666666666666666</v>
      </c>
      <c r="AC427" s="9">
        <v>0.16666666666666666</v>
      </c>
    </row>
    <row r="428" spans="1:29">
      <c r="A428" s="3" t="s">
        <v>66</v>
      </c>
      <c r="B428" t="s">
        <v>4547</v>
      </c>
      <c r="D428" t="s">
        <v>4967</v>
      </c>
      <c r="F428" s="91" t="s">
        <v>4973</v>
      </c>
      <c r="H428" s="3" t="s">
        <v>4984</v>
      </c>
      <c r="I428" s="3"/>
      <c r="J428" s="124"/>
      <c r="K428" s="124"/>
      <c r="M428" s="124"/>
      <c r="X428" s="10">
        <v>0.16666666666666666</v>
      </c>
      <c r="Y428" s="9">
        <v>0.16666666666666666</v>
      </c>
      <c r="Z428" s="9">
        <v>0.16666666666666666</v>
      </c>
      <c r="AA428" s="9">
        <v>0.16666666666666666</v>
      </c>
      <c r="AB428" s="9">
        <v>0.16666666666666666</v>
      </c>
      <c r="AC428" s="9">
        <v>0.16666666666666666</v>
      </c>
    </row>
    <row r="429" spans="1:29">
      <c r="A429" s="3" t="s">
        <v>66</v>
      </c>
      <c r="B429" t="s">
        <v>4553</v>
      </c>
      <c r="D429" t="s">
        <v>4967</v>
      </c>
      <c r="F429" s="91" t="s">
        <v>4973</v>
      </c>
      <c r="H429" s="3" t="s">
        <v>4984</v>
      </c>
      <c r="I429" s="3"/>
      <c r="J429" s="124"/>
      <c r="K429" s="124"/>
      <c r="M429" s="124"/>
      <c r="X429" s="10">
        <v>0.16666666666666666</v>
      </c>
      <c r="Y429" s="9">
        <v>0.16666666666666666</v>
      </c>
      <c r="Z429" s="9">
        <v>0.16666666666666666</v>
      </c>
      <c r="AA429" s="9">
        <v>0.16666666666666666</v>
      </c>
      <c r="AB429" s="9">
        <v>0.16666666666666666</v>
      </c>
      <c r="AC429" s="9">
        <v>0.16666666666666666</v>
      </c>
    </row>
    <row r="430" spans="1:29">
      <c r="A430" s="3" t="s">
        <v>66</v>
      </c>
      <c r="B430" t="s">
        <v>4527</v>
      </c>
      <c r="D430" t="s">
        <v>4967</v>
      </c>
      <c r="F430" s="91" t="s">
        <v>4973</v>
      </c>
      <c r="H430" s="3" t="s">
        <v>4984</v>
      </c>
      <c r="I430" s="3"/>
      <c r="J430" s="124"/>
      <c r="K430" s="124"/>
      <c r="M430" s="124"/>
      <c r="X430" s="10">
        <v>0.16666666666666666</v>
      </c>
      <c r="Y430" s="9">
        <v>0.16666666666666666</v>
      </c>
      <c r="Z430" s="9">
        <v>0.16666666666666666</v>
      </c>
      <c r="AA430" s="9">
        <v>0.16666666666666666</v>
      </c>
      <c r="AB430" s="9">
        <v>0.16666666666666666</v>
      </c>
      <c r="AC430" s="9">
        <v>0.16666666666666666</v>
      </c>
    </row>
    <row r="431" spans="1:29">
      <c r="A431" s="3" t="s">
        <v>66</v>
      </c>
      <c r="B431" t="s">
        <v>4549</v>
      </c>
      <c r="D431" t="s">
        <v>4967</v>
      </c>
      <c r="F431" s="91" t="s">
        <v>4973</v>
      </c>
      <c r="H431" s="3" t="s">
        <v>4984</v>
      </c>
      <c r="I431" s="3"/>
      <c r="J431" s="124"/>
      <c r="K431" s="124"/>
      <c r="M431" s="124"/>
      <c r="X431" s="10">
        <v>0.16666666666666666</v>
      </c>
      <c r="Y431" s="9">
        <v>0.16666666666666666</v>
      </c>
      <c r="Z431" s="9">
        <v>0.16666666666666666</v>
      </c>
      <c r="AA431" s="9">
        <v>0.16666666666666666</v>
      </c>
      <c r="AB431" s="9">
        <v>0.16666666666666666</v>
      </c>
      <c r="AC431" s="9">
        <v>0.16666666666666666</v>
      </c>
    </row>
    <row r="432" spans="1:29">
      <c r="A432" s="3" t="s">
        <v>66</v>
      </c>
      <c r="B432" t="s">
        <v>4607</v>
      </c>
      <c r="D432" t="s">
        <v>4967</v>
      </c>
      <c r="F432" s="91" t="s">
        <v>4973</v>
      </c>
      <c r="H432" s="3" t="s">
        <v>4984</v>
      </c>
      <c r="I432" s="3"/>
      <c r="J432" s="124"/>
      <c r="K432" s="124"/>
      <c r="M432" s="124"/>
      <c r="X432" s="10">
        <v>0.16666666666666666</v>
      </c>
      <c r="Y432" s="9">
        <v>0.16666666666666666</v>
      </c>
      <c r="Z432" s="9">
        <v>0.16666666666666666</v>
      </c>
      <c r="AA432" s="9">
        <v>0.16666666666666666</v>
      </c>
      <c r="AB432" s="9">
        <v>0.16666666666666666</v>
      </c>
      <c r="AC432" s="9">
        <v>0.16666666666666666</v>
      </c>
    </row>
    <row r="433" spans="1:76">
      <c r="A433" s="3" t="s">
        <v>66</v>
      </c>
      <c r="B433" t="s">
        <v>4615</v>
      </c>
      <c r="D433" t="s">
        <v>4967</v>
      </c>
      <c r="F433" s="91" t="s">
        <v>4973</v>
      </c>
      <c r="H433" s="3" t="s">
        <v>4984</v>
      </c>
      <c r="I433" s="3"/>
      <c r="J433" s="124"/>
      <c r="K433" s="124"/>
      <c r="M433" s="124"/>
      <c r="X433" s="10">
        <v>0.16666666666666666</v>
      </c>
      <c r="Y433" s="9">
        <v>0.16666666666666666</v>
      </c>
      <c r="Z433" s="9">
        <v>0.16666666666666666</v>
      </c>
      <c r="AA433" s="9">
        <v>0.16666666666666666</v>
      </c>
      <c r="AB433" s="9">
        <v>0.16666666666666666</v>
      </c>
      <c r="AC433" s="9">
        <v>0.16666666666666666</v>
      </c>
    </row>
    <row r="434" spans="1:76">
      <c r="A434" s="3" t="s">
        <v>66</v>
      </c>
      <c r="B434" t="s">
        <v>4617</v>
      </c>
      <c r="D434" t="s">
        <v>4967</v>
      </c>
      <c r="F434" s="91" t="s">
        <v>4973</v>
      </c>
      <c r="H434" s="3" t="s">
        <v>4984</v>
      </c>
      <c r="I434" s="3"/>
      <c r="J434" s="124"/>
      <c r="K434" s="124"/>
      <c r="M434" s="124"/>
      <c r="X434" s="10">
        <v>0.16666666666666666</v>
      </c>
      <c r="Y434" s="9">
        <v>0.16666666666666666</v>
      </c>
      <c r="Z434" s="9">
        <v>0.16666666666666666</v>
      </c>
      <c r="AA434" s="9">
        <v>0.16666666666666666</v>
      </c>
      <c r="AB434" s="9">
        <v>0.16666666666666666</v>
      </c>
      <c r="AC434" s="9">
        <v>0.16666666666666666</v>
      </c>
    </row>
    <row r="435" spans="1:76">
      <c r="A435" s="3" t="s">
        <v>66</v>
      </c>
      <c r="B435" t="s">
        <v>4619</v>
      </c>
      <c r="D435" t="s">
        <v>4967</v>
      </c>
      <c r="F435" s="91" t="s">
        <v>4973</v>
      </c>
      <c r="H435" s="3" t="s">
        <v>4984</v>
      </c>
      <c r="I435" s="3"/>
      <c r="J435" s="124"/>
      <c r="K435" s="124"/>
      <c r="M435" s="124"/>
      <c r="X435" s="10">
        <v>0.16666666666666666</v>
      </c>
      <c r="Y435" s="9">
        <v>0.16666666666666666</v>
      </c>
      <c r="Z435" s="9">
        <v>0.16666666666666666</v>
      </c>
      <c r="AA435" s="9">
        <v>0.16666666666666666</v>
      </c>
      <c r="AB435" s="9">
        <v>0.16666666666666666</v>
      </c>
      <c r="AC435" s="9">
        <v>0.16666666666666666</v>
      </c>
    </row>
    <row r="436" spans="1:76">
      <c r="A436" s="3" t="s">
        <v>66</v>
      </c>
      <c r="B436" t="s">
        <v>4621</v>
      </c>
      <c r="D436" t="s">
        <v>4967</v>
      </c>
      <c r="F436" s="91" t="s">
        <v>4973</v>
      </c>
      <c r="H436" s="3" t="s">
        <v>4984</v>
      </c>
      <c r="I436" s="3"/>
      <c r="J436" s="124"/>
      <c r="K436" s="124"/>
      <c r="M436" s="124"/>
      <c r="X436" s="10">
        <v>0.16666666666666666</v>
      </c>
      <c r="Y436" s="9">
        <v>0.16666666666666666</v>
      </c>
      <c r="Z436" s="9">
        <v>0.16666666666666666</v>
      </c>
      <c r="AA436" s="9">
        <v>0.16666666666666666</v>
      </c>
      <c r="AB436" s="9">
        <v>0.16666666666666666</v>
      </c>
      <c r="AC436" s="9">
        <v>0.16666666666666666</v>
      </c>
    </row>
    <row r="437" spans="1:76">
      <c r="A437" s="3" t="s">
        <v>66</v>
      </c>
      <c r="B437" t="s">
        <v>4623</v>
      </c>
      <c r="D437" t="s">
        <v>4967</v>
      </c>
      <c r="F437" s="91" t="s">
        <v>4973</v>
      </c>
      <c r="H437" s="3" t="s">
        <v>4984</v>
      </c>
      <c r="I437" s="3"/>
      <c r="J437" s="124"/>
      <c r="K437" s="124"/>
      <c r="M437" s="124"/>
      <c r="X437" s="10">
        <v>0.16666666666666666</v>
      </c>
      <c r="Y437" s="9">
        <v>0.16666666666666666</v>
      </c>
      <c r="Z437" s="9">
        <v>0.16666666666666666</v>
      </c>
      <c r="AA437" s="9">
        <v>0.16666666666666666</v>
      </c>
      <c r="AB437" s="9">
        <v>0.16666666666666666</v>
      </c>
      <c r="AC437" s="9">
        <v>0.16666666666666666</v>
      </c>
    </row>
    <row r="438" spans="1:76">
      <c r="A438" s="3" t="s">
        <v>66</v>
      </c>
      <c r="B438" t="s">
        <v>4625</v>
      </c>
      <c r="D438" t="s">
        <v>4967</v>
      </c>
      <c r="F438" s="91" t="s">
        <v>4973</v>
      </c>
      <c r="H438" s="3" t="s">
        <v>4984</v>
      </c>
      <c r="I438" s="3"/>
      <c r="J438" s="124"/>
      <c r="K438" s="124"/>
      <c r="M438" s="124"/>
      <c r="X438" s="10">
        <v>0.16666666666666666</v>
      </c>
      <c r="Y438" s="9">
        <v>0.16666666666666666</v>
      </c>
      <c r="Z438" s="9">
        <v>0.16666666666666666</v>
      </c>
      <c r="AA438" s="9">
        <v>0.16666666666666666</v>
      </c>
      <c r="AB438" s="9">
        <v>0.16666666666666666</v>
      </c>
      <c r="AC438" s="9">
        <v>0.16666666666666666</v>
      </c>
    </row>
    <row r="439" spans="1:76">
      <c r="A439" s="3" t="s">
        <v>66</v>
      </c>
      <c r="B439" t="s">
        <v>4627</v>
      </c>
      <c r="D439" t="s">
        <v>4967</v>
      </c>
      <c r="F439" s="91" t="s">
        <v>4973</v>
      </c>
      <c r="H439" s="3" t="s">
        <v>4984</v>
      </c>
      <c r="I439" s="3"/>
      <c r="J439" s="124"/>
      <c r="K439" s="124"/>
      <c r="M439" s="124"/>
      <c r="X439" s="10">
        <v>0.16666666666666666</v>
      </c>
      <c r="Y439" s="9">
        <v>0.16666666666666666</v>
      </c>
      <c r="Z439" s="9">
        <v>0.16666666666666666</v>
      </c>
      <c r="AA439" s="9">
        <v>0.16666666666666666</v>
      </c>
      <c r="AB439" s="9">
        <v>0.16666666666666666</v>
      </c>
      <c r="AC439" s="9">
        <v>0.16666666666666666</v>
      </c>
    </row>
    <row r="440" spans="1:76">
      <c r="A440" s="3" t="s">
        <v>66</v>
      </c>
      <c r="B440" t="s">
        <v>4629</v>
      </c>
      <c r="D440" t="s">
        <v>4967</v>
      </c>
      <c r="F440" s="91" t="s">
        <v>4973</v>
      </c>
      <c r="H440" s="3" t="s">
        <v>4984</v>
      </c>
      <c r="I440" s="3"/>
      <c r="J440" s="124"/>
      <c r="K440" s="124"/>
      <c r="M440" s="124"/>
      <c r="X440" s="10">
        <v>0.16666666666666666</v>
      </c>
      <c r="Y440" s="9">
        <v>0.16666666666666666</v>
      </c>
      <c r="Z440" s="9">
        <v>0.16666666666666666</v>
      </c>
      <c r="AA440" s="9">
        <v>0.16666666666666666</v>
      </c>
      <c r="AB440" s="9">
        <v>0.16666666666666666</v>
      </c>
      <c r="AC440" s="9">
        <v>0.16666666666666666</v>
      </c>
    </row>
    <row r="441" spans="1:76">
      <c r="A441" s="3" t="s">
        <v>66</v>
      </c>
      <c r="B441" t="s">
        <v>4631</v>
      </c>
      <c r="D441" t="s">
        <v>4967</v>
      </c>
      <c r="F441" s="91" t="s">
        <v>4973</v>
      </c>
      <c r="H441" s="3" t="s">
        <v>4984</v>
      </c>
      <c r="I441" s="3"/>
      <c r="J441" s="124"/>
      <c r="K441" s="124"/>
      <c r="M441" s="124"/>
      <c r="X441" s="10">
        <v>0.16666666666666666</v>
      </c>
      <c r="Y441" s="9">
        <v>0.16666666666666666</v>
      </c>
      <c r="Z441" s="9">
        <v>0.16666666666666666</v>
      </c>
      <c r="AA441" s="9">
        <v>0.16666666666666666</v>
      </c>
      <c r="AB441" s="9">
        <v>0.16666666666666666</v>
      </c>
      <c r="AC441" s="9">
        <v>0.16666666666666666</v>
      </c>
    </row>
    <row r="442" spans="1:76">
      <c r="A442" s="3" t="s">
        <v>66</v>
      </c>
      <c r="B442" t="s">
        <v>5261</v>
      </c>
      <c r="D442" t="s">
        <v>4967</v>
      </c>
      <c r="F442" s="91" t="s">
        <v>4973</v>
      </c>
      <c r="H442" s="3" t="s">
        <v>4984</v>
      </c>
      <c r="I442" s="3"/>
      <c r="J442" s="124"/>
      <c r="K442" s="124"/>
      <c r="M442" s="124"/>
      <c r="X442" s="10">
        <v>0.16666666666666666</v>
      </c>
      <c r="Y442" s="9">
        <v>0.16666666666666666</v>
      </c>
      <c r="Z442" s="9">
        <v>0.16666666666666666</v>
      </c>
      <c r="AA442" s="9">
        <v>0.16666666666666666</v>
      </c>
      <c r="AB442" s="9">
        <v>0.16666666666666666</v>
      </c>
      <c r="AC442" s="9">
        <v>0.16666666666666666</v>
      </c>
    </row>
    <row r="443" spans="1:76">
      <c r="A443" s="3" t="s">
        <v>66</v>
      </c>
      <c r="B443" t="s">
        <v>5262</v>
      </c>
      <c r="D443" t="s">
        <v>4967</v>
      </c>
      <c r="F443" s="91" t="s">
        <v>4973</v>
      </c>
      <c r="H443" s="3" t="s">
        <v>4984</v>
      </c>
      <c r="I443" s="3"/>
      <c r="J443" s="124"/>
      <c r="K443" s="124"/>
      <c r="M443" s="124"/>
      <c r="X443" s="10">
        <v>0.16666666666666666</v>
      </c>
      <c r="Y443" s="9">
        <v>0.16666666666666666</v>
      </c>
      <c r="Z443" s="9">
        <v>0.16666666666666666</v>
      </c>
      <c r="AA443" s="9">
        <v>0.16666666666666666</v>
      </c>
      <c r="AB443" s="9">
        <v>0.16666666666666666</v>
      </c>
      <c r="AC443" s="9">
        <v>0.16666666666666666</v>
      </c>
    </row>
    <row r="444" spans="1:76">
      <c r="A444" s="3" t="s">
        <v>66</v>
      </c>
      <c r="B444" t="s">
        <v>4601</v>
      </c>
      <c r="D444" t="s">
        <v>4967</v>
      </c>
      <c r="F444" s="91" t="s">
        <v>4973</v>
      </c>
      <c r="H444" s="3" t="s">
        <v>4984</v>
      </c>
      <c r="I444" s="3"/>
      <c r="J444" s="124"/>
      <c r="K444" s="124"/>
      <c r="M444" s="124"/>
      <c r="X444" s="10">
        <v>0.16666666666666666</v>
      </c>
      <c r="Y444" s="9">
        <v>0.16666666666666666</v>
      </c>
      <c r="Z444" s="9">
        <v>0.16666666666666666</v>
      </c>
      <c r="AA444" s="9">
        <v>0.16666666666666666</v>
      </c>
      <c r="AB444" s="9">
        <v>0.16666666666666666</v>
      </c>
      <c r="AC444" s="9">
        <v>0.16666666666666666</v>
      </c>
    </row>
    <row r="445" spans="1:76">
      <c r="A445" s="3" t="s">
        <v>66</v>
      </c>
      <c r="B445" t="s">
        <v>4517</v>
      </c>
      <c r="D445" t="s">
        <v>4967</v>
      </c>
      <c r="F445" s="91" t="s">
        <v>4973</v>
      </c>
      <c r="H445" s="3" t="s">
        <v>4984</v>
      </c>
      <c r="I445" s="3"/>
      <c r="J445" s="124"/>
      <c r="K445" s="124"/>
      <c r="M445" s="124"/>
      <c r="X445" s="10">
        <v>0.16666666666666666</v>
      </c>
      <c r="Y445" s="9">
        <v>0.16666666666666666</v>
      </c>
      <c r="Z445" s="9">
        <v>0.16666666666666666</v>
      </c>
      <c r="AA445" s="9">
        <v>0.16666666666666666</v>
      </c>
      <c r="AB445" s="9">
        <v>0.16666666666666666</v>
      </c>
      <c r="AC445" s="9">
        <v>0.16666666666666666</v>
      </c>
    </row>
    <row r="446" spans="1:76">
      <c r="A446" s="3" t="s">
        <v>66</v>
      </c>
      <c r="B446" t="s">
        <v>4850</v>
      </c>
      <c r="D446" t="s">
        <v>4967</v>
      </c>
      <c r="F446" s="91" t="s">
        <v>4973</v>
      </c>
      <c r="H446" s="3" t="s">
        <v>4984</v>
      </c>
      <c r="I446" s="3"/>
      <c r="J446" s="124"/>
      <c r="K446" s="124"/>
      <c r="M446" s="124"/>
      <c r="X446" s="10">
        <v>1.8867924528301886E-2</v>
      </c>
      <c r="Y446" s="9">
        <v>1.8867924528301886E-2</v>
      </c>
      <c r="Z446" s="9">
        <v>1.8867924528301886E-2</v>
      </c>
      <c r="AA446" s="9">
        <v>1.8867924528301886E-2</v>
      </c>
      <c r="AB446" s="9">
        <v>1.8867924528301886E-2</v>
      </c>
      <c r="AC446" s="9">
        <v>1.8867924528301886E-2</v>
      </c>
      <c r="AD446" s="9">
        <v>1.8867924528301886E-2</v>
      </c>
      <c r="AE446" s="9">
        <v>1.8867924528301886E-2</v>
      </c>
      <c r="AF446" s="9">
        <v>1.8867924528301886E-2</v>
      </c>
      <c r="AG446" s="9">
        <v>1.8867924528301886E-2</v>
      </c>
      <c r="AH446" s="9">
        <v>1.8867924528301886E-2</v>
      </c>
      <c r="AI446" s="9">
        <v>1.8867924528301886E-2</v>
      </c>
      <c r="AJ446" s="9">
        <v>1.8867924528301886E-2</v>
      </c>
      <c r="AK446" s="9">
        <v>1.8867924528301886E-2</v>
      </c>
      <c r="AL446" s="9">
        <v>1.8867924528301886E-2</v>
      </c>
      <c r="AM446" s="9">
        <v>1.8867924528301886E-2</v>
      </c>
      <c r="AN446" s="9">
        <v>1.8867924528301886E-2</v>
      </c>
      <c r="AO446" s="9">
        <v>1.8867924528301886E-2</v>
      </c>
      <c r="AP446" s="9">
        <v>1.8867924528301886E-2</v>
      </c>
      <c r="AQ446" s="9">
        <v>1.8867924528301886E-2</v>
      </c>
      <c r="AR446" s="9">
        <v>1.8867924528301886E-2</v>
      </c>
      <c r="AS446" s="9">
        <v>1.8867924528301886E-2</v>
      </c>
      <c r="AT446" s="9">
        <v>1.8867924528301886E-2</v>
      </c>
      <c r="AU446" s="9">
        <v>1.8867924528301886E-2</v>
      </c>
      <c r="AV446" s="9">
        <v>1.8867924528301886E-2</v>
      </c>
      <c r="AW446" s="9">
        <v>1.8867924528301886E-2</v>
      </c>
      <c r="AX446" s="9">
        <v>1.8867924528301886E-2</v>
      </c>
      <c r="AY446" s="9">
        <v>1.8867924528301886E-2</v>
      </c>
      <c r="AZ446" s="9">
        <v>1.8867924528301886E-2</v>
      </c>
      <c r="BA446" s="9">
        <v>1.8867924528301886E-2</v>
      </c>
      <c r="BB446" s="9">
        <v>1.8867924528301886E-2</v>
      </c>
      <c r="BC446" s="9">
        <v>1.8867924528301886E-2</v>
      </c>
      <c r="BD446" s="9">
        <v>1.8867924528301886E-2</v>
      </c>
      <c r="BE446" s="9">
        <v>1.8867924528301886E-2</v>
      </c>
      <c r="BF446" s="9">
        <v>1.8867924528301886E-2</v>
      </c>
      <c r="BG446" s="9">
        <v>1.8867924528301886E-2</v>
      </c>
      <c r="BH446" s="9">
        <v>1.8867924528301886E-2</v>
      </c>
      <c r="BI446" s="9">
        <v>1.8867924528301886E-2</v>
      </c>
      <c r="BJ446" s="9">
        <v>1.8867924528301886E-2</v>
      </c>
      <c r="BK446" s="9">
        <v>1.8867924528301886E-2</v>
      </c>
      <c r="BL446" s="9">
        <v>1.8867924528301886E-2</v>
      </c>
      <c r="BM446" s="9">
        <v>1.8867924528301886E-2</v>
      </c>
      <c r="BN446" s="9">
        <v>1.8867924528301886E-2</v>
      </c>
      <c r="BO446" s="9">
        <v>1.8867924528301886E-2</v>
      </c>
      <c r="BP446" s="9">
        <v>1.8867924528301886E-2</v>
      </c>
      <c r="BQ446" s="9">
        <v>1.8867924528301886E-2</v>
      </c>
      <c r="BR446" s="9">
        <v>1.8867924528301886E-2</v>
      </c>
      <c r="BS446" s="9">
        <v>1.8867924528301886E-2</v>
      </c>
      <c r="BT446" s="9">
        <v>1.8867924528301886E-2</v>
      </c>
      <c r="BU446" s="9">
        <v>1.8867924528301886E-2</v>
      </c>
      <c r="BV446" s="9">
        <v>1.8867924528301886E-2</v>
      </c>
      <c r="BW446" s="9">
        <v>1.8867924528301886E-2</v>
      </c>
      <c r="BX446" s="9">
        <v>1.8867924528301886E-2</v>
      </c>
    </row>
    <row r="447" spans="1:76">
      <c r="A447" s="3" t="s">
        <v>66</v>
      </c>
      <c r="B447" t="s">
        <v>4266</v>
      </c>
      <c r="D447" t="s">
        <v>4967</v>
      </c>
      <c r="F447" s="91" t="s">
        <v>4973</v>
      </c>
      <c r="H447" s="3" t="s">
        <v>4984</v>
      </c>
      <c r="I447" s="3"/>
      <c r="J447" s="124"/>
      <c r="K447" s="124"/>
      <c r="M447" s="124"/>
      <c r="X447" s="10">
        <v>1.8867924528301886E-2</v>
      </c>
      <c r="Y447" s="9">
        <v>1.8867924528301886E-2</v>
      </c>
      <c r="Z447" s="9">
        <v>1.8867924528301886E-2</v>
      </c>
      <c r="AA447" s="9">
        <v>1.8867924528301886E-2</v>
      </c>
      <c r="AB447" s="9">
        <v>1.8867924528301886E-2</v>
      </c>
      <c r="AC447" s="9">
        <v>1.8867924528301886E-2</v>
      </c>
      <c r="AD447" s="9">
        <v>1.8867924528301886E-2</v>
      </c>
      <c r="AE447" s="9">
        <v>1.8867924528301886E-2</v>
      </c>
      <c r="AF447" s="9">
        <v>1.8867924528301886E-2</v>
      </c>
      <c r="AG447" s="9">
        <v>1.8867924528301886E-2</v>
      </c>
      <c r="AH447" s="9">
        <v>1.8867924528301886E-2</v>
      </c>
      <c r="AI447" s="9">
        <v>1.8867924528301886E-2</v>
      </c>
      <c r="AJ447" s="9">
        <v>1.8867924528301886E-2</v>
      </c>
      <c r="AK447" s="9">
        <v>1.8867924528301886E-2</v>
      </c>
      <c r="AL447" s="9">
        <v>1.8867924528301886E-2</v>
      </c>
      <c r="AM447" s="9">
        <v>1.8867924528301886E-2</v>
      </c>
      <c r="AN447" s="9">
        <v>1.8867924528301886E-2</v>
      </c>
      <c r="AO447" s="9">
        <v>1.8867924528301886E-2</v>
      </c>
      <c r="AP447" s="9">
        <v>1.8867924528301886E-2</v>
      </c>
      <c r="AQ447" s="9">
        <v>1.8867924528301886E-2</v>
      </c>
      <c r="AR447" s="9">
        <v>1.8867924528301886E-2</v>
      </c>
      <c r="AS447" s="9">
        <v>1.8867924528301886E-2</v>
      </c>
      <c r="AT447" s="9">
        <v>1.8867924528301886E-2</v>
      </c>
      <c r="AU447" s="9">
        <v>1.8867924528301886E-2</v>
      </c>
      <c r="AV447" s="9">
        <v>1.8867924528301886E-2</v>
      </c>
      <c r="AW447" s="9">
        <v>1.8867924528301886E-2</v>
      </c>
      <c r="AX447" s="9">
        <v>1.8867924528301886E-2</v>
      </c>
      <c r="AY447" s="9">
        <v>1.8867924528301886E-2</v>
      </c>
      <c r="AZ447" s="9">
        <v>1.8867924528301886E-2</v>
      </c>
      <c r="BA447" s="9">
        <v>1.8867924528301886E-2</v>
      </c>
      <c r="BB447" s="9">
        <v>1.8867924528301886E-2</v>
      </c>
      <c r="BC447" s="9">
        <v>1.8867924528301886E-2</v>
      </c>
      <c r="BD447" s="9">
        <v>1.8867924528301886E-2</v>
      </c>
      <c r="BE447" s="9">
        <v>1.8867924528301886E-2</v>
      </c>
      <c r="BF447" s="9">
        <v>1.8867924528301886E-2</v>
      </c>
      <c r="BG447" s="9">
        <v>1.8867924528301886E-2</v>
      </c>
      <c r="BH447" s="9">
        <v>1.8867924528301886E-2</v>
      </c>
      <c r="BI447" s="9">
        <v>1.8867924528301886E-2</v>
      </c>
      <c r="BJ447" s="9">
        <v>1.8867924528301886E-2</v>
      </c>
      <c r="BK447" s="9">
        <v>1.8867924528301886E-2</v>
      </c>
      <c r="BL447" s="9">
        <v>1.8867924528301886E-2</v>
      </c>
      <c r="BM447" s="9">
        <v>1.8867924528301886E-2</v>
      </c>
      <c r="BN447" s="9">
        <v>1.8867924528301886E-2</v>
      </c>
      <c r="BO447" s="9">
        <v>1.8867924528301886E-2</v>
      </c>
      <c r="BP447" s="9">
        <v>1.8867924528301886E-2</v>
      </c>
      <c r="BQ447" s="9">
        <v>1.8867924528301886E-2</v>
      </c>
      <c r="BR447" s="9">
        <v>1.8867924528301886E-2</v>
      </c>
      <c r="BS447" s="9">
        <v>1.8867924528301886E-2</v>
      </c>
      <c r="BT447" s="9">
        <v>1.8867924528301886E-2</v>
      </c>
      <c r="BU447" s="9">
        <v>1.8867924528301886E-2</v>
      </c>
      <c r="BV447" s="9">
        <v>1.8867924528301886E-2</v>
      </c>
      <c r="BW447" s="9">
        <v>1.8867924528301886E-2</v>
      </c>
      <c r="BX447" s="9">
        <v>1.8867924528301886E-2</v>
      </c>
    </row>
    <row r="448" spans="1:76">
      <c r="A448" s="3" t="s">
        <v>66</v>
      </c>
      <c r="B448" t="s">
        <v>5263</v>
      </c>
      <c r="D448" t="s">
        <v>4967</v>
      </c>
      <c r="F448" s="91" t="s">
        <v>4973</v>
      </c>
      <c r="H448" s="3" t="s">
        <v>4984</v>
      </c>
      <c r="I448" s="3"/>
      <c r="J448" s="124"/>
      <c r="K448" s="124"/>
      <c r="M448" s="124"/>
      <c r="X448" s="10">
        <v>1.8867924528301886E-2</v>
      </c>
      <c r="Y448" s="9">
        <v>1.8867924528301886E-2</v>
      </c>
      <c r="Z448" s="9">
        <v>1.8867924528301886E-2</v>
      </c>
      <c r="AA448" s="9">
        <v>1.8867924528301886E-2</v>
      </c>
      <c r="AB448" s="9">
        <v>1.8867924528301886E-2</v>
      </c>
      <c r="AC448" s="9">
        <v>1.8867924528301886E-2</v>
      </c>
      <c r="AD448" s="9">
        <v>1.8867924528301886E-2</v>
      </c>
      <c r="AE448" s="9">
        <v>1.8867924528301886E-2</v>
      </c>
      <c r="AF448" s="9">
        <v>1.8867924528301886E-2</v>
      </c>
      <c r="AG448" s="9">
        <v>1.8867924528301886E-2</v>
      </c>
      <c r="AH448" s="9">
        <v>1.8867924528301886E-2</v>
      </c>
      <c r="AI448" s="9">
        <v>1.8867924528301886E-2</v>
      </c>
      <c r="AJ448" s="9">
        <v>1.8867924528301886E-2</v>
      </c>
      <c r="AK448" s="9">
        <v>1.8867924528301886E-2</v>
      </c>
      <c r="AL448" s="9">
        <v>1.8867924528301886E-2</v>
      </c>
      <c r="AM448" s="9">
        <v>1.8867924528301886E-2</v>
      </c>
      <c r="AN448" s="9">
        <v>1.8867924528301886E-2</v>
      </c>
      <c r="AO448" s="9">
        <v>1.8867924528301886E-2</v>
      </c>
      <c r="AP448" s="9">
        <v>1.8867924528301886E-2</v>
      </c>
      <c r="AQ448" s="9">
        <v>1.8867924528301886E-2</v>
      </c>
      <c r="AR448" s="9">
        <v>1.8867924528301886E-2</v>
      </c>
      <c r="AS448" s="9">
        <v>1.8867924528301886E-2</v>
      </c>
      <c r="AT448" s="9">
        <v>1.8867924528301886E-2</v>
      </c>
      <c r="AU448" s="9">
        <v>1.8867924528301886E-2</v>
      </c>
      <c r="AV448" s="9">
        <v>1.8867924528301886E-2</v>
      </c>
      <c r="AW448" s="9">
        <v>1.8867924528301886E-2</v>
      </c>
      <c r="AX448" s="9">
        <v>1.8867924528301886E-2</v>
      </c>
      <c r="AY448" s="9">
        <v>1.8867924528301886E-2</v>
      </c>
      <c r="AZ448" s="9">
        <v>1.8867924528301886E-2</v>
      </c>
      <c r="BA448" s="9">
        <v>1.8867924528301886E-2</v>
      </c>
      <c r="BB448" s="9">
        <v>1.8867924528301886E-2</v>
      </c>
      <c r="BC448" s="9">
        <v>1.8867924528301886E-2</v>
      </c>
      <c r="BD448" s="9">
        <v>1.8867924528301886E-2</v>
      </c>
      <c r="BE448" s="9">
        <v>1.8867924528301886E-2</v>
      </c>
      <c r="BF448" s="9">
        <v>1.8867924528301886E-2</v>
      </c>
      <c r="BG448" s="9">
        <v>1.8867924528301886E-2</v>
      </c>
      <c r="BH448" s="9">
        <v>1.8867924528301886E-2</v>
      </c>
      <c r="BI448" s="9">
        <v>1.8867924528301886E-2</v>
      </c>
      <c r="BJ448" s="9">
        <v>1.8867924528301886E-2</v>
      </c>
      <c r="BK448" s="9">
        <v>1.8867924528301886E-2</v>
      </c>
      <c r="BL448" s="9">
        <v>1.8867924528301886E-2</v>
      </c>
      <c r="BM448" s="9">
        <v>1.8867924528301886E-2</v>
      </c>
      <c r="BN448" s="9">
        <v>1.8867924528301886E-2</v>
      </c>
      <c r="BO448" s="9">
        <v>1.8867924528301886E-2</v>
      </c>
      <c r="BP448" s="9">
        <v>1.8867924528301886E-2</v>
      </c>
      <c r="BQ448" s="9">
        <v>1.8867924528301886E-2</v>
      </c>
      <c r="BR448" s="9">
        <v>1.8867924528301886E-2</v>
      </c>
      <c r="BS448" s="9">
        <v>1.8867924528301886E-2</v>
      </c>
      <c r="BT448" s="9">
        <v>1.8867924528301886E-2</v>
      </c>
      <c r="BU448" s="9">
        <v>1.8867924528301886E-2</v>
      </c>
      <c r="BV448" s="9">
        <v>1.8867924528301886E-2</v>
      </c>
      <c r="BW448" s="9">
        <v>1.8867924528301886E-2</v>
      </c>
      <c r="BX448" s="9">
        <v>1.8867924528301886E-2</v>
      </c>
    </row>
    <row r="449" spans="1:76">
      <c r="A449" s="3" t="s">
        <v>66</v>
      </c>
      <c r="B449" t="s">
        <v>5267</v>
      </c>
      <c r="D449" t="s">
        <v>4967</v>
      </c>
      <c r="F449" s="91" t="s">
        <v>4973</v>
      </c>
      <c r="H449" s="3" t="s">
        <v>4984</v>
      </c>
      <c r="I449" s="3"/>
      <c r="J449" s="124"/>
      <c r="K449" s="124"/>
      <c r="M449" s="124"/>
      <c r="X449" s="10">
        <v>1.8867924528301886E-2</v>
      </c>
      <c r="Y449" s="9">
        <v>1.8867924528301886E-2</v>
      </c>
      <c r="Z449" s="9">
        <v>1.8867924528301886E-2</v>
      </c>
      <c r="AA449" s="9">
        <v>1.8867924528301886E-2</v>
      </c>
      <c r="AB449" s="9">
        <v>1.8867924528301886E-2</v>
      </c>
      <c r="AC449" s="9">
        <v>1.8867924528301886E-2</v>
      </c>
      <c r="AD449" s="9">
        <v>1.8867924528301886E-2</v>
      </c>
      <c r="AE449" s="9">
        <v>1.8867924528301886E-2</v>
      </c>
      <c r="AF449" s="9">
        <v>1.8867924528301886E-2</v>
      </c>
      <c r="AG449" s="9">
        <v>1.8867924528301886E-2</v>
      </c>
      <c r="AH449" s="9">
        <v>1.8867924528301886E-2</v>
      </c>
      <c r="AI449" s="9">
        <v>1.8867924528301886E-2</v>
      </c>
      <c r="AJ449" s="9">
        <v>1.8867924528301886E-2</v>
      </c>
      <c r="AK449" s="9">
        <v>1.8867924528301886E-2</v>
      </c>
      <c r="AL449" s="9">
        <v>1.8867924528301886E-2</v>
      </c>
      <c r="AM449" s="9">
        <v>1.8867924528301886E-2</v>
      </c>
      <c r="AN449" s="9">
        <v>1.8867924528301886E-2</v>
      </c>
      <c r="AO449" s="9">
        <v>1.8867924528301886E-2</v>
      </c>
      <c r="AP449" s="9">
        <v>1.8867924528301886E-2</v>
      </c>
      <c r="AQ449" s="9">
        <v>1.8867924528301886E-2</v>
      </c>
      <c r="AR449" s="9">
        <v>1.8867924528301886E-2</v>
      </c>
      <c r="AS449" s="9">
        <v>1.8867924528301886E-2</v>
      </c>
      <c r="AT449" s="9">
        <v>1.8867924528301886E-2</v>
      </c>
      <c r="AU449" s="9">
        <v>1.8867924528301886E-2</v>
      </c>
      <c r="AV449" s="9">
        <v>1.8867924528301886E-2</v>
      </c>
      <c r="AW449" s="9">
        <v>1.8867924528301886E-2</v>
      </c>
      <c r="AX449" s="9">
        <v>1.8867924528301886E-2</v>
      </c>
      <c r="AY449" s="9">
        <v>1.8867924528301886E-2</v>
      </c>
      <c r="AZ449" s="9">
        <v>1.8867924528301886E-2</v>
      </c>
      <c r="BA449" s="9">
        <v>1.8867924528301886E-2</v>
      </c>
      <c r="BB449" s="9">
        <v>1.8867924528301886E-2</v>
      </c>
      <c r="BC449" s="9">
        <v>1.8867924528301886E-2</v>
      </c>
      <c r="BD449" s="9">
        <v>1.8867924528301886E-2</v>
      </c>
      <c r="BE449" s="9">
        <v>1.8867924528301886E-2</v>
      </c>
      <c r="BF449" s="9">
        <v>1.8867924528301886E-2</v>
      </c>
      <c r="BG449" s="9">
        <v>1.8867924528301886E-2</v>
      </c>
      <c r="BH449" s="9">
        <v>1.8867924528301886E-2</v>
      </c>
      <c r="BI449" s="9">
        <v>1.8867924528301886E-2</v>
      </c>
      <c r="BJ449" s="9">
        <v>1.8867924528301886E-2</v>
      </c>
      <c r="BK449" s="9">
        <v>1.8867924528301886E-2</v>
      </c>
      <c r="BL449" s="9">
        <v>1.8867924528301886E-2</v>
      </c>
      <c r="BM449" s="9">
        <v>1.8867924528301886E-2</v>
      </c>
      <c r="BN449" s="9">
        <v>1.8867924528301886E-2</v>
      </c>
      <c r="BO449" s="9">
        <v>1.8867924528301886E-2</v>
      </c>
      <c r="BP449" s="9">
        <v>1.8867924528301886E-2</v>
      </c>
      <c r="BQ449" s="9">
        <v>1.8867924528301886E-2</v>
      </c>
      <c r="BR449" s="9">
        <v>1.8867924528301886E-2</v>
      </c>
      <c r="BS449" s="9">
        <v>1.8867924528301886E-2</v>
      </c>
      <c r="BT449" s="9">
        <v>1.8867924528301886E-2</v>
      </c>
      <c r="BU449" s="9">
        <v>1.8867924528301886E-2</v>
      </c>
      <c r="BV449" s="9">
        <v>1.8867924528301886E-2</v>
      </c>
      <c r="BW449" s="9">
        <v>1.8867924528301886E-2</v>
      </c>
      <c r="BX449" s="9">
        <v>1.8867924528301886E-2</v>
      </c>
    </row>
    <row r="450" spans="1:76">
      <c r="A450" s="3" t="s">
        <v>66</v>
      </c>
      <c r="B450" t="s">
        <v>4510</v>
      </c>
      <c r="D450" t="s">
        <v>4967</v>
      </c>
      <c r="F450" s="91" t="s">
        <v>4973</v>
      </c>
      <c r="H450" s="3" t="s">
        <v>4984</v>
      </c>
      <c r="I450" s="3"/>
      <c r="J450" s="124"/>
      <c r="K450" s="124"/>
      <c r="M450" s="124"/>
      <c r="X450" s="10">
        <v>1.8867924528301886E-2</v>
      </c>
      <c r="Y450" s="9">
        <v>1.8867924528301886E-2</v>
      </c>
      <c r="Z450" s="9">
        <v>1.8867924528301886E-2</v>
      </c>
      <c r="AA450" s="9">
        <v>1.8867924528301886E-2</v>
      </c>
      <c r="AB450" s="9">
        <v>1.8867924528301886E-2</v>
      </c>
      <c r="AC450" s="9">
        <v>1.8867924528301886E-2</v>
      </c>
      <c r="AD450" s="9">
        <v>1.8867924528301886E-2</v>
      </c>
      <c r="AE450" s="9">
        <v>1.8867924528301886E-2</v>
      </c>
      <c r="AF450" s="9">
        <v>1.8867924528301886E-2</v>
      </c>
      <c r="AG450" s="9">
        <v>1.8867924528301886E-2</v>
      </c>
      <c r="AH450" s="9">
        <v>1.8867924528301886E-2</v>
      </c>
      <c r="AI450" s="9">
        <v>1.8867924528301886E-2</v>
      </c>
      <c r="AJ450" s="9">
        <v>1.8867924528301886E-2</v>
      </c>
      <c r="AK450" s="9">
        <v>1.8867924528301886E-2</v>
      </c>
      <c r="AL450" s="9">
        <v>1.8867924528301886E-2</v>
      </c>
      <c r="AM450" s="9">
        <v>1.8867924528301886E-2</v>
      </c>
      <c r="AN450" s="9">
        <v>1.8867924528301886E-2</v>
      </c>
      <c r="AO450" s="9">
        <v>1.8867924528301886E-2</v>
      </c>
      <c r="AP450" s="9">
        <v>1.8867924528301886E-2</v>
      </c>
      <c r="AQ450" s="9">
        <v>1.8867924528301886E-2</v>
      </c>
      <c r="AR450" s="9">
        <v>1.8867924528301886E-2</v>
      </c>
      <c r="AS450" s="9">
        <v>1.8867924528301886E-2</v>
      </c>
      <c r="AT450" s="9">
        <v>1.8867924528301886E-2</v>
      </c>
      <c r="AU450" s="9">
        <v>1.8867924528301886E-2</v>
      </c>
      <c r="AV450" s="9">
        <v>1.8867924528301886E-2</v>
      </c>
      <c r="AW450" s="9">
        <v>1.8867924528301886E-2</v>
      </c>
      <c r="AX450" s="9">
        <v>1.8867924528301886E-2</v>
      </c>
      <c r="AY450" s="9">
        <v>1.8867924528301886E-2</v>
      </c>
      <c r="AZ450" s="9">
        <v>1.8867924528301886E-2</v>
      </c>
      <c r="BA450" s="9">
        <v>1.8867924528301886E-2</v>
      </c>
      <c r="BB450" s="9">
        <v>1.8867924528301886E-2</v>
      </c>
      <c r="BC450" s="9">
        <v>1.8867924528301886E-2</v>
      </c>
      <c r="BD450" s="9">
        <v>1.8867924528301886E-2</v>
      </c>
      <c r="BE450" s="9">
        <v>1.8867924528301886E-2</v>
      </c>
      <c r="BF450" s="9">
        <v>1.8867924528301886E-2</v>
      </c>
      <c r="BG450" s="9">
        <v>1.8867924528301886E-2</v>
      </c>
      <c r="BH450" s="9">
        <v>1.8867924528301886E-2</v>
      </c>
      <c r="BI450" s="9">
        <v>1.8867924528301886E-2</v>
      </c>
      <c r="BJ450" s="9">
        <v>1.8867924528301886E-2</v>
      </c>
      <c r="BK450" s="9">
        <v>1.8867924528301886E-2</v>
      </c>
      <c r="BL450" s="9">
        <v>1.8867924528301886E-2</v>
      </c>
      <c r="BM450" s="9">
        <v>1.8867924528301886E-2</v>
      </c>
      <c r="BN450" s="9">
        <v>1.8867924528301886E-2</v>
      </c>
      <c r="BO450" s="9">
        <v>1.8867924528301886E-2</v>
      </c>
      <c r="BP450" s="9">
        <v>1.8867924528301886E-2</v>
      </c>
      <c r="BQ450" s="9">
        <v>1.8867924528301886E-2</v>
      </c>
      <c r="BR450" s="9">
        <v>1.8867924528301886E-2</v>
      </c>
      <c r="BS450" s="9">
        <v>1.8867924528301886E-2</v>
      </c>
      <c r="BT450" s="9">
        <v>1.8867924528301886E-2</v>
      </c>
      <c r="BU450" s="9">
        <v>1.8867924528301886E-2</v>
      </c>
      <c r="BV450" s="9">
        <v>1.8867924528301886E-2</v>
      </c>
      <c r="BW450" s="9">
        <v>1.8867924528301886E-2</v>
      </c>
      <c r="BX450" s="9">
        <v>1.8867924528301886E-2</v>
      </c>
    </row>
    <row r="451" spans="1:76">
      <c r="A451" s="3" t="s">
        <v>66</v>
      </c>
      <c r="B451" t="s">
        <v>5264</v>
      </c>
      <c r="D451" t="s">
        <v>4967</v>
      </c>
      <c r="F451" s="91" t="s">
        <v>4973</v>
      </c>
      <c r="H451" s="3" t="s">
        <v>4984</v>
      </c>
      <c r="I451" s="3"/>
      <c r="J451" s="124"/>
      <c r="K451" s="124"/>
      <c r="M451" s="124"/>
      <c r="X451" s="10">
        <v>1.8867924528301886E-2</v>
      </c>
      <c r="Y451" s="9">
        <v>1.8867924528301886E-2</v>
      </c>
      <c r="Z451" s="9">
        <v>1.8867924528301886E-2</v>
      </c>
      <c r="AA451" s="9">
        <v>1.8867924528301886E-2</v>
      </c>
      <c r="AB451" s="9">
        <v>1.8867924528301886E-2</v>
      </c>
      <c r="AC451" s="9">
        <v>1.8867924528301886E-2</v>
      </c>
      <c r="AD451" s="9">
        <v>1.8867924528301886E-2</v>
      </c>
      <c r="AE451" s="9">
        <v>1.8867924528301886E-2</v>
      </c>
      <c r="AF451" s="9">
        <v>1.8867924528301886E-2</v>
      </c>
      <c r="AG451" s="9">
        <v>1.8867924528301886E-2</v>
      </c>
      <c r="AH451" s="9">
        <v>1.8867924528301886E-2</v>
      </c>
      <c r="AI451" s="9">
        <v>1.8867924528301886E-2</v>
      </c>
      <c r="AJ451" s="9">
        <v>1.8867924528301886E-2</v>
      </c>
      <c r="AK451" s="9">
        <v>1.8867924528301886E-2</v>
      </c>
      <c r="AL451" s="9">
        <v>1.8867924528301886E-2</v>
      </c>
      <c r="AM451" s="9">
        <v>1.8867924528301886E-2</v>
      </c>
      <c r="AN451" s="9">
        <v>1.8867924528301886E-2</v>
      </c>
      <c r="AO451" s="9">
        <v>1.8867924528301886E-2</v>
      </c>
      <c r="AP451" s="9">
        <v>1.8867924528301886E-2</v>
      </c>
      <c r="AQ451" s="9">
        <v>1.8867924528301886E-2</v>
      </c>
      <c r="AR451" s="9">
        <v>1.8867924528301886E-2</v>
      </c>
      <c r="AS451" s="9">
        <v>1.8867924528301886E-2</v>
      </c>
      <c r="AT451" s="9">
        <v>1.8867924528301886E-2</v>
      </c>
      <c r="AU451" s="9">
        <v>1.8867924528301886E-2</v>
      </c>
      <c r="AV451" s="9">
        <v>1.8867924528301886E-2</v>
      </c>
      <c r="AW451" s="9">
        <v>1.8867924528301886E-2</v>
      </c>
      <c r="AX451" s="9">
        <v>1.8867924528301886E-2</v>
      </c>
      <c r="AY451" s="9">
        <v>1.8867924528301886E-2</v>
      </c>
      <c r="AZ451" s="9">
        <v>1.8867924528301886E-2</v>
      </c>
      <c r="BA451" s="9">
        <v>1.8867924528301886E-2</v>
      </c>
      <c r="BB451" s="9">
        <v>1.8867924528301886E-2</v>
      </c>
      <c r="BC451" s="9">
        <v>1.8867924528301886E-2</v>
      </c>
      <c r="BD451" s="9">
        <v>1.8867924528301886E-2</v>
      </c>
      <c r="BE451" s="9">
        <v>1.8867924528301886E-2</v>
      </c>
      <c r="BF451" s="9">
        <v>1.8867924528301886E-2</v>
      </c>
      <c r="BG451" s="9">
        <v>1.8867924528301886E-2</v>
      </c>
      <c r="BH451" s="9">
        <v>1.8867924528301886E-2</v>
      </c>
      <c r="BI451" s="9">
        <v>1.8867924528301886E-2</v>
      </c>
      <c r="BJ451" s="9">
        <v>1.8867924528301886E-2</v>
      </c>
      <c r="BK451" s="9">
        <v>1.8867924528301886E-2</v>
      </c>
      <c r="BL451" s="9">
        <v>1.8867924528301886E-2</v>
      </c>
      <c r="BM451" s="9">
        <v>1.8867924528301886E-2</v>
      </c>
      <c r="BN451" s="9">
        <v>1.8867924528301886E-2</v>
      </c>
      <c r="BO451" s="9">
        <v>1.8867924528301886E-2</v>
      </c>
      <c r="BP451" s="9">
        <v>1.8867924528301886E-2</v>
      </c>
      <c r="BQ451" s="9">
        <v>1.8867924528301886E-2</v>
      </c>
      <c r="BR451" s="9">
        <v>1.8867924528301886E-2</v>
      </c>
      <c r="BS451" s="9">
        <v>1.8867924528301886E-2</v>
      </c>
      <c r="BT451" s="9">
        <v>1.8867924528301886E-2</v>
      </c>
      <c r="BU451" s="9">
        <v>1.8867924528301886E-2</v>
      </c>
      <c r="BV451" s="9">
        <v>1.8867924528301886E-2</v>
      </c>
      <c r="BW451" s="9">
        <v>1.8867924528301886E-2</v>
      </c>
      <c r="BX451" s="9">
        <v>1.8867924528301886E-2</v>
      </c>
    </row>
    <row r="452" spans="1:76">
      <c r="A452" s="3" t="s">
        <v>66</v>
      </c>
      <c r="B452" t="s">
        <v>4404</v>
      </c>
      <c r="D452" t="s">
        <v>4967</v>
      </c>
      <c r="F452" s="91" t="s">
        <v>4973</v>
      </c>
      <c r="H452" s="3" t="s">
        <v>4984</v>
      </c>
      <c r="I452" s="3"/>
      <c r="J452" s="124"/>
      <c r="K452" s="124"/>
      <c r="M452" s="124"/>
      <c r="X452" s="10">
        <v>1.8867924528301886E-2</v>
      </c>
      <c r="Y452" s="9">
        <v>1.8867924528301886E-2</v>
      </c>
      <c r="Z452" s="9">
        <v>1.8867924528301886E-2</v>
      </c>
      <c r="AA452" s="9">
        <v>1.8867924528301886E-2</v>
      </c>
      <c r="AB452" s="9">
        <v>1.8867924528301886E-2</v>
      </c>
      <c r="AC452" s="9">
        <v>1.8867924528301886E-2</v>
      </c>
      <c r="AD452" s="9">
        <v>1.8867924528301886E-2</v>
      </c>
      <c r="AE452" s="9">
        <v>1.8867924528301886E-2</v>
      </c>
      <c r="AF452" s="9">
        <v>1.8867924528301886E-2</v>
      </c>
      <c r="AG452" s="9">
        <v>1.8867924528301886E-2</v>
      </c>
      <c r="AH452" s="9">
        <v>1.8867924528301886E-2</v>
      </c>
      <c r="AI452" s="9">
        <v>1.8867924528301886E-2</v>
      </c>
      <c r="AJ452" s="9">
        <v>1.8867924528301886E-2</v>
      </c>
      <c r="AK452" s="9">
        <v>1.8867924528301886E-2</v>
      </c>
      <c r="AL452" s="9">
        <v>1.8867924528301886E-2</v>
      </c>
      <c r="AM452" s="9">
        <v>1.8867924528301886E-2</v>
      </c>
      <c r="AN452" s="9">
        <v>1.8867924528301886E-2</v>
      </c>
      <c r="AO452" s="9">
        <v>1.8867924528301886E-2</v>
      </c>
      <c r="AP452" s="9">
        <v>1.8867924528301886E-2</v>
      </c>
      <c r="AQ452" s="9">
        <v>1.8867924528301886E-2</v>
      </c>
      <c r="AR452" s="9">
        <v>1.8867924528301886E-2</v>
      </c>
      <c r="AS452" s="9">
        <v>1.8867924528301886E-2</v>
      </c>
      <c r="AT452" s="9">
        <v>1.8867924528301886E-2</v>
      </c>
      <c r="AU452" s="9">
        <v>1.8867924528301886E-2</v>
      </c>
      <c r="AV452" s="9">
        <v>1.8867924528301886E-2</v>
      </c>
      <c r="AW452" s="9">
        <v>1.8867924528301886E-2</v>
      </c>
      <c r="AX452" s="9">
        <v>1.8867924528301886E-2</v>
      </c>
      <c r="AY452" s="9">
        <v>1.8867924528301886E-2</v>
      </c>
      <c r="AZ452" s="9">
        <v>1.8867924528301886E-2</v>
      </c>
      <c r="BA452" s="9">
        <v>1.8867924528301886E-2</v>
      </c>
      <c r="BB452" s="9">
        <v>1.8867924528301886E-2</v>
      </c>
      <c r="BC452" s="9">
        <v>1.8867924528301886E-2</v>
      </c>
      <c r="BD452" s="9">
        <v>1.8867924528301886E-2</v>
      </c>
      <c r="BE452" s="9">
        <v>1.8867924528301886E-2</v>
      </c>
      <c r="BF452" s="9">
        <v>1.8867924528301886E-2</v>
      </c>
      <c r="BG452" s="9">
        <v>1.8867924528301886E-2</v>
      </c>
      <c r="BH452" s="9">
        <v>1.8867924528301886E-2</v>
      </c>
      <c r="BI452" s="9">
        <v>1.8867924528301886E-2</v>
      </c>
      <c r="BJ452" s="9">
        <v>1.8867924528301886E-2</v>
      </c>
      <c r="BK452" s="9">
        <v>1.8867924528301886E-2</v>
      </c>
      <c r="BL452" s="9">
        <v>1.8867924528301886E-2</v>
      </c>
      <c r="BM452" s="9">
        <v>1.8867924528301886E-2</v>
      </c>
      <c r="BN452" s="9">
        <v>1.8867924528301886E-2</v>
      </c>
      <c r="BO452" s="9">
        <v>1.8867924528301886E-2</v>
      </c>
      <c r="BP452" s="9">
        <v>1.8867924528301886E-2</v>
      </c>
      <c r="BQ452" s="9">
        <v>1.8867924528301886E-2</v>
      </c>
      <c r="BR452" s="9">
        <v>1.8867924528301886E-2</v>
      </c>
      <c r="BS452" s="9">
        <v>1.8867924528301886E-2</v>
      </c>
      <c r="BT452" s="9">
        <v>1.8867924528301886E-2</v>
      </c>
      <c r="BU452" s="9">
        <v>1.8867924528301886E-2</v>
      </c>
      <c r="BV452" s="9">
        <v>1.8867924528301886E-2</v>
      </c>
      <c r="BW452" s="9">
        <v>1.8867924528301886E-2</v>
      </c>
      <c r="BX452" s="9">
        <v>1.8867924528301886E-2</v>
      </c>
    </row>
    <row r="453" spans="1:76">
      <c r="A453" s="3" t="s">
        <v>66</v>
      </c>
      <c r="B453" t="s">
        <v>4765</v>
      </c>
      <c r="D453" t="s">
        <v>4967</v>
      </c>
      <c r="F453" s="91" t="s">
        <v>4973</v>
      </c>
      <c r="H453" s="3" t="s">
        <v>4984</v>
      </c>
      <c r="I453" s="3"/>
      <c r="J453" s="124"/>
      <c r="K453" s="124"/>
      <c r="M453" s="124"/>
      <c r="X453" s="10">
        <v>1.8867924528301886E-2</v>
      </c>
      <c r="Y453" s="9">
        <v>1.8867924528301886E-2</v>
      </c>
      <c r="Z453" s="9">
        <v>1.8867924528301886E-2</v>
      </c>
      <c r="AA453" s="9">
        <v>1.8867924528301886E-2</v>
      </c>
      <c r="AB453" s="9">
        <v>1.8867924528301886E-2</v>
      </c>
      <c r="AC453" s="9">
        <v>1.8867924528301886E-2</v>
      </c>
      <c r="AD453" s="9">
        <v>1.8867924528301886E-2</v>
      </c>
      <c r="AE453" s="9">
        <v>1.8867924528301886E-2</v>
      </c>
      <c r="AF453" s="9">
        <v>1.8867924528301886E-2</v>
      </c>
      <c r="AG453" s="9">
        <v>1.8867924528301886E-2</v>
      </c>
      <c r="AH453" s="9">
        <v>1.8867924528301886E-2</v>
      </c>
      <c r="AI453" s="9">
        <v>1.8867924528301886E-2</v>
      </c>
      <c r="AJ453" s="9">
        <v>1.8867924528301886E-2</v>
      </c>
      <c r="AK453" s="9">
        <v>1.8867924528301886E-2</v>
      </c>
      <c r="AL453" s="9">
        <v>1.8867924528301886E-2</v>
      </c>
      <c r="AM453" s="9">
        <v>1.8867924528301886E-2</v>
      </c>
      <c r="AN453" s="9">
        <v>1.8867924528301886E-2</v>
      </c>
      <c r="AO453" s="9">
        <v>1.8867924528301886E-2</v>
      </c>
      <c r="AP453" s="9">
        <v>1.8867924528301886E-2</v>
      </c>
      <c r="AQ453" s="9">
        <v>1.8867924528301886E-2</v>
      </c>
      <c r="AR453" s="9">
        <v>1.8867924528301886E-2</v>
      </c>
      <c r="AS453" s="9">
        <v>1.8867924528301886E-2</v>
      </c>
      <c r="AT453" s="9">
        <v>1.8867924528301886E-2</v>
      </c>
      <c r="AU453" s="9">
        <v>1.8867924528301886E-2</v>
      </c>
      <c r="AV453" s="9">
        <v>1.8867924528301886E-2</v>
      </c>
      <c r="AW453" s="9">
        <v>1.8867924528301886E-2</v>
      </c>
      <c r="AX453" s="9">
        <v>1.8867924528301886E-2</v>
      </c>
      <c r="AY453" s="9">
        <v>1.8867924528301886E-2</v>
      </c>
      <c r="AZ453" s="9">
        <v>1.8867924528301886E-2</v>
      </c>
      <c r="BA453" s="9">
        <v>1.8867924528301886E-2</v>
      </c>
      <c r="BB453" s="9">
        <v>1.8867924528301886E-2</v>
      </c>
      <c r="BC453" s="9">
        <v>1.8867924528301886E-2</v>
      </c>
      <c r="BD453" s="9">
        <v>1.8867924528301886E-2</v>
      </c>
      <c r="BE453" s="9">
        <v>1.8867924528301886E-2</v>
      </c>
      <c r="BF453" s="9">
        <v>1.8867924528301886E-2</v>
      </c>
      <c r="BG453" s="9">
        <v>1.8867924528301886E-2</v>
      </c>
      <c r="BH453" s="9">
        <v>1.8867924528301886E-2</v>
      </c>
      <c r="BI453" s="9">
        <v>1.8867924528301886E-2</v>
      </c>
      <c r="BJ453" s="9">
        <v>1.8867924528301886E-2</v>
      </c>
      <c r="BK453" s="9">
        <v>1.8867924528301886E-2</v>
      </c>
      <c r="BL453" s="9">
        <v>1.8867924528301886E-2</v>
      </c>
      <c r="BM453" s="9">
        <v>1.8867924528301886E-2</v>
      </c>
      <c r="BN453" s="9">
        <v>1.8867924528301886E-2</v>
      </c>
      <c r="BO453" s="9">
        <v>1.8867924528301886E-2</v>
      </c>
      <c r="BP453" s="9">
        <v>1.8867924528301886E-2</v>
      </c>
      <c r="BQ453" s="9">
        <v>1.8867924528301886E-2</v>
      </c>
      <c r="BR453" s="9">
        <v>1.8867924528301886E-2</v>
      </c>
      <c r="BS453" s="9">
        <v>1.8867924528301886E-2</v>
      </c>
      <c r="BT453" s="9">
        <v>1.8867924528301886E-2</v>
      </c>
      <c r="BU453" s="9">
        <v>1.8867924528301886E-2</v>
      </c>
      <c r="BV453" s="9">
        <v>1.8867924528301886E-2</v>
      </c>
      <c r="BW453" s="9">
        <v>1.8867924528301886E-2</v>
      </c>
      <c r="BX453" s="9">
        <v>1.8867924528301886E-2</v>
      </c>
    </row>
    <row r="454" spans="1:76">
      <c r="A454" s="3" t="s">
        <v>66</v>
      </c>
      <c r="B454" t="s">
        <v>4767</v>
      </c>
      <c r="D454" t="s">
        <v>4967</v>
      </c>
      <c r="F454" s="91" t="s">
        <v>4973</v>
      </c>
      <c r="H454" s="3" t="s">
        <v>4984</v>
      </c>
      <c r="I454" s="3"/>
      <c r="J454" s="124"/>
      <c r="K454" s="124"/>
      <c r="M454" s="124"/>
      <c r="X454" s="10">
        <v>1.8867924528301886E-2</v>
      </c>
      <c r="Y454" s="9">
        <v>1.8867924528301886E-2</v>
      </c>
      <c r="Z454" s="9">
        <v>1.8867924528301886E-2</v>
      </c>
      <c r="AA454" s="9">
        <v>1.8867924528301886E-2</v>
      </c>
      <c r="AB454" s="9">
        <v>1.8867924528301886E-2</v>
      </c>
      <c r="AC454" s="9">
        <v>1.8867924528301886E-2</v>
      </c>
      <c r="AD454" s="9">
        <v>1.8867924528301886E-2</v>
      </c>
      <c r="AE454" s="9">
        <v>1.8867924528301886E-2</v>
      </c>
      <c r="AF454" s="9">
        <v>1.8867924528301886E-2</v>
      </c>
      <c r="AG454" s="9">
        <v>1.8867924528301886E-2</v>
      </c>
      <c r="AH454" s="9">
        <v>1.8867924528301886E-2</v>
      </c>
      <c r="AI454" s="9">
        <v>1.8867924528301886E-2</v>
      </c>
      <c r="AJ454" s="9">
        <v>1.8867924528301886E-2</v>
      </c>
      <c r="AK454" s="9">
        <v>1.8867924528301886E-2</v>
      </c>
      <c r="AL454" s="9">
        <v>1.8867924528301886E-2</v>
      </c>
      <c r="AM454" s="9">
        <v>1.8867924528301886E-2</v>
      </c>
      <c r="AN454" s="9">
        <v>1.8867924528301886E-2</v>
      </c>
      <c r="AO454" s="9">
        <v>1.8867924528301886E-2</v>
      </c>
      <c r="AP454" s="9">
        <v>1.8867924528301886E-2</v>
      </c>
      <c r="AQ454" s="9">
        <v>1.8867924528301886E-2</v>
      </c>
      <c r="AR454" s="9">
        <v>1.8867924528301886E-2</v>
      </c>
      <c r="AS454" s="9">
        <v>1.8867924528301886E-2</v>
      </c>
      <c r="AT454" s="9">
        <v>1.8867924528301886E-2</v>
      </c>
      <c r="AU454" s="9">
        <v>1.8867924528301886E-2</v>
      </c>
      <c r="AV454" s="9">
        <v>1.8867924528301886E-2</v>
      </c>
      <c r="AW454" s="9">
        <v>1.8867924528301886E-2</v>
      </c>
      <c r="AX454" s="9">
        <v>1.8867924528301886E-2</v>
      </c>
      <c r="AY454" s="9">
        <v>1.8867924528301886E-2</v>
      </c>
      <c r="AZ454" s="9">
        <v>1.8867924528301886E-2</v>
      </c>
      <c r="BA454" s="9">
        <v>1.8867924528301886E-2</v>
      </c>
      <c r="BB454" s="9">
        <v>1.8867924528301886E-2</v>
      </c>
      <c r="BC454" s="9">
        <v>1.8867924528301886E-2</v>
      </c>
      <c r="BD454" s="9">
        <v>1.8867924528301886E-2</v>
      </c>
      <c r="BE454" s="9">
        <v>1.8867924528301886E-2</v>
      </c>
      <c r="BF454" s="9">
        <v>1.8867924528301886E-2</v>
      </c>
      <c r="BG454" s="9">
        <v>1.8867924528301886E-2</v>
      </c>
      <c r="BH454" s="9">
        <v>1.8867924528301886E-2</v>
      </c>
      <c r="BI454" s="9">
        <v>1.8867924528301886E-2</v>
      </c>
      <c r="BJ454" s="9">
        <v>1.8867924528301886E-2</v>
      </c>
      <c r="BK454" s="9">
        <v>1.8867924528301886E-2</v>
      </c>
      <c r="BL454" s="9">
        <v>1.8867924528301886E-2</v>
      </c>
      <c r="BM454" s="9">
        <v>1.8867924528301886E-2</v>
      </c>
      <c r="BN454" s="9">
        <v>1.8867924528301886E-2</v>
      </c>
      <c r="BO454" s="9">
        <v>1.8867924528301886E-2</v>
      </c>
      <c r="BP454" s="9">
        <v>1.8867924528301886E-2</v>
      </c>
      <c r="BQ454" s="9">
        <v>1.8867924528301886E-2</v>
      </c>
      <c r="BR454" s="9">
        <v>1.8867924528301886E-2</v>
      </c>
      <c r="BS454" s="9">
        <v>1.8867924528301886E-2</v>
      </c>
      <c r="BT454" s="9">
        <v>1.8867924528301886E-2</v>
      </c>
      <c r="BU454" s="9">
        <v>1.8867924528301886E-2</v>
      </c>
      <c r="BV454" s="9">
        <v>1.8867924528301886E-2</v>
      </c>
      <c r="BW454" s="9">
        <v>1.8867924528301886E-2</v>
      </c>
      <c r="BX454" s="9">
        <v>1.8867924528301886E-2</v>
      </c>
    </row>
    <row r="455" spans="1:76">
      <c r="A455" s="3" t="s">
        <v>66</v>
      </c>
      <c r="B455" t="s">
        <v>4769</v>
      </c>
      <c r="D455" t="s">
        <v>4967</v>
      </c>
      <c r="F455" s="91" t="s">
        <v>4973</v>
      </c>
      <c r="H455" s="3" t="s">
        <v>4984</v>
      </c>
      <c r="I455" s="3"/>
      <c r="J455" s="124"/>
      <c r="K455" s="124"/>
      <c r="M455" s="124"/>
      <c r="X455" s="10">
        <v>1.8867924528301886E-2</v>
      </c>
      <c r="Y455" s="9">
        <v>1.8867924528301886E-2</v>
      </c>
      <c r="Z455" s="9">
        <v>1.8867924528301886E-2</v>
      </c>
      <c r="AA455" s="9">
        <v>1.8867924528301886E-2</v>
      </c>
      <c r="AB455" s="9">
        <v>1.8867924528301886E-2</v>
      </c>
      <c r="AC455" s="9">
        <v>1.8867924528301886E-2</v>
      </c>
      <c r="AD455" s="9">
        <v>1.8867924528301886E-2</v>
      </c>
      <c r="AE455" s="9">
        <v>1.8867924528301886E-2</v>
      </c>
      <c r="AF455" s="9">
        <v>1.8867924528301886E-2</v>
      </c>
      <c r="AG455" s="9">
        <v>1.8867924528301886E-2</v>
      </c>
      <c r="AH455" s="9">
        <v>1.8867924528301886E-2</v>
      </c>
      <c r="AI455" s="9">
        <v>1.8867924528301886E-2</v>
      </c>
      <c r="AJ455" s="9">
        <v>1.8867924528301886E-2</v>
      </c>
      <c r="AK455" s="9">
        <v>1.8867924528301886E-2</v>
      </c>
      <c r="AL455" s="9">
        <v>1.8867924528301886E-2</v>
      </c>
      <c r="AM455" s="9">
        <v>1.8867924528301886E-2</v>
      </c>
      <c r="AN455" s="9">
        <v>1.8867924528301886E-2</v>
      </c>
      <c r="AO455" s="9">
        <v>1.8867924528301886E-2</v>
      </c>
      <c r="AP455" s="9">
        <v>1.8867924528301886E-2</v>
      </c>
      <c r="AQ455" s="9">
        <v>1.8867924528301886E-2</v>
      </c>
      <c r="AR455" s="9">
        <v>1.8867924528301886E-2</v>
      </c>
      <c r="AS455" s="9">
        <v>1.8867924528301886E-2</v>
      </c>
      <c r="AT455" s="9">
        <v>1.8867924528301886E-2</v>
      </c>
      <c r="AU455" s="9">
        <v>1.8867924528301886E-2</v>
      </c>
      <c r="AV455" s="9">
        <v>1.8867924528301886E-2</v>
      </c>
      <c r="AW455" s="9">
        <v>1.8867924528301886E-2</v>
      </c>
      <c r="AX455" s="9">
        <v>1.8867924528301886E-2</v>
      </c>
      <c r="AY455" s="9">
        <v>1.8867924528301886E-2</v>
      </c>
      <c r="AZ455" s="9">
        <v>1.8867924528301886E-2</v>
      </c>
      <c r="BA455" s="9">
        <v>1.8867924528301886E-2</v>
      </c>
      <c r="BB455" s="9">
        <v>1.8867924528301886E-2</v>
      </c>
      <c r="BC455" s="9">
        <v>1.8867924528301886E-2</v>
      </c>
      <c r="BD455" s="9">
        <v>1.8867924528301886E-2</v>
      </c>
      <c r="BE455" s="9">
        <v>1.8867924528301886E-2</v>
      </c>
      <c r="BF455" s="9">
        <v>1.8867924528301886E-2</v>
      </c>
      <c r="BG455" s="9">
        <v>1.8867924528301886E-2</v>
      </c>
      <c r="BH455" s="9">
        <v>1.8867924528301886E-2</v>
      </c>
      <c r="BI455" s="9">
        <v>1.8867924528301886E-2</v>
      </c>
      <c r="BJ455" s="9">
        <v>1.8867924528301886E-2</v>
      </c>
      <c r="BK455" s="9">
        <v>1.8867924528301886E-2</v>
      </c>
      <c r="BL455" s="9">
        <v>1.8867924528301886E-2</v>
      </c>
      <c r="BM455" s="9">
        <v>1.8867924528301886E-2</v>
      </c>
      <c r="BN455" s="9">
        <v>1.8867924528301886E-2</v>
      </c>
      <c r="BO455" s="9">
        <v>1.8867924528301886E-2</v>
      </c>
      <c r="BP455" s="9">
        <v>1.8867924528301886E-2</v>
      </c>
      <c r="BQ455" s="9">
        <v>1.8867924528301886E-2</v>
      </c>
      <c r="BR455" s="9">
        <v>1.8867924528301886E-2</v>
      </c>
      <c r="BS455" s="9">
        <v>1.8867924528301886E-2</v>
      </c>
      <c r="BT455" s="9">
        <v>1.8867924528301886E-2</v>
      </c>
      <c r="BU455" s="9">
        <v>1.8867924528301886E-2</v>
      </c>
      <c r="BV455" s="9">
        <v>1.8867924528301886E-2</v>
      </c>
      <c r="BW455" s="9">
        <v>1.8867924528301886E-2</v>
      </c>
      <c r="BX455" s="9">
        <v>1.8867924528301886E-2</v>
      </c>
    </row>
    <row r="456" spans="1:76">
      <c r="A456" s="3" t="s">
        <v>66</v>
      </c>
      <c r="B456" t="s">
        <v>4771</v>
      </c>
      <c r="D456" t="s">
        <v>4967</v>
      </c>
      <c r="F456" s="91" t="s">
        <v>4973</v>
      </c>
      <c r="H456" s="3" t="s">
        <v>4984</v>
      </c>
      <c r="I456" s="3"/>
      <c r="J456" s="124"/>
      <c r="K456" s="124"/>
      <c r="M456" s="124"/>
      <c r="X456" s="10">
        <v>1.8867924528301886E-2</v>
      </c>
      <c r="Y456" s="9">
        <v>1.8867924528301886E-2</v>
      </c>
      <c r="Z456" s="9">
        <v>1.8867924528301886E-2</v>
      </c>
      <c r="AA456" s="9">
        <v>1.8867924528301886E-2</v>
      </c>
      <c r="AB456" s="9">
        <v>1.8867924528301886E-2</v>
      </c>
      <c r="AC456" s="9">
        <v>1.8867924528301886E-2</v>
      </c>
      <c r="AD456" s="9">
        <v>1.8867924528301886E-2</v>
      </c>
      <c r="AE456" s="9">
        <v>1.8867924528301886E-2</v>
      </c>
      <c r="AF456" s="9">
        <v>1.8867924528301886E-2</v>
      </c>
      <c r="AG456" s="9">
        <v>1.8867924528301886E-2</v>
      </c>
      <c r="AH456" s="9">
        <v>1.8867924528301886E-2</v>
      </c>
      <c r="AI456" s="9">
        <v>1.8867924528301886E-2</v>
      </c>
      <c r="AJ456" s="9">
        <v>1.8867924528301886E-2</v>
      </c>
      <c r="AK456" s="9">
        <v>1.8867924528301886E-2</v>
      </c>
      <c r="AL456" s="9">
        <v>1.8867924528301886E-2</v>
      </c>
      <c r="AM456" s="9">
        <v>1.8867924528301886E-2</v>
      </c>
      <c r="AN456" s="9">
        <v>1.8867924528301886E-2</v>
      </c>
      <c r="AO456" s="9">
        <v>1.8867924528301886E-2</v>
      </c>
      <c r="AP456" s="9">
        <v>1.8867924528301886E-2</v>
      </c>
      <c r="AQ456" s="9">
        <v>1.8867924528301886E-2</v>
      </c>
      <c r="AR456" s="9">
        <v>1.8867924528301886E-2</v>
      </c>
      <c r="AS456" s="9">
        <v>1.8867924528301886E-2</v>
      </c>
      <c r="AT456" s="9">
        <v>1.8867924528301886E-2</v>
      </c>
      <c r="AU456" s="9">
        <v>1.8867924528301886E-2</v>
      </c>
      <c r="AV456" s="9">
        <v>1.8867924528301886E-2</v>
      </c>
      <c r="AW456" s="9">
        <v>1.8867924528301886E-2</v>
      </c>
      <c r="AX456" s="9">
        <v>1.8867924528301886E-2</v>
      </c>
      <c r="AY456" s="9">
        <v>1.8867924528301886E-2</v>
      </c>
      <c r="AZ456" s="9">
        <v>1.8867924528301886E-2</v>
      </c>
      <c r="BA456" s="9">
        <v>1.8867924528301886E-2</v>
      </c>
      <c r="BB456" s="9">
        <v>1.8867924528301886E-2</v>
      </c>
      <c r="BC456" s="9">
        <v>1.8867924528301886E-2</v>
      </c>
      <c r="BD456" s="9">
        <v>1.8867924528301886E-2</v>
      </c>
      <c r="BE456" s="9">
        <v>1.8867924528301886E-2</v>
      </c>
      <c r="BF456" s="9">
        <v>1.8867924528301886E-2</v>
      </c>
      <c r="BG456" s="9">
        <v>1.8867924528301886E-2</v>
      </c>
      <c r="BH456" s="9">
        <v>1.8867924528301886E-2</v>
      </c>
      <c r="BI456" s="9">
        <v>1.8867924528301886E-2</v>
      </c>
      <c r="BJ456" s="9">
        <v>1.8867924528301886E-2</v>
      </c>
      <c r="BK456" s="9">
        <v>1.8867924528301886E-2</v>
      </c>
      <c r="BL456" s="9">
        <v>1.8867924528301886E-2</v>
      </c>
      <c r="BM456" s="9">
        <v>1.8867924528301886E-2</v>
      </c>
      <c r="BN456" s="9">
        <v>1.8867924528301886E-2</v>
      </c>
      <c r="BO456" s="9">
        <v>1.8867924528301886E-2</v>
      </c>
      <c r="BP456" s="9">
        <v>1.8867924528301886E-2</v>
      </c>
      <c r="BQ456" s="9">
        <v>1.8867924528301886E-2</v>
      </c>
      <c r="BR456" s="9">
        <v>1.8867924528301886E-2</v>
      </c>
      <c r="BS456" s="9">
        <v>1.8867924528301886E-2</v>
      </c>
      <c r="BT456" s="9">
        <v>1.8867924528301886E-2</v>
      </c>
      <c r="BU456" s="9">
        <v>1.8867924528301886E-2</v>
      </c>
      <c r="BV456" s="9">
        <v>1.8867924528301886E-2</v>
      </c>
      <c r="BW456" s="9">
        <v>1.8867924528301886E-2</v>
      </c>
      <c r="BX456" s="9">
        <v>1.8867924528301886E-2</v>
      </c>
    </row>
    <row r="457" spans="1:76">
      <c r="A457" s="3" t="s">
        <v>66</v>
      </c>
      <c r="B457" t="s">
        <v>4773</v>
      </c>
      <c r="D457" t="s">
        <v>4967</v>
      </c>
      <c r="F457" s="91" t="s">
        <v>4973</v>
      </c>
      <c r="H457" s="3" t="s">
        <v>4984</v>
      </c>
      <c r="I457" s="3"/>
      <c r="J457" s="124"/>
      <c r="K457" s="124"/>
      <c r="M457" s="124"/>
      <c r="X457" s="10">
        <v>1.8867924528301886E-2</v>
      </c>
      <c r="Y457" s="9">
        <v>1.8867924528301886E-2</v>
      </c>
      <c r="Z457" s="9">
        <v>1.8867924528301886E-2</v>
      </c>
      <c r="AA457" s="9">
        <v>1.8867924528301886E-2</v>
      </c>
      <c r="AB457" s="9">
        <v>1.8867924528301886E-2</v>
      </c>
      <c r="AC457" s="9">
        <v>1.8867924528301886E-2</v>
      </c>
      <c r="AD457" s="9">
        <v>1.8867924528301886E-2</v>
      </c>
      <c r="AE457" s="9">
        <v>1.8867924528301886E-2</v>
      </c>
      <c r="AF457" s="9">
        <v>1.8867924528301886E-2</v>
      </c>
      <c r="AG457" s="9">
        <v>1.8867924528301886E-2</v>
      </c>
      <c r="AH457" s="9">
        <v>1.8867924528301886E-2</v>
      </c>
      <c r="AI457" s="9">
        <v>1.8867924528301886E-2</v>
      </c>
      <c r="AJ457" s="9">
        <v>1.8867924528301886E-2</v>
      </c>
      <c r="AK457" s="9">
        <v>1.8867924528301886E-2</v>
      </c>
      <c r="AL457" s="9">
        <v>1.8867924528301886E-2</v>
      </c>
      <c r="AM457" s="9">
        <v>1.8867924528301886E-2</v>
      </c>
      <c r="AN457" s="9">
        <v>1.8867924528301886E-2</v>
      </c>
      <c r="AO457" s="9">
        <v>1.8867924528301886E-2</v>
      </c>
      <c r="AP457" s="9">
        <v>1.8867924528301886E-2</v>
      </c>
      <c r="AQ457" s="9">
        <v>1.8867924528301886E-2</v>
      </c>
      <c r="AR457" s="9">
        <v>1.8867924528301886E-2</v>
      </c>
      <c r="AS457" s="9">
        <v>1.8867924528301886E-2</v>
      </c>
      <c r="AT457" s="9">
        <v>1.8867924528301886E-2</v>
      </c>
      <c r="AU457" s="9">
        <v>1.8867924528301886E-2</v>
      </c>
      <c r="AV457" s="9">
        <v>1.8867924528301886E-2</v>
      </c>
      <c r="AW457" s="9">
        <v>1.8867924528301886E-2</v>
      </c>
      <c r="AX457" s="9">
        <v>1.8867924528301886E-2</v>
      </c>
      <c r="AY457" s="9">
        <v>1.8867924528301886E-2</v>
      </c>
      <c r="AZ457" s="9">
        <v>1.8867924528301886E-2</v>
      </c>
      <c r="BA457" s="9">
        <v>1.8867924528301886E-2</v>
      </c>
      <c r="BB457" s="9">
        <v>1.8867924528301886E-2</v>
      </c>
      <c r="BC457" s="9">
        <v>1.8867924528301886E-2</v>
      </c>
      <c r="BD457" s="9">
        <v>1.8867924528301886E-2</v>
      </c>
      <c r="BE457" s="9">
        <v>1.8867924528301886E-2</v>
      </c>
      <c r="BF457" s="9">
        <v>1.8867924528301886E-2</v>
      </c>
      <c r="BG457" s="9">
        <v>1.8867924528301886E-2</v>
      </c>
      <c r="BH457" s="9">
        <v>1.8867924528301886E-2</v>
      </c>
      <c r="BI457" s="9">
        <v>1.8867924528301886E-2</v>
      </c>
      <c r="BJ457" s="9">
        <v>1.8867924528301886E-2</v>
      </c>
      <c r="BK457" s="9">
        <v>1.8867924528301886E-2</v>
      </c>
      <c r="BL457" s="9">
        <v>1.8867924528301886E-2</v>
      </c>
      <c r="BM457" s="9">
        <v>1.8867924528301886E-2</v>
      </c>
      <c r="BN457" s="9">
        <v>1.8867924528301886E-2</v>
      </c>
      <c r="BO457" s="9">
        <v>1.8867924528301886E-2</v>
      </c>
      <c r="BP457" s="9">
        <v>1.8867924528301886E-2</v>
      </c>
      <c r="BQ457" s="9">
        <v>1.8867924528301886E-2</v>
      </c>
      <c r="BR457" s="9">
        <v>1.8867924528301886E-2</v>
      </c>
      <c r="BS457" s="9">
        <v>1.8867924528301886E-2</v>
      </c>
      <c r="BT457" s="9">
        <v>1.8867924528301886E-2</v>
      </c>
      <c r="BU457" s="9">
        <v>1.8867924528301886E-2</v>
      </c>
      <c r="BV457" s="9">
        <v>1.8867924528301886E-2</v>
      </c>
      <c r="BW457" s="9">
        <v>1.8867924528301886E-2</v>
      </c>
      <c r="BX457" s="9">
        <v>1.8867924528301886E-2</v>
      </c>
    </row>
    <row r="458" spans="1:76">
      <c r="A458" s="3" t="s">
        <v>66</v>
      </c>
      <c r="B458" t="s">
        <v>4775</v>
      </c>
      <c r="D458" t="s">
        <v>4967</v>
      </c>
      <c r="F458" s="91" t="s">
        <v>4973</v>
      </c>
      <c r="H458" s="3" t="s">
        <v>4984</v>
      </c>
      <c r="I458" s="3"/>
      <c r="J458" s="124"/>
      <c r="K458" s="124"/>
      <c r="M458" s="124"/>
      <c r="X458" s="10">
        <v>1.8867924528301886E-2</v>
      </c>
      <c r="Y458" s="9">
        <v>1.8867924528301886E-2</v>
      </c>
      <c r="Z458" s="9">
        <v>1.8867924528301886E-2</v>
      </c>
      <c r="AA458" s="9">
        <v>1.8867924528301886E-2</v>
      </c>
      <c r="AB458" s="9">
        <v>1.8867924528301886E-2</v>
      </c>
      <c r="AC458" s="9">
        <v>1.8867924528301886E-2</v>
      </c>
      <c r="AD458" s="9">
        <v>1.8867924528301886E-2</v>
      </c>
      <c r="AE458" s="9">
        <v>1.8867924528301886E-2</v>
      </c>
      <c r="AF458" s="9">
        <v>1.8867924528301886E-2</v>
      </c>
      <c r="AG458" s="9">
        <v>1.8867924528301886E-2</v>
      </c>
      <c r="AH458" s="9">
        <v>1.8867924528301886E-2</v>
      </c>
      <c r="AI458" s="9">
        <v>1.8867924528301886E-2</v>
      </c>
      <c r="AJ458" s="9">
        <v>1.8867924528301886E-2</v>
      </c>
      <c r="AK458" s="9">
        <v>1.8867924528301886E-2</v>
      </c>
      <c r="AL458" s="9">
        <v>1.8867924528301886E-2</v>
      </c>
      <c r="AM458" s="9">
        <v>1.8867924528301886E-2</v>
      </c>
      <c r="AN458" s="9">
        <v>1.8867924528301886E-2</v>
      </c>
      <c r="AO458" s="9">
        <v>1.8867924528301886E-2</v>
      </c>
      <c r="AP458" s="9">
        <v>1.8867924528301886E-2</v>
      </c>
      <c r="AQ458" s="9">
        <v>1.8867924528301886E-2</v>
      </c>
      <c r="AR458" s="9">
        <v>1.8867924528301886E-2</v>
      </c>
      <c r="AS458" s="9">
        <v>1.8867924528301886E-2</v>
      </c>
      <c r="AT458" s="9">
        <v>1.8867924528301886E-2</v>
      </c>
      <c r="AU458" s="9">
        <v>1.8867924528301886E-2</v>
      </c>
      <c r="AV458" s="9">
        <v>1.8867924528301886E-2</v>
      </c>
      <c r="AW458" s="9">
        <v>1.8867924528301886E-2</v>
      </c>
      <c r="AX458" s="9">
        <v>1.8867924528301886E-2</v>
      </c>
      <c r="AY458" s="9">
        <v>1.8867924528301886E-2</v>
      </c>
      <c r="AZ458" s="9">
        <v>1.8867924528301886E-2</v>
      </c>
      <c r="BA458" s="9">
        <v>1.8867924528301886E-2</v>
      </c>
      <c r="BB458" s="9">
        <v>1.8867924528301886E-2</v>
      </c>
      <c r="BC458" s="9">
        <v>1.8867924528301886E-2</v>
      </c>
      <c r="BD458" s="9">
        <v>1.8867924528301886E-2</v>
      </c>
      <c r="BE458" s="9">
        <v>1.8867924528301886E-2</v>
      </c>
      <c r="BF458" s="9">
        <v>1.8867924528301886E-2</v>
      </c>
      <c r="BG458" s="9">
        <v>1.8867924528301886E-2</v>
      </c>
      <c r="BH458" s="9">
        <v>1.8867924528301886E-2</v>
      </c>
      <c r="BI458" s="9">
        <v>1.8867924528301886E-2</v>
      </c>
      <c r="BJ458" s="9">
        <v>1.8867924528301886E-2</v>
      </c>
      <c r="BK458" s="9">
        <v>1.8867924528301886E-2</v>
      </c>
      <c r="BL458" s="9">
        <v>1.8867924528301886E-2</v>
      </c>
      <c r="BM458" s="9">
        <v>1.8867924528301886E-2</v>
      </c>
      <c r="BN458" s="9">
        <v>1.8867924528301886E-2</v>
      </c>
      <c r="BO458" s="9">
        <v>1.8867924528301886E-2</v>
      </c>
      <c r="BP458" s="9">
        <v>1.8867924528301886E-2</v>
      </c>
      <c r="BQ458" s="9">
        <v>1.8867924528301886E-2</v>
      </c>
      <c r="BR458" s="9">
        <v>1.8867924528301886E-2</v>
      </c>
      <c r="BS458" s="9">
        <v>1.8867924528301886E-2</v>
      </c>
      <c r="BT458" s="9">
        <v>1.8867924528301886E-2</v>
      </c>
      <c r="BU458" s="9">
        <v>1.8867924528301886E-2</v>
      </c>
      <c r="BV458" s="9">
        <v>1.8867924528301886E-2</v>
      </c>
      <c r="BW458" s="9">
        <v>1.8867924528301886E-2</v>
      </c>
      <c r="BX458" s="9">
        <v>1.8867924528301886E-2</v>
      </c>
    </row>
    <row r="459" spans="1:76">
      <c r="A459" s="3" t="s">
        <v>66</v>
      </c>
      <c r="B459" t="s">
        <v>4685</v>
      </c>
      <c r="D459" t="s">
        <v>4967</v>
      </c>
      <c r="F459" s="91" t="s">
        <v>4973</v>
      </c>
      <c r="H459" s="3" t="s">
        <v>4984</v>
      </c>
      <c r="I459" s="3"/>
      <c r="J459" s="124"/>
      <c r="K459" s="124"/>
      <c r="M459" s="124"/>
      <c r="X459" s="10">
        <v>1.8867924528301886E-2</v>
      </c>
      <c r="Y459" s="9">
        <v>1.8867924528301886E-2</v>
      </c>
      <c r="Z459" s="9">
        <v>1.8867924528301886E-2</v>
      </c>
      <c r="AA459" s="9">
        <v>1.8867924528301886E-2</v>
      </c>
      <c r="AB459" s="9">
        <v>1.8867924528301886E-2</v>
      </c>
      <c r="AC459" s="9">
        <v>1.8867924528301886E-2</v>
      </c>
      <c r="AD459" s="9">
        <v>1.8867924528301886E-2</v>
      </c>
      <c r="AE459" s="9">
        <v>1.8867924528301886E-2</v>
      </c>
      <c r="AF459" s="9">
        <v>1.8867924528301886E-2</v>
      </c>
      <c r="AG459" s="9">
        <v>1.8867924528301886E-2</v>
      </c>
      <c r="AH459" s="9">
        <v>1.8867924528301886E-2</v>
      </c>
      <c r="AI459" s="9">
        <v>1.8867924528301886E-2</v>
      </c>
      <c r="AJ459" s="9">
        <v>1.8867924528301886E-2</v>
      </c>
      <c r="AK459" s="9">
        <v>1.8867924528301886E-2</v>
      </c>
      <c r="AL459" s="9">
        <v>1.8867924528301886E-2</v>
      </c>
      <c r="AM459" s="9">
        <v>1.8867924528301886E-2</v>
      </c>
      <c r="AN459" s="9">
        <v>1.8867924528301886E-2</v>
      </c>
      <c r="AO459" s="9">
        <v>1.8867924528301886E-2</v>
      </c>
      <c r="AP459" s="9">
        <v>1.8867924528301886E-2</v>
      </c>
      <c r="AQ459" s="9">
        <v>1.8867924528301886E-2</v>
      </c>
      <c r="AR459" s="9">
        <v>1.8867924528301886E-2</v>
      </c>
      <c r="AS459" s="9">
        <v>1.8867924528301886E-2</v>
      </c>
      <c r="AT459" s="9">
        <v>1.8867924528301886E-2</v>
      </c>
      <c r="AU459" s="9">
        <v>1.8867924528301886E-2</v>
      </c>
      <c r="AV459" s="9">
        <v>1.8867924528301886E-2</v>
      </c>
      <c r="AW459" s="9">
        <v>1.8867924528301886E-2</v>
      </c>
      <c r="AX459" s="9">
        <v>1.8867924528301886E-2</v>
      </c>
      <c r="AY459" s="9">
        <v>1.8867924528301886E-2</v>
      </c>
      <c r="AZ459" s="9">
        <v>1.8867924528301886E-2</v>
      </c>
      <c r="BA459" s="9">
        <v>1.8867924528301886E-2</v>
      </c>
      <c r="BB459" s="9">
        <v>1.8867924528301886E-2</v>
      </c>
      <c r="BC459" s="9">
        <v>1.8867924528301886E-2</v>
      </c>
      <c r="BD459" s="9">
        <v>1.8867924528301886E-2</v>
      </c>
      <c r="BE459" s="9">
        <v>1.8867924528301886E-2</v>
      </c>
      <c r="BF459" s="9">
        <v>1.8867924528301886E-2</v>
      </c>
      <c r="BG459" s="9">
        <v>1.8867924528301886E-2</v>
      </c>
      <c r="BH459" s="9">
        <v>1.8867924528301886E-2</v>
      </c>
      <c r="BI459" s="9">
        <v>1.8867924528301886E-2</v>
      </c>
      <c r="BJ459" s="9">
        <v>1.8867924528301886E-2</v>
      </c>
      <c r="BK459" s="9">
        <v>1.8867924528301886E-2</v>
      </c>
      <c r="BL459" s="9">
        <v>1.8867924528301886E-2</v>
      </c>
      <c r="BM459" s="9">
        <v>1.8867924528301886E-2</v>
      </c>
      <c r="BN459" s="9">
        <v>1.8867924528301886E-2</v>
      </c>
      <c r="BO459" s="9">
        <v>1.8867924528301886E-2</v>
      </c>
      <c r="BP459" s="9">
        <v>1.8867924528301886E-2</v>
      </c>
      <c r="BQ459" s="9">
        <v>1.8867924528301886E-2</v>
      </c>
      <c r="BR459" s="9">
        <v>1.8867924528301886E-2</v>
      </c>
      <c r="BS459" s="9">
        <v>1.8867924528301886E-2</v>
      </c>
      <c r="BT459" s="9">
        <v>1.8867924528301886E-2</v>
      </c>
      <c r="BU459" s="9">
        <v>1.8867924528301886E-2</v>
      </c>
      <c r="BV459" s="9">
        <v>1.8867924528301886E-2</v>
      </c>
      <c r="BW459" s="9">
        <v>1.8867924528301886E-2</v>
      </c>
      <c r="BX459" s="9">
        <v>1.8867924528301886E-2</v>
      </c>
    </row>
    <row r="460" spans="1:76">
      <c r="A460" s="3" t="s">
        <v>66</v>
      </c>
      <c r="B460" t="s">
        <v>4368</v>
      </c>
      <c r="D460" t="s">
        <v>4967</v>
      </c>
      <c r="F460" s="91" t="s">
        <v>4973</v>
      </c>
      <c r="H460" s="3" t="s">
        <v>4984</v>
      </c>
      <c r="I460" s="3"/>
      <c r="J460" s="124"/>
      <c r="K460" s="124"/>
      <c r="M460" s="124"/>
      <c r="X460" s="10">
        <v>1.8867924528301886E-2</v>
      </c>
      <c r="Y460" s="9">
        <v>1.8867924528301886E-2</v>
      </c>
      <c r="Z460" s="9">
        <v>1.8867924528301886E-2</v>
      </c>
      <c r="AA460" s="9">
        <v>1.8867924528301886E-2</v>
      </c>
      <c r="AB460" s="9">
        <v>1.8867924528301886E-2</v>
      </c>
      <c r="AC460" s="9">
        <v>1.8867924528301886E-2</v>
      </c>
      <c r="AD460" s="9">
        <v>1.8867924528301886E-2</v>
      </c>
      <c r="AE460" s="9">
        <v>1.8867924528301886E-2</v>
      </c>
      <c r="AF460" s="9">
        <v>1.8867924528301886E-2</v>
      </c>
      <c r="AG460" s="9">
        <v>1.8867924528301886E-2</v>
      </c>
      <c r="AH460" s="9">
        <v>1.8867924528301886E-2</v>
      </c>
      <c r="AI460" s="9">
        <v>1.8867924528301886E-2</v>
      </c>
      <c r="AJ460" s="9">
        <v>1.8867924528301886E-2</v>
      </c>
      <c r="AK460" s="9">
        <v>1.8867924528301886E-2</v>
      </c>
      <c r="AL460" s="9">
        <v>1.8867924528301886E-2</v>
      </c>
      <c r="AM460" s="9">
        <v>1.8867924528301886E-2</v>
      </c>
      <c r="AN460" s="9">
        <v>1.8867924528301886E-2</v>
      </c>
      <c r="AO460" s="9">
        <v>1.8867924528301886E-2</v>
      </c>
      <c r="AP460" s="9">
        <v>1.8867924528301886E-2</v>
      </c>
      <c r="AQ460" s="9">
        <v>1.8867924528301886E-2</v>
      </c>
      <c r="AR460" s="9">
        <v>1.8867924528301886E-2</v>
      </c>
      <c r="AS460" s="9">
        <v>1.8867924528301886E-2</v>
      </c>
      <c r="AT460" s="9">
        <v>1.8867924528301886E-2</v>
      </c>
      <c r="AU460" s="9">
        <v>1.8867924528301886E-2</v>
      </c>
      <c r="AV460" s="9">
        <v>1.8867924528301886E-2</v>
      </c>
      <c r="AW460" s="9">
        <v>1.8867924528301886E-2</v>
      </c>
      <c r="AX460" s="9">
        <v>1.8867924528301886E-2</v>
      </c>
      <c r="AY460" s="9">
        <v>1.8867924528301886E-2</v>
      </c>
      <c r="AZ460" s="9">
        <v>1.8867924528301886E-2</v>
      </c>
      <c r="BA460" s="9">
        <v>1.8867924528301886E-2</v>
      </c>
      <c r="BB460" s="9">
        <v>1.8867924528301886E-2</v>
      </c>
      <c r="BC460" s="9">
        <v>1.8867924528301886E-2</v>
      </c>
      <c r="BD460" s="9">
        <v>1.8867924528301886E-2</v>
      </c>
      <c r="BE460" s="9">
        <v>1.8867924528301886E-2</v>
      </c>
      <c r="BF460" s="9">
        <v>1.8867924528301886E-2</v>
      </c>
      <c r="BG460" s="9">
        <v>1.8867924528301886E-2</v>
      </c>
      <c r="BH460" s="9">
        <v>1.8867924528301886E-2</v>
      </c>
      <c r="BI460" s="9">
        <v>1.8867924528301886E-2</v>
      </c>
      <c r="BJ460" s="9">
        <v>1.8867924528301886E-2</v>
      </c>
      <c r="BK460" s="9">
        <v>1.8867924528301886E-2</v>
      </c>
      <c r="BL460" s="9">
        <v>1.8867924528301886E-2</v>
      </c>
      <c r="BM460" s="9">
        <v>1.8867924528301886E-2</v>
      </c>
      <c r="BN460" s="9">
        <v>1.8867924528301886E-2</v>
      </c>
      <c r="BO460" s="9">
        <v>1.8867924528301886E-2</v>
      </c>
      <c r="BP460" s="9">
        <v>1.8867924528301886E-2</v>
      </c>
      <c r="BQ460" s="9">
        <v>1.8867924528301886E-2</v>
      </c>
      <c r="BR460" s="9">
        <v>1.8867924528301886E-2</v>
      </c>
      <c r="BS460" s="9">
        <v>1.8867924528301886E-2</v>
      </c>
      <c r="BT460" s="9">
        <v>1.8867924528301886E-2</v>
      </c>
      <c r="BU460" s="9">
        <v>1.8867924528301886E-2</v>
      </c>
      <c r="BV460" s="9">
        <v>1.8867924528301886E-2</v>
      </c>
      <c r="BW460" s="9">
        <v>1.8867924528301886E-2</v>
      </c>
      <c r="BX460" s="9">
        <v>1.8867924528301886E-2</v>
      </c>
    </row>
    <row r="461" spans="1:76">
      <c r="A461" s="3" t="s">
        <v>66</v>
      </c>
      <c r="B461" t="s">
        <v>4371</v>
      </c>
      <c r="D461" t="s">
        <v>4967</v>
      </c>
      <c r="F461" s="91" t="s">
        <v>4973</v>
      </c>
      <c r="H461" s="3" t="s">
        <v>4984</v>
      </c>
      <c r="I461" s="3"/>
      <c r="J461" s="124"/>
      <c r="K461" s="124"/>
      <c r="M461" s="124"/>
      <c r="X461" s="10">
        <v>1.8867924528301886E-2</v>
      </c>
      <c r="Y461" s="9">
        <v>1.8867924528301886E-2</v>
      </c>
      <c r="Z461" s="9">
        <v>1.8867924528301886E-2</v>
      </c>
      <c r="AA461" s="9">
        <v>1.8867924528301886E-2</v>
      </c>
      <c r="AB461" s="9">
        <v>1.8867924528301886E-2</v>
      </c>
      <c r="AC461" s="9">
        <v>1.8867924528301886E-2</v>
      </c>
      <c r="AD461" s="9">
        <v>1.8867924528301886E-2</v>
      </c>
      <c r="AE461" s="9">
        <v>1.8867924528301886E-2</v>
      </c>
      <c r="AF461" s="9">
        <v>1.8867924528301886E-2</v>
      </c>
      <c r="AG461" s="9">
        <v>1.8867924528301886E-2</v>
      </c>
      <c r="AH461" s="9">
        <v>1.8867924528301886E-2</v>
      </c>
      <c r="AI461" s="9">
        <v>1.8867924528301886E-2</v>
      </c>
      <c r="AJ461" s="9">
        <v>1.8867924528301886E-2</v>
      </c>
      <c r="AK461" s="9">
        <v>1.8867924528301886E-2</v>
      </c>
      <c r="AL461" s="9">
        <v>1.8867924528301886E-2</v>
      </c>
      <c r="AM461" s="9">
        <v>1.8867924528301886E-2</v>
      </c>
      <c r="AN461" s="9">
        <v>1.8867924528301886E-2</v>
      </c>
      <c r="AO461" s="9">
        <v>1.8867924528301886E-2</v>
      </c>
      <c r="AP461" s="9">
        <v>1.8867924528301886E-2</v>
      </c>
      <c r="AQ461" s="9">
        <v>1.8867924528301886E-2</v>
      </c>
      <c r="AR461" s="9">
        <v>1.8867924528301886E-2</v>
      </c>
      <c r="AS461" s="9">
        <v>1.8867924528301886E-2</v>
      </c>
      <c r="AT461" s="9">
        <v>1.8867924528301886E-2</v>
      </c>
      <c r="AU461" s="9">
        <v>1.8867924528301886E-2</v>
      </c>
      <c r="AV461" s="9">
        <v>1.8867924528301886E-2</v>
      </c>
      <c r="AW461" s="9">
        <v>1.8867924528301886E-2</v>
      </c>
      <c r="AX461" s="9">
        <v>1.8867924528301886E-2</v>
      </c>
      <c r="AY461" s="9">
        <v>1.8867924528301886E-2</v>
      </c>
      <c r="AZ461" s="9">
        <v>1.8867924528301886E-2</v>
      </c>
      <c r="BA461" s="9">
        <v>1.8867924528301886E-2</v>
      </c>
      <c r="BB461" s="9">
        <v>1.8867924528301886E-2</v>
      </c>
      <c r="BC461" s="9">
        <v>1.8867924528301886E-2</v>
      </c>
      <c r="BD461" s="9">
        <v>1.8867924528301886E-2</v>
      </c>
      <c r="BE461" s="9">
        <v>1.8867924528301886E-2</v>
      </c>
      <c r="BF461" s="9">
        <v>1.8867924528301886E-2</v>
      </c>
      <c r="BG461" s="9">
        <v>1.8867924528301886E-2</v>
      </c>
      <c r="BH461" s="9">
        <v>1.8867924528301886E-2</v>
      </c>
      <c r="BI461" s="9">
        <v>1.8867924528301886E-2</v>
      </c>
      <c r="BJ461" s="9">
        <v>1.8867924528301886E-2</v>
      </c>
      <c r="BK461" s="9">
        <v>1.8867924528301886E-2</v>
      </c>
      <c r="BL461" s="9">
        <v>1.8867924528301886E-2</v>
      </c>
      <c r="BM461" s="9">
        <v>1.8867924528301886E-2</v>
      </c>
      <c r="BN461" s="9">
        <v>1.8867924528301886E-2</v>
      </c>
      <c r="BO461" s="9">
        <v>1.8867924528301886E-2</v>
      </c>
      <c r="BP461" s="9">
        <v>1.8867924528301886E-2</v>
      </c>
      <c r="BQ461" s="9">
        <v>1.8867924528301886E-2</v>
      </c>
      <c r="BR461" s="9">
        <v>1.8867924528301886E-2</v>
      </c>
      <c r="BS461" s="9">
        <v>1.8867924528301886E-2</v>
      </c>
      <c r="BT461" s="9">
        <v>1.8867924528301886E-2</v>
      </c>
      <c r="BU461" s="9">
        <v>1.8867924528301886E-2</v>
      </c>
      <c r="BV461" s="9">
        <v>1.8867924528301886E-2</v>
      </c>
      <c r="BW461" s="9">
        <v>1.8867924528301886E-2</v>
      </c>
      <c r="BX461" s="9">
        <v>1.8867924528301886E-2</v>
      </c>
    </row>
    <row r="462" spans="1:76">
      <c r="A462" s="3" t="s">
        <v>66</v>
      </c>
      <c r="B462" t="s">
        <v>4376</v>
      </c>
      <c r="D462" t="s">
        <v>4967</v>
      </c>
      <c r="F462" s="91" t="s">
        <v>4973</v>
      </c>
      <c r="H462" s="3" t="s">
        <v>4984</v>
      </c>
      <c r="I462" s="3"/>
      <c r="J462" s="124"/>
      <c r="K462" s="124"/>
      <c r="M462" s="124"/>
      <c r="X462" s="10">
        <v>1.8867924528301886E-2</v>
      </c>
      <c r="Y462" s="9">
        <v>1.8867924528301886E-2</v>
      </c>
      <c r="Z462" s="9">
        <v>1.8867924528301886E-2</v>
      </c>
      <c r="AA462" s="9">
        <v>1.8867924528301886E-2</v>
      </c>
      <c r="AB462" s="9">
        <v>1.8867924528301886E-2</v>
      </c>
      <c r="AC462" s="9">
        <v>1.8867924528301886E-2</v>
      </c>
      <c r="AD462" s="9">
        <v>1.8867924528301886E-2</v>
      </c>
      <c r="AE462" s="9">
        <v>1.8867924528301886E-2</v>
      </c>
      <c r="AF462" s="9">
        <v>1.8867924528301886E-2</v>
      </c>
      <c r="AG462" s="9">
        <v>1.8867924528301886E-2</v>
      </c>
      <c r="AH462" s="9">
        <v>1.8867924528301886E-2</v>
      </c>
      <c r="AI462" s="9">
        <v>1.8867924528301886E-2</v>
      </c>
      <c r="AJ462" s="9">
        <v>1.8867924528301886E-2</v>
      </c>
      <c r="AK462" s="9">
        <v>1.8867924528301886E-2</v>
      </c>
      <c r="AL462" s="9">
        <v>1.8867924528301886E-2</v>
      </c>
      <c r="AM462" s="9">
        <v>1.8867924528301886E-2</v>
      </c>
      <c r="AN462" s="9">
        <v>1.8867924528301886E-2</v>
      </c>
      <c r="AO462" s="9">
        <v>1.8867924528301886E-2</v>
      </c>
      <c r="AP462" s="9">
        <v>1.8867924528301886E-2</v>
      </c>
      <c r="AQ462" s="9">
        <v>1.8867924528301886E-2</v>
      </c>
      <c r="AR462" s="9">
        <v>1.8867924528301886E-2</v>
      </c>
      <c r="AS462" s="9">
        <v>1.8867924528301886E-2</v>
      </c>
      <c r="AT462" s="9">
        <v>1.8867924528301886E-2</v>
      </c>
      <c r="AU462" s="9">
        <v>1.8867924528301886E-2</v>
      </c>
      <c r="AV462" s="9">
        <v>1.8867924528301886E-2</v>
      </c>
      <c r="AW462" s="9">
        <v>1.8867924528301886E-2</v>
      </c>
      <c r="AX462" s="9">
        <v>1.8867924528301886E-2</v>
      </c>
      <c r="AY462" s="9">
        <v>1.8867924528301886E-2</v>
      </c>
      <c r="AZ462" s="9">
        <v>1.8867924528301886E-2</v>
      </c>
      <c r="BA462" s="9">
        <v>1.8867924528301886E-2</v>
      </c>
      <c r="BB462" s="9">
        <v>1.8867924528301886E-2</v>
      </c>
      <c r="BC462" s="9">
        <v>1.8867924528301886E-2</v>
      </c>
      <c r="BD462" s="9">
        <v>1.8867924528301886E-2</v>
      </c>
      <c r="BE462" s="9">
        <v>1.8867924528301886E-2</v>
      </c>
      <c r="BF462" s="9">
        <v>1.8867924528301886E-2</v>
      </c>
      <c r="BG462" s="9">
        <v>1.8867924528301886E-2</v>
      </c>
      <c r="BH462" s="9">
        <v>1.8867924528301886E-2</v>
      </c>
      <c r="BI462" s="9">
        <v>1.8867924528301886E-2</v>
      </c>
      <c r="BJ462" s="9">
        <v>1.8867924528301886E-2</v>
      </c>
      <c r="BK462" s="9">
        <v>1.8867924528301886E-2</v>
      </c>
      <c r="BL462" s="9">
        <v>1.8867924528301886E-2</v>
      </c>
      <c r="BM462" s="9">
        <v>1.8867924528301886E-2</v>
      </c>
      <c r="BN462" s="9">
        <v>1.8867924528301886E-2</v>
      </c>
      <c r="BO462" s="9">
        <v>1.8867924528301886E-2</v>
      </c>
      <c r="BP462" s="9">
        <v>1.8867924528301886E-2</v>
      </c>
      <c r="BQ462" s="9">
        <v>1.8867924528301886E-2</v>
      </c>
      <c r="BR462" s="9">
        <v>1.8867924528301886E-2</v>
      </c>
      <c r="BS462" s="9">
        <v>1.8867924528301886E-2</v>
      </c>
      <c r="BT462" s="9">
        <v>1.8867924528301886E-2</v>
      </c>
      <c r="BU462" s="9">
        <v>1.8867924528301886E-2</v>
      </c>
      <c r="BV462" s="9">
        <v>1.8867924528301886E-2</v>
      </c>
      <c r="BW462" s="9">
        <v>1.8867924528301886E-2</v>
      </c>
      <c r="BX462" s="9">
        <v>1.8867924528301886E-2</v>
      </c>
    </row>
    <row r="463" spans="1:76">
      <c r="A463" s="3" t="s">
        <v>66</v>
      </c>
      <c r="B463" t="s">
        <v>5265</v>
      </c>
      <c r="D463" t="s">
        <v>4967</v>
      </c>
      <c r="F463" s="91" t="s">
        <v>4973</v>
      </c>
      <c r="H463" s="3" t="s">
        <v>4984</v>
      </c>
      <c r="I463" s="3"/>
      <c r="J463" s="124"/>
      <c r="K463" s="124"/>
      <c r="M463" s="124"/>
      <c r="X463" s="10">
        <v>1.8867924528301886E-2</v>
      </c>
      <c r="Y463" s="9">
        <v>1.8867924528301886E-2</v>
      </c>
      <c r="Z463" s="9">
        <v>1.8867924528301886E-2</v>
      </c>
      <c r="AA463" s="9">
        <v>1.8867924528301886E-2</v>
      </c>
      <c r="AB463" s="9">
        <v>1.8867924528301886E-2</v>
      </c>
      <c r="AC463" s="9">
        <v>1.8867924528301886E-2</v>
      </c>
      <c r="AD463" s="9">
        <v>1.8867924528301886E-2</v>
      </c>
      <c r="AE463" s="9">
        <v>1.8867924528301886E-2</v>
      </c>
      <c r="AF463" s="9">
        <v>1.8867924528301886E-2</v>
      </c>
      <c r="AG463" s="9">
        <v>1.8867924528301886E-2</v>
      </c>
      <c r="AH463" s="9">
        <v>1.8867924528301886E-2</v>
      </c>
      <c r="AI463" s="9">
        <v>1.8867924528301886E-2</v>
      </c>
      <c r="AJ463" s="9">
        <v>1.8867924528301886E-2</v>
      </c>
      <c r="AK463" s="9">
        <v>1.8867924528301886E-2</v>
      </c>
      <c r="AL463" s="9">
        <v>1.8867924528301886E-2</v>
      </c>
      <c r="AM463" s="9">
        <v>1.8867924528301886E-2</v>
      </c>
      <c r="AN463" s="9">
        <v>1.8867924528301886E-2</v>
      </c>
      <c r="AO463" s="9">
        <v>1.8867924528301886E-2</v>
      </c>
      <c r="AP463" s="9">
        <v>1.8867924528301886E-2</v>
      </c>
      <c r="AQ463" s="9">
        <v>1.8867924528301886E-2</v>
      </c>
      <c r="AR463" s="9">
        <v>1.8867924528301886E-2</v>
      </c>
      <c r="AS463" s="9">
        <v>1.8867924528301886E-2</v>
      </c>
      <c r="AT463" s="9">
        <v>1.8867924528301886E-2</v>
      </c>
      <c r="AU463" s="9">
        <v>1.8867924528301886E-2</v>
      </c>
      <c r="AV463" s="9">
        <v>1.8867924528301886E-2</v>
      </c>
      <c r="AW463" s="9">
        <v>1.8867924528301886E-2</v>
      </c>
      <c r="AX463" s="9">
        <v>1.8867924528301886E-2</v>
      </c>
      <c r="AY463" s="9">
        <v>1.8867924528301886E-2</v>
      </c>
      <c r="AZ463" s="9">
        <v>1.8867924528301886E-2</v>
      </c>
      <c r="BA463" s="9">
        <v>1.8867924528301886E-2</v>
      </c>
      <c r="BB463" s="9">
        <v>1.8867924528301886E-2</v>
      </c>
      <c r="BC463" s="9">
        <v>1.8867924528301886E-2</v>
      </c>
      <c r="BD463" s="9">
        <v>1.8867924528301886E-2</v>
      </c>
      <c r="BE463" s="9">
        <v>1.8867924528301886E-2</v>
      </c>
      <c r="BF463" s="9">
        <v>1.8867924528301886E-2</v>
      </c>
      <c r="BG463" s="9">
        <v>1.8867924528301886E-2</v>
      </c>
      <c r="BH463" s="9">
        <v>1.8867924528301886E-2</v>
      </c>
      <c r="BI463" s="9">
        <v>1.8867924528301886E-2</v>
      </c>
      <c r="BJ463" s="9">
        <v>1.8867924528301886E-2</v>
      </c>
      <c r="BK463" s="9">
        <v>1.8867924528301886E-2</v>
      </c>
      <c r="BL463" s="9">
        <v>1.8867924528301886E-2</v>
      </c>
      <c r="BM463" s="9">
        <v>1.8867924528301886E-2</v>
      </c>
      <c r="BN463" s="9">
        <v>1.8867924528301886E-2</v>
      </c>
      <c r="BO463" s="9">
        <v>1.8867924528301886E-2</v>
      </c>
      <c r="BP463" s="9">
        <v>1.8867924528301886E-2</v>
      </c>
      <c r="BQ463" s="9">
        <v>1.8867924528301886E-2</v>
      </c>
      <c r="BR463" s="9">
        <v>1.8867924528301886E-2</v>
      </c>
      <c r="BS463" s="9">
        <v>1.8867924528301886E-2</v>
      </c>
      <c r="BT463" s="9">
        <v>1.8867924528301886E-2</v>
      </c>
      <c r="BU463" s="9">
        <v>1.8867924528301886E-2</v>
      </c>
      <c r="BV463" s="9">
        <v>1.8867924528301886E-2</v>
      </c>
      <c r="BW463" s="9">
        <v>1.8867924528301886E-2</v>
      </c>
      <c r="BX463" s="9">
        <v>1.8867924528301886E-2</v>
      </c>
    </row>
    <row r="464" spans="1:76">
      <c r="A464" s="3" t="s">
        <v>66</v>
      </c>
      <c r="B464" t="s">
        <v>4401</v>
      </c>
      <c r="D464" t="s">
        <v>4967</v>
      </c>
      <c r="F464" s="91" t="s">
        <v>4973</v>
      </c>
      <c r="H464" s="3" t="s">
        <v>4984</v>
      </c>
      <c r="I464" s="3"/>
      <c r="J464" s="124"/>
      <c r="K464" s="124"/>
      <c r="M464" s="124"/>
      <c r="X464" s="10">
        <v>1.8867924528301886E-2</v>
      </c>
      <c r="Y464" s="9">
        <v>1.8867924528301886E-2</v>
      </c>
      <c r="Z464" s="9">
        <v>1.8867924528301886E-2</v>
      </c>
      <c r="AA464" s="9">
        <v>1.8867924528301886E-2</v>
      </c>
      <c r="AB464" s="9">
        <v>1.8867924528301886E-2</v>
      </c>
      <c r="AC464" s="9">
        <v>1.8867924528301886E-2</v>
      </c>
      <c r="AD464" s="9">
        <v>1.8867924528301886E-2</v>
      </c>
      <c r="AE464" s="9">
        <v>1.8867924528301886E-2</v>
      </c>
      <c r="AF464" s="9">
        <v>1.8867924528301886E-2</v>
      </c>
      <c r="AG464" s="9">
        <v>1.8867924528301886E-2</v>
      </c>
      <c r="AH464" s="9">
        <v>1.8867924528301886E-2</v>
      </c>
      <c r="AI464" s="9">
        <v>1.8867924528301886E-2</v>
      </c>
      <c r="AJ464" s="9">
        <v>1.8867924528301886E-2</v>
      </c>
      <c r="AK464" s="9">
        <v>1.8867924528301886E-2</v>
      </c>
      <c r="AL464" s="9">
        <v>1.8867924528301886E-2</v>
      </c>
      <c r="AM464" s="9">
        <v>1.8867924528301886E-2</v>
      </c>
      <c r="AN464" s="9">
        <v>1.8867924528301886E-2</v>
      </c>
      <c r="AO464" s="9">
        <v>1.8867924528301886E-2</v>
      </c>
      <c r="AP464" s="9">
        <v>1.8867924528301886E-2</v>
      </c>
      <c r="AQ464" s="9">
        <v>1.8867924528301886E-2</v>
      </c>
      <c r="AR464" s="9">
        <v>1.8867924528301886E-2</v>
      </c>
      <c r="AS464" s="9">
        <v>1.8867924528301886E-2</v>
      </c>
      <c r="AT464" s="9">
        <v>1.8867924528301886E-2</v>
      </c>
      <c r="AU464" s="9">
        <v>1.8867924528301886E-2</v>
      </c>
      <c r="AV464" s="9">
        <v>1.8867924528301886E-2</v>
      </c>
      <c r="AW464" s="9">
        <v>1.8867924528301886E-2</v>
      </c>
      <c r="AX464" s="9">
        <v>1.8867924528301886E-2</v>
      </c>
      <c r="AY464" s="9">
        <v>1.8867924528301886E-2</v>
      </c>
      <c r="AZ464" s="9">
        <v>1.8867924528301886E-2</v>
      </c>
      <c r="BA464" s="9">
        <v>1.8867924528301886E-2</v>
      </c>
      <c r="BB464" s="9">
        <v>1.8867924528301886E-2</v>
      </c>
      <c r="BC464" s="9">
        <v>1.8867924528301886E-2</v>
      </c>
      <c r="BD464" s="9">
        <v>1.8867924528301886E-2</v>
      </c>
      <c r="BE464" s="9">
        <v>1.8867924528301886E-2</v>
      </c>
      <c r="BF464" s="9">
        <v>1.8867924528301886E-2</v>
      </c>
      <c r="BG464" s="9">
        <v>1.8867924528301886E-2</v>
      </c>
      <c r="BH464" s="9">
        <v>1.8867924528301886E-2</v>
      </c>
      <c r="BI464" s="9">
        <v>1.8867924528301886E-2</v>
      </c>
      <c r="BJ464" s="9">
        <v>1.8867924528301886E-2</v>
      </c>
      <c r="BK464" s="9">
        <v>1.8867924528301886E-2</v>
      </c>
      <c r="BL464" s="9">
        <v>1.8867924528301886E-2</v>
      </c>
      <c r="BM464" s="9">
        <v>1.8867924528301886E-2</v>
      </c>
      <c r="BN464" s="9">
        <v>1.8867924528301886E-2</v>
      </c>
      <c r="BO464" s="9">
        <v>1.8867924528301886E-2</v>
      </c>
      <c r="BP464" s="9">
        <v>1.8867924528301886E-2</v>
      </c>
      <c r="BQ464" s="9">
        <v>1.8867924528301886E-2</v>
      </c>
      <c r="BR464" s="9">
        <v>1.8867924528301886E-2</v>
      </c>
      <c r="BS464" s="9">
        <v>1.8867924528301886E-2</v>
      </c>
      <c r="BT464" s="9">
        <v>1.8867924528301886E-2</v>
      </c>
      <c r="BU464" s="9">
        <v>1.8867924528301886E-2</v>
      </c>
      <c r="BV464" s="9">
        <v>1.8867924528301886E-2</v>
      </c>
      <c r="BW464" s="9">
        <v>1.8867924528301886E-2</v>
      </c>
      <c r="BX464" s="9">
        <v>1.8867924528301886E-2</v>
      </c>
    </row>
    <row r="465" spans="1:76">
      <c r="A465" s="3" t="s">
        <v>66</v>
      </c>
      <c r="B465" t="s">
        <v>4444</v>
      </c>
      <c r="D465" t="s">
        <v>4967</v>
      </c>
      <c r="F465" s="91" t="s">
        <v>4973</v>
      </c>
      <c r="H465" s="3" t="s">
        <v>4984</v>
      </c>
      <c r="I465" s="3"/>
      <c r="J465" s="124"/>
      <c r="K465" s="124"/>
      <c r="M465" s="124"/>
      <c r="X465" s="10">
        <v>1.8867924528301886E-2</v>
      </c>
      <c r="Y465" s="9">
        <v>1.8867924528301886E-2</v>
      </c>
      <c r="Z465" s="9">
        <v>1.8867924528301886E-2</v>
      </c>
      <c r="AA465" s="9">
        <v>1.8867924528301886E-2</v>
      </c>
      <c r="AB465" s="9">
        <v>1.8867924528301886E-2</v>
      </c>
      <c r="AC465" s="9">
        <v>1.8867924528301886E-2</v>
      </c>
      <c r="AD465" s="9">
        <v>1.8867924528301886E-2</v>
      </c>
      <c r="AE465" s="9">
        <v>1.8867924528301886E-2</v>
      </c>
      <c r="AF465" s="9">
        <v>1.8867924528301886E-2</v>
      </c>
      <c r="AG465" s="9">
        <v>1.8867924528301886E-2</v>
      </c>
      <c r="AH465" s="9">
        <v>1.8867924528301886E-2</v>
      </c>
      <c r="AI465" s="9">
        <v>1.8867924528301886E-2</v>
      </c>
      <c r="AJ465" s="9">
        <v>1.8867924528301886E-2</v>
      </c>
      <c r="AK465" s="9">
        <v>1.8867924528301886E-2</v>
      </c>
      <c r="AL465" s="9">
        <v>1.8867924528301886E-2</v>
      </c>
      <c r="AM465" s="9">
        <v>1.8867924528301886E-2</v>
      </c>
      <c r="AN465" s="9">
        <v>1.8867924528301886E-2</v>
      </c>
      <c r="AO465" s="9">
        <v>1.8867924528301886E-2</v>
      </c>
      <c r="AP465" s="9">
        <v>1.8867924528301886E-2</v>
      </c>
      <c r="AQ465" s="9">
        <v>1.8867924528301886E-2</v>
      </c>
      <c r="AR465" s="9">
        <v>1.8867924528301886E-2</v>
      </c>
      <c r="AS465" s="9">
        <v>1.8867924528301886E-2</v>
      </c>
      <c r="AT465" s="9">
        <v>1.8867924528301886E-2</v>
      </c>
      <c r="AU465" s="9">
        <v>1.8867924528301886E-2</v>
      </c>
      <c r="AV465" s="9">
        <v>1.8867924528301886E-2</v>
      </c>
      <c r="AW465" s="9">
        <v>1.8867924528301886E-2</v>
      </c>
      <c r="AX465" s="9">
        <v>1.8867924528301886E-2</v>
      </c>
      <c r="AY465" s="9">
        <v>1.8867924528301886E-2</v>
      </c>
      <c r="AZ465" s="9">
        <v>1.8867924528301886E-2</v>
      </c>
      <c r="BA465" s="9">
        <v>1.8867924528301886E-2</v>
      </c>
      <c r="BB465" s="9">
        <v>1.8867924528301886E-2</v>
      </c>
      <c r="BC465" s="9">
        <v>1.8867924528301886E-2</v>
      </c>
      <c r="BD465" s="9">
        <v>1.8867924528301886E-2</v>
      </c>
      <c r="BE465" s="9">
        <v>1.8867924528301886E-2</v>
      </c>
      <c r="BF465" s="9">
        <v>1.8867924528301886E-2</v>
      </c>
      <c r="BG465" s="9">
        <v>1.8867924528301886E-2</v>
      </c>
      <c r="BH465" s="9">
        <v>1.8867924528301886E-2</v>
      </c>
      <c r="BI465" s="9">
        <v>1.8867924528301886E-2</v>
      </c>
      <c r="BJ465" s="9">
        <v>1.8867924528301886E-2</v>
      </c>
      <c r="BK465" s="9">
        <v>1.8867924528301886E-2</v>
      </c>
      <c r="BL465" s="9">
        <v>1.8867924528301886E-2</v>
      </c>
      <c r="BM465" s="9">
        <v>1.8867924528301886E-2</v>
      </c>
      <c r="BN465" s="9">
        <v>1.8867924528301886E-2</v>
      </c>
      <c r="BO465" s="9">
        <v>1.8867924528301886E-2</v>
      </c>
      <c r="BP465" s="9">
        <v>1.8867924528301886E-2</v>
      </c>
      <c r="BQ465" s="9">
        <v>1.8867924528301886E-2</v>
      </c>
      <c r="BR465" s="9">
        <v>1.8867924528301886E-2</v>
      </c>
      <c r="BS465" s="9">
        <v>1.8867924528301886E-2</v>
      </c>
      <c r="BT465" s="9">
        <v>1.8867924528301886E-2</v>
      </c>
      <c r="BU465" s="9">
        <v>1.8867924528301886E-2</v>
      </c>
      <c r="BV465" s="9">
        <v>1.8867924528301886E-2</v>
      </c>
      <c r="BW465" s="9">
        <v>1.8867924528301886E-2</v>
      </c>
      <c r="BX465" s="9">
        <v>1.8867924528301886E-2</v>
      </c>
    </row>
    <row r="466" spans="1:76">
      <c r="A466" s="3" t="s">
        <v>66</v>
      </c>
      <c r="B466" t="s">
        <v>4473</v>
      </c>
      <c r="D466" t="s">
        <v>4967</v>
      </c>
      <c r="F466" s="91" t="s">
        <v>4973</v>
      </c>
      <c r="H466" s="3" t="s">
        <v>4984</v>
      </c>
      <c r="I466" s="3"/>
      <c r="J466" s="124"/>
      <c r="K466" s="124"/>
      <c r="M466" s="124"/>
      <c r="X466" s="10">
        <v>1.8867924528301886E-2</v>
      </c>
      <c r="Y466" s="9">
        <v>1.8867924528301886E-2</v>
      </c>
      <c r="Z466" s="9">
        <v>1.8867924528301886E-2</v>
      </c>
      <c r="AA466" s="9">
        <v>1.8867924528301886E-2</v>
      </c>
      <c r="AB466" s="9">
        <v>1.8867924528301886E-2</v>
      </c>
      <c r="AC466" s="9">
        <v>1.8867924528301886E-2</v>
      </c>
      <c r="AD466" s="9">
        <v>1.8867924528301886E-2</v>
      </c>
      <c r="AE466" s="9">
        <v>1.8867924528301886E-2</v>
      </c>
      <c r="AF466" s="9">
        <v>1.8867924528301886E-2</v>
      </c>
      <c r="AG466" s="9">
        <v>1.8867924528301886E-2</v>
      </c>
      <c r="AH466" s="9">
        <v>1.8867924528301886E-2</v>
      </c>
      <c r="AI466" s="9">
        <v>1.8867924528301886E-2</v>
      </c>
      <c r="AJ466" s="9">
        <v>1.8867924528301886E-2</v>
      </c>
      <c r="AK466" s="9">
        <v>1.8867924528301886E-2</v>
      </c>
      <c r="AL466" s="9">
        <v>1.8867924528301886E-2</v>
      </c>
      <c r="AM466" s="9">
        <v>1.8867924528301886E-2</v>
      </c>
      <c r="AN466" s="9">
        <v>1.8867924528301886E-2</v>
      </c>
      <c r="AO466" s="9">
        <v>1.8867924528301886E-2</v>
      </c>
      <c r="AP466" s="9">
        <v>1.8867924528301886E-2</v>
      </c>
      <c r="AQ466" s="9">
        <v>1.8867924528301886E-2</v>
      </c>
      <c r="AR466" s="9">
        <v>1.8867924528301886E-2</v>
      </c>
      <c r="AS466" s="9">
        <v>1.8867924528301886E-2</v>
      </c>
      <c r="AT466" s="9">
        <v>1.8867924528301886E-2</v>
      </c>
      <c r="AU466" s="9">
        <v>1.8867924528301886E-2</v>
      </c>
      <c r="AV466" s="9">
        <v>1.8867924528301886E-2</v>
      </c>
      <c r="AW466" s="9">
        <v>1.8867924528301886E-2</v>
      </c>
      <c r="AX466" s="9">
        <v>1.8867924528301886E-2</v>
      </c>
      <c r="AY466" s="9">
        <v>1.8867924528301886E-2</v>
      </c>
      <c r="AZ466" s="9">
        <v>1.8867924528301886E-2</v>
      </c>
      <c r="BA466" s="9">
        <v>1.8867924528301886E-2</v>
      </c>
      <c r="BB466" s="9">
        <v>1.8867924528301886E-2</v>
      </c>
      <c r="BC466" s="9">
        <v>1.8867924528301886E-2</v>
      </c>
      <c r="BD466" s="9">
        <v>1.8867924528301886E-2</v>
      </c>
      <c r="BE466" s="9">
        <v>1.8867924528301886E-2</v>
      </c>
      <c r="BF466" s="9">
        <v>1.8867924528301886E-2</v>
      </c>
      <c r="BG466" s="9">
        <v>1.8867924528301886E-2</v>
      </c>
      <c r="BH466" s="9">
        <v>1.8867924528301886E-2</v>
      </c>
      <c r="BI466" s="9">
        <v>1.8867924528301886E-2</v>
      </c>
      <c r="BJ466" s="9">
        <v>1.8867924528301886E-2</v>
      </c>
      <c r="BK466" s="9">
        <v>1.8867924528301886E-2</v>
      </c>
      <c r="BL466" s="9">
        <v>1.8867924528301886E-2</v>
      </c>
      <c r="BM466" s="9">
        <v>1.8867924528301886E-2</v>
      </c>
      <c r="BN466" s="9">
        <v>1.8867924528301886E-2</v>
      </c>
      <c r="BO466" s="9">
        <v>1.8867924528301886E-2</v>
      </c>
      <c r="BP466" s="9">
        <v>1.8867924528301886E-2</v>
      </c>
      <c r="BQ466" s="9">
        <v>1.8867924528301886E-2</v>
      </c>
      <c r="BR466" s="9">
        <v>1.8867924528301886E-2</v>
      </c>
      <c r="BS466" s="9">
        <v>1.8867924528301886E-2</v>
      </c>
      <c r="BT466" s="9">
        <v>1.8867924528301886E-2</v>
      </c>
      <c r="BU466" s="9">
        <v>1.8867924528301886E-2</v>
      </c>
      <c r="BV466" s="9">
        <v>1.8867924528301886E-2</v>
      </c>
      <c r="BW466" s="9">
        <v>1.8867924528301886E-2</v>
      </c>
      <c r="BX466" s="9">
        <v>1.8867924528301886E-2</v>
      </c>
    </row>
    <row r="467" spans="1:76">
      <c r="A467" s="3" t="s">
        <v>66</v>
      </c>
      <c r="B467" t="s">
        <v>5266</v>
      </c>
      <c r="D467" t="s">
        <v>4967</v>
      </c>
      <c r="F467" s="91" t="s">
        <v>4973</v>
      </c>
      <c r="H467" s="3" t="s">
        <v>4984</v>
      </c>
      <c r="I467" s="3"/>
      <c r="J467" s="124"/>
      <c r="K467" s="124"/>
      <c r="M467" s="124"/>
      <c r="X467" s="10">
        <v>1.8867924528301886E-2</v>
      </c>
      <c r="Y467" s="9">
        <v>1.8867924528301886E-2</v>
      </c>
      <c r="Z467" s="9">
        <v>1.8867924528301886E-2</v>
      </c>
      <c r="AA467" s="9">
        <v>1.8867924528301886E-2</v>
      </c>
      <c r="AB467" s="9">
        <v>1.8867924528301886E-2</v>
      </c>
      <c r="AC467" s="9">
        <v>1.8867924528301886E-2</v>
      </c>
      <c r="AD467" s="9">
        <v>1.8867924528301886E-2</v>
      </c>
      <c r="AE467" s="9">
        <v>1.8867924528301886E-2</v>
      </c>
      <c r="AF467" s="9">
        <v>1.8867924528301886E-2</v>
      </c>
      <c r="AG467" s="9">
        <v>1.8867924528301886E-2</v>
      </c>
      <c r="AH467" s="9">
        <v>1.8867924528301886E-2</v>
      </c>
      <c r="AI467" s="9">
        <v>1.8867924528301886E-2</v>
      </c>
      <c r="AJ467" s="9">
        <v>1.8867924528301886E-2</v>
      </c>
      <c r="AK467" s="9">
        <v>1.8867924528301886E-2</v>
      </c>
      <c r="AL467" s="9">
        <v>1.8867924528301886E-2</v>
      </c>
      <c r="AM467" s="9">
        <v>1.8867924528301886E-2</v>
      </c>
      <c r="AN467" s="9">
        <v>1.8867924528301886E-2</v>
      </c>
      <c r="AO467" s="9">
        <v>1.8867924528301886E-2</v>
      </c>
      <c r="AP467" s="9">
        <v>1.8867924528301886E-2</v>
      </c>
      <c r="AQ467" s="9">
        <v>1.8867924528301886E-2</v>
      </c>
      <c r="AR467" s="9">
        <v>1.8867924528301886E-2</v>
      </c>
      <c r="AS467" s="9">
        <v>1.8867924528301886E-2</v>
      </c>
      <c r="AT467" s="9">
        <v>1.8867924528301886E-2</v>
      </c>
      <c r="AU467" s="9">
        <v>1.8867924528301886E-2</v>
      </c>
      <c r="AV467" s="9">
        <v>1.8867924528301886E-2</v>
      </c>
      <c r="AW467" s="9">
        <v>1.8867924528301886E-2</v>
      </c>
      <c r="AX467" s="9">
        <v>1.8867924528301886E-2</v>
      </c>
      <c r="AY467" s="9">
        <v>1.8867924528301886E-2</v>
      </c>
      <c r="AZ467" s="9">
        <v>1.8867924528301886E-2</v>
      </c>
      <c r="BA467" s="9">
        <v>1.8867924528301886E-2</v>
      </c>
      <c r="BB467" s="9">
        <v>1.8867924528301886E-2</v>
      </c>
      <c r="BC467" s="9">
        <v>1.8867924528301886E-2</v>
      </c>
      <c r="BD467" s="9">
        <v>1.8867924528301886E-2</v>
      </c>
      <c r="BE467" s="9">
        <v>1.8867924528301886E-2</v>
      </c>
      <c r="BF467" s="9">
        <v>1.8867924528301886E-2</v>
      </c>
      <c r="BG467" s="9">
        <v>1.8867924528301886E-2</v>
      </c>
      <c r="BH467" s="9">
        <v>1.8867924528301886E-2</v>
      </c>
      <c r="BI467" s="9">
        <v>1.8867924528301886E-2</v>
      </c>
      <c r="BJ467" s="9">
        <v>1.8867924528301886E-2</v>
      </c>
      <c r="BK467" s="9">
        <v>1.8867924528301886E-2</v>
      </c>
      <c r="BL467" s="9">
        <v>1.8867924528301886E-2</v>
      </c>
      <c r="BM467" s="9">
        <v>1.8867924528301886E-2</v>
      </c>
      <c r="BN467" s="9">
        <v>1.8867924528301886E-2</v>
      </c>
      <c r="BO467" s="9">
        <v>1.8867924528301886E-2</v>
      </c>
      <c r="BP467" s="9">
        <v>1.8867924528301886E-2</v>
      </c>
      <c r="BQ467" s="9">
        <v>1.8867924528301886E-2</v>
      </c>
      <c r="BR467" s="9">
        <v>1.8867924528301886E-2</v>
      </c>
      <c r="BS467" s="9">
        <v>1.8867924528301886E-2</v>
      </c>
      <c r="BT467" s="9">
        <v>1.8867924528301886E-2</v>
      </c>
      <c r="BU467" s="9">
        <v>1.8867924528301886E-2</v>
      </c>
      <c r="BV467" s="9">
        <v>1.8867924528301886E-2</v>
      </c>
      <c r="BW467" s="9">
        <v>1.8867924528301886E-2</v>
      </c>
      <c r="BX467" s="9">
        <v>1.8867924528301886E-2</v>
      </c>
    </row>
    <row r="468" spans="1:76">
      <c r="A468" s="3" t="s">
        <v>66</v>
      </c>
      <c r="B468" t="s">
        <v>4411</v>
      </c>
      <c r="D468" t="s">
        <v>4967</v>
      </c>
      <c r="F468" s="91" t="s">
        <v>4973</v>
      </c>
      <c r="H468" s="3" t="s">
        <v>4984</v>
      </c>
      <c r="I468" s="3"/>
      <c r="J468" s="124"/>
      <c r="K468" s="124"/>
      <c r="M468" s="124"/>
      <c r="X468" s="10">
        <v>1.8867924528301886E-2</v>
      </c>
      <c r="Y468" s="9">
        <v>1.8867924528301886E-2</v>
      </c>
      <c r="Z468" s="9">
        <v>1.8867924528301886E-2</v>
      </c>
      <c r="AA468" s="9">
        <v>1.8867924528301886E-2</v>
      </c>
      <c r="AB468" s="9">
        <v>1.8867924528301886E-2</v>
      </c>
      <c r="AC468" s="9">
        <v>1.8867924528301886E-2</v>
      </c>
      <c r="AD468" s="9">
        <v>1.8867924528301886E-2</v>
      </c>
      <c r="AE468" s="9">
        <v>1.8867924528301886E-2</v>
      </c>
      <c r="AF468" s="9">
        <v>1.8867924528301886E-2</v>
      </c>
      <c r="AG468" s="9">
        <v>1.8867924528301886E-2</v>
      </c>
      <c r="AH468" s="9">
        <v>1.8867924528301886E-2</v>
      </c>
      <c r="AI468" s="9">
        <v>1.8867924528301886E-2</v>
      </c>
      <c r="AJ468" s="9">
        <v>1.8867924528301886E-2</v>
      </c>
      <c r="AK468" s="9">
        <v>1.8867924528301886E-2</v>
      </c>
      <c r="AL468" s="9">
        <v>1.8867924528301886E-2</v>
      </c>
      <c r="AM468" s="9">
        <v>1.8867924528301886E-2</v>
      </c>
      <c r="AN468" s="9">
        <v>1.8867924528301886E-2</v>
      </c>
      <c r="AO468" s="9">
        <v>1.8867924528301886E-2</v>
      </c>
      <c r="AP468" s="9">
        <v>1.8867924528301886E-2</v>
      </c>
      <c r="AQ468" s="9">
        <v>1.8867924528301886E-2</v>
      </c>
      <c r="AR468" s="9">
        <v>1.8867924528301886E-2</v>
      </c>
      <c r="AS468" s="9">
        <v>1.8867924528301886E-2</v>
      </c>
      <c r="AT468" s="9">
        <v>1.8867924528301886E-2</v>
      </c>
      <c r="AU468" s="9">
        <v>1.8867924528301886E-2</v>
      </c>
      <c r="AV468" s="9">
        <v>1.8867924528301886E-2</v>
      </c>
      <c r="AW468" s="9">
        <v>1.8867924528301886E-2</v>
      </c>
      <c r="AX468" s="9">
        <v>1.8867924528301886E-2</v>
      </c>
      <c r="AY468" s="9">
        <v>1.8867924528301886E-2</v>
      </c>
      <c r="AZ468" s="9">
        <v>1.8867924528301886E-2</v>
      </c>
      <c r="BA468" s="9">
        <v>1.8867924528301886E-2</v>
      </c>
      <c r="BB468" s="9">
        <v>1.8867924528301886E-2</v>
      </c>
      <c r="BC468" s="9">
        <v>1.8867924528301886E-2</v>
      </c>
      <c r="BD468" s="9">
        <v>1.8867924528301886E-2</v>
      </c>
      <c r="BE468" s="9">
        <v>1.8867924528301886E-2</v>
      </c>
      <c r="BF468" s="9">
        <v>1.8867924528301886E-2</v>
      </c>
      <c r="BG468" s="9">
        <v>1.8867924528301886E-2</v>
      </c>
      <c r="BH468" s="9">
        <v>1.8867924528301886E-2</v>
      </c>
      <c r="BI468" s="9">
        <v>1.8867924528301886E-2</v>
      </c>
      <c r="BJ468" s="9">
        <v>1.8867924528301886E-2</v>
      </c>
      <c r="BK468" s="9">
        <v>1.8867924528301886E-2</v>
      </c>
      <c r="BL468" s="9">
        <v>1.8867924528301886E-2</v>
      </c>
      <c r="BM468" s="9">
        <v>1.8867924528301886E-2</v>
      </c>
      <c r="BN468" s="9">
        <v>1.8867924528301886E-2</v>
      </c>
      <c r="BO468" s="9">
        <v>1.8867924528301886E-2</v>
      </c>
      <c r="BP468" s="9">
        <v>1.8867924528301886E-2</v>
      </c>
      <c r="BQ468" s="9">
        <v>1.8867924528301886E-2</v>
      </c>
      <c r="BR468" s="9">
        <v>1.8867924528301886E-2</v>
      </c>
      <c r="BS468" s="9">
        <v>1.8867924528301886E-2</v>
      </c>
      <c r="BT468" s="9">
        <v>1.8867924528301886E-2</v>
      </c>
      <c r="BU468" s="9">
        <v>1.8867924528301886E-2</v>
      </c>
      <c r="BV468" s="9">
        <v>1.8867924528301886E-2</v>
      </c>
      <c r="BW468" s="9">
        <v>1.8867924528301886E-2</v>
      </c>
      <c r="BX468" s="9">
        <v>1.8867924528301886E-2</v>
      </c>
    </row>
    <row r="469" spans="1:76">
      <c r="A469" s="3" t="s">
        <v>66</v>
      </c>
      <c r="B469" t="s">
        <v>4219</v>
      </c>
      <c r="D469" t="s">
        <v>4967</v>
      </c>
      <c r="F469" s="91" t="s">
        <v>4973</v>
      </c>
      <c r="H469" s="3" t="s">
        <v>4984</v>
      </c>
      <c r="I469" s="3"/>
      <c r="J469" s="124"/>
      <c r="K469" s="124"/>
      <c r="M469" s="124"/>
      <c r="X469" s="10">
        <v>1.8867924528301886E-2</v>
      </c>
      <c r="Y469" s="9">
        <v>1.8867924528301886E-2</v>
      </c>
      <c r="Z469" s="9">
        <v>1.8867924528301886E-2</v>
      </c>
      <c r="AA469" s="9">
        <v>1.8867924528301886E-2</v>
      </c>
      <c r="AB469" s="9">
        <v>1.8867924528301886E-2</v>
      </c>
      <c r="AC469" s="9">
        <v>1.8867924528301886E-2</v>
      </c>
      <c r="AD469" s="9">
        <v>1.8867924528301886E-2</v>
      </c>
      <c r="AE469" s="9">
        <v>1.8867924528301886E-2</v>
      </c>
      <c r="AF469" s="9">
        <v>1.8867924528301886E-2</v>
      </c>
      <c r="AG469" s="9">
        <v>1.8867924528301886E-2</v>
      </c>
      <c r="AH469" s="9">
        <v>1.8867924528301886E-2</v>
      </c>
      <c r="AI469" s="9">
        <v>1.8867924528301886E-2</v>
      </c>
      <c r="AJ469" s="9">
        <v>1.8867924528301886E-2</v>
      </c>
      <c r="AK469" s="9">
        <v>1.8867924528301886E-2</v>
      </c>
      <c r="AL469" s="9">
        <v>1.8867924528301886E-2</v>
      </c>
      <c r="AM469" s="9">
        <v>1.8867924528301886E-2</v>
      </c>
      <c r="AN469" s="9">
        <v>1.8867924528301886E-2</v>
      </c>
      <c r="AO469" s="9">
        <v>1.8867924528301886E-2</v>
      </c>
      <c r="AP469" s="9">
        <v>1.8867924528301886E-2</v>
      </c>
      <c r="AQ469" s="9">
        <v>1.8867924528301886E-2</v>
      </c>
      <c r="AR469" s="9">
        <v>1.8867924528301886E-2</v>
      </c>
      <c r="AS469" s="9">
        <v>1.8867924528301886E-2</v>
      </c>
      <c r="AT469" s="9">
        <v>1.8867924528301886E-2</v>
      </c>
      <c r="AU469" s="9">
        <v>1.8867924528301886E-2</v>
      </c>
      <c r="AV469" s="9">
        <v>1.8867924528301886E-2</v>
      </c>
      <c r="AW469" s="9">
        <v>1.8867924528301886E-2</v>
      </c>
      <c r="AX469" s="9">
        <v>1.8867924528301886E-2</v>
      </c>
      <c r="AY469" s="9">
        <v>1.8867924528301886E-2</v>
      </c>
      <c r="AZ469" s="9">
        <v>1.8867924528301886E-2</v>
      </c>
      <c r="BA469" s="9">
        <v>1.8867924528301886E-2</v>
      </c>
      <c r="BB469" s="9">
        <v>1.8867924528301886E-2</v>
      </c>
      <c r="BC469" s="9">
        <v>1.8867924528301886E-2</v>
      </c>
      <c r="BD469" s="9">
        <v>1.8867924528301886E-2</v>
      </c>
      <c r="BE469" s="9">
        <v>1.8867924528301886E-2</v>
      </c>
      <c r="BF469" s="9">
        <v>1.8867924528301886E-2</v>
      </c>
      <c r="BG469" s="9">
        <v>1.8867924528301886E-2</v>
      </c>
      <c r="BH469" s="9">
        <v>1.8867924528301886E-2</v>
      </c>
      <c r="BI469" s="9">
        <v>1.8867924528301886E-2</v>
      </c>
      <c r="BJ469" s="9">
        <v>1.8867924528301886E-2</v>
      </c>
      <c r="BK469" s="9">
        <v>1.8867924528301886E-2</v>
      </c>
      <c r="BL469" s="9">
        <v>1.8867924528301886E-2</v>
      </c>
      <c r="BM469" s="9">
        <v>1.8867924528301886E-2</v>
      </c>
      <c r="BN469" s="9">
        <v>1.8867924528301886E-2</v>
      </c>
      <c r="BO469" s="9">
        <v>1.8867924528301886E-2</v>
      </c>
      <c r="BP469" s="9">
        <v>1.8867924528301886E-2</v>
      </c>
      <c r="BQ469" s="9">
        <v>1.8867924528301886E-2</v>
      </c>
      <c r="BR469" s="9">
        <v>1.8867924528301886E-2</v>
      </c>
      <c r="BS469" s="9">
        <v>1.8867924528301886E-2</v>
      </c>
      <c r="BT469" s="9">
        <v>1.8867924528301886E-2</v>
      </c>
      <c r="BU469" s="9">
        <v>1.8867924528301886E-2</v>
      </c>
      <c r="BV469" s="9">
        <v>1.8867924528301886E-2</v>
      </c>
      <c r="BW469" s="9">
        <v>1.8867924528301886E-2</v>
      </c>
      <c r="BX469" s="9">
        <v>1.8867924528301886E-2</v>
      </c>
    </row>
    <row r="470" spans="1:76">
      <c r="A470" s="3" t="s">
        <v>66</v>
      </c>
      <c r="B470" t="s">
        <v>4239</v>
      </c>
      <c r="D470" t="s">
        <v>4967</v>
      </c>
      <c r="F470" s="91" t="s">
        <v>4973</v>
      </c>
      <c r="H470" s="3" t="s">
        <v>4984</v>
      </c>
      <c r="I470" s="3"/>
      <c r="J470" s="124"/>
      <c r="K470" s="124"/>
      <c r="M470" s="124"/>
      <c r="X470" s="10">
        <v>1.8867924528301886E-2</v>
      </c>
      <c r="Y470" s="9">
        <v>1.8867924528301886E-2</v>
      </c>
      <c r="Z470" s="9">
        <v>1.8867924528301886E-2</v>
      </c>
      <c r="AA470" s="9">
        <v>1.8867924528301886E-2</v>
      </c>
      <c r="AB470" s="9">
        <v>1.8867924528301886E-2</v>
      </c>
      <c r="AC470" s="9">
        <v>1.8867924528301886E-2</v>
      </c>
      <c r="AD470" s="9">
        <v>1.8867924528301886E-2</v>
      </c>
      <c r="AE470" s="9">
        <v>1.8867924528301886E-2</v>
      </c>
      <c r="AF470" s="9">
        <v>1.8867924528301886E-2</v>
      </c>
      <c r="AG470" s="9">
        <v>1.8867924528301886E-2</v>
      </c>
      <c r="AH470" s="9">
        <v>1.8867924528301886E-2</v>
      </c>
      <c r="AI470" s="9">
        <v>1.8867924528301886E-2</v>
      </c>
      <c r="AJ470" s="9">
        <v>1.8867924528301886E-2</v>
      </c>
      <c r="AK470" s="9">
        <v>1.8867924528301886E-2</v>
      </c>
      <c r="AL470" s="9">
        <v>1.8867924528301886E-2</v>
      </c>
      <c r="AM470" s="9">
        <v>1.8867924528301886E-2</v>
      </c>
      <c r="AN470" s="9">
        <v>1.8867924528301886E-2</v>
      </c>
      <c r="AO470" s="9">
        <v>1.8867924528301886E-2</v>
      </c>
      <c r="AP470" s="9">
        <v>1.8867924528301886E-2</v>
      </c>
      <c r="AQ470" s="9">
        <v>1.8867924528301886E-2</v>
      </c>
      <c r="AR470" s="9">
        <v>1.8867924528301886E-2</v>
      </c>
      <c r="AS470" s="9">
        <v>1.8867924528301886E-2</v>
      </c>
      <c r="AT470" s="9">
        <v>1.8867924528301886E-2</v>
      </c>
      <c r="AU470" s="9">
        <v>1.8867924528301886E-2</v>
      </c>
      <c r="AV470" s="9">
        <v>1.8867924528301886E-2</v>
      </c>
      <c r="AW470" s="9">
        <v>1.8867924528301886E-2</v>
      </c>
      <c r="AX470" s="9">
        <v>1.8867924528301886E-2</v>
      </c>
      <c r="AY470" s="9">
        <v>1.8867924528301886E-2</v>
      </c>
      <c r="AZ470" s="9">
        <v>1.8867924528301886E-2</v>
      </c>
      <c r="BA470" s="9">
        <v>1.8867924528301886E-2</v>
      </c>
      <c r="BB470" s="9">
        <v>1.8867924528301886E-2</v>
      </c>
      <c r="BC470" s="9">
        <v>1.8867924528301886E-2</v>
      </c>
      <c r="BD470" s="9">
        <v>1.8867924528301886E-2</v>
      </c>
      <c r="BE470" s="9">
        <v>1.8867924528301886E-2</v>
      </c>
      <c r="BF470" s="9">
        <v>1.8867924528301886E-2</v>
      </c>
      <c r="BG470" s="9">
        <v>1.8867924528301886E-2</v>
      </c>
      <c r="BH470" s="9">
        <v>1.8867924528301886E-2</v>
      </c>
      <c r="BI470" s="9">
        <v>1.8867924528301886E-2</v>
      </c>
      <c r="BJ470" s="9">
        <v>1.8867924528301886E-2</v>
      </c>
      <c r="BK470" s="9">
        <v>1.8867924528301886E-2</v>
      </c>
      <c r="BL470" s="9">
        <v>1.8867924528301886E-2</v>
      </c>
      <c r="BM470" s="9">
        <v>1.8867924528301886E-2</v>
      </c>
      <c r="BN470" s="9">
        <v>1.8867924528301886E-2</v>
      </c>
      <c r="BO470" s="9">
        <v>1.8867924528301886E-2</v>
      </c>
      <c r="BP470" s="9">
        <v>1.8867924528301886E-2</v>
      </c>
      <c r="BQ470" s="9">
        <v>1.8867924528301886E-2</v>
      </c>
      <c r="BR470" s="9">
        <v>1.8867924528301886E-2</v>
      </c>
      <c r="BS470" s="9">
        <v>1.8867924528301886E-2</v>
      </c>
      <c r="BT470" s="9">
        <v>1.8867924528301886E-2</v>
      </c>
      <c r="BU470" s="9">
        <v>1.8867924528301886E-2</v>
      </c>
      <c r="BV470" s="9">
        <v>1.8867924528301886E-2</v>
      </c>
      <c r="BW470" s="9">
        <v>1.8867924528301886E-2</v>
      </c>
      <c r="BX470" s="9">
        <v>1.8867924528301886E-2</v>
      </c>
    </row>
    <row r="471" spans="1:76">
      <c r="A471" s="3" t="s">
        <v>66</v>
      </c>
      <c r="B471" t="s">
        <v>4224</v>
      </c>
      <c r="D471" t="s">
        <v>4967</v>
      </c>
      <c r="F471" s="91" t="s">
        <v>4973</v>
      </c>
      <c r="H471" s="3" t="s">
        <v>4984</v>
      </c>
      <c r="I471" s="3"/>
      <c r="J471" s="124"/>
      <c r="K471" s="124"/>
      <c r="M471" s="124"/>
      <c r="X471" s="10">
        <v>1.8867924528301886E-2</v>
      </c>
      <c r="Y471" s="9">
        <v>1.8867924528301886E-2</v>
      </c>
      <c r="Z471" s="9">
        <v>1.8867924528301886E-2</v>
      </c>
      <c r="AA471" s="9">
        <v>1.8867924528301886E-2</v>
      </c>
      <c r="AB471" s="9">
        <v>1.8867924528301886E-2</v>
      </c>
      <c r="AC471" s="9">
        <v>1.8867924528301886E-2</v>
      </c>
      <c r="AD471" s="9">
        <v>1.8867924528301886E-2</v>
      </c>
      <c r="AE471" s="9">
        <v>1.8867924528301886E-2</v>
      </c>
      <c r="AF471" s="9">
        <v>1.8867924528301886E-2</v>
      </c>
      <c r="AG471" s="9">
        <v>1.8867924528301886E-2</v>
      </c>
      <c r="AH471" s="9">
        <v>1.8867924528301886E-2</v>
      </c>
      <c r="AI471" s="9">
        <v>1.8867924528301886E-2</v>
      </c>
      <c r="AJ471" s="9">
        <v>1.8867924528301886E-2</v>
      </c>
      <c r="AK471" s="9">
        <v>1.8867924528301886E-2</v>
      </c>
      <c r="AL471" s="9">
        <v>1.8867924528301886E-2</v>
      </c>
      <c r="AM471" s="9">
        <v>1.8867924528301886E-2</v>
      </c>
      <c r="AN471" s="9">
        <v>1.8867924528301886E-2</v>
      </c>
      <c r="AO471" s="9">
        <v>1.8867924528301886E-2</v>
      </c>
      <c r="AP471" s="9">
        <v>1.8867924528301886E-2</v>
      </c>
      <c r="AQ471" s="9">
        <v>1.8867924528301886E-2</v>
      </c>
      <c r="AR471" s="9">
        <v>1.8867924528301886E-2</v>
      </c>
      <c r="AS471" s="9">
        <v>1.8867924528301886E-2</v>
      </c>
      <c r="AT471" s="9">
        <v>1.8867924528301886E-2</v>
      </c>
      <c r="AU471" s="9">
        <v>1.8867924528301886E-2</v>
      </c>
      <c r="AV471" s="9">
        <v>1.8867924528301886E-2</v>
      </c>
      <c r="AW471" s="9">
        <v>1.8867924528301886E-2</v>
      </c>
      <c r="AX471" s="9">
        <v>1.8867924528301886E-2</v>
      </c>
      <c r="AY471" s="9">
        <v>1.8867924528301886E-2</v>
      </c>
      <c r="AZ471" s="9">
        <v>1.8867924528301886E-2</v>
      </c>
      <c r="BA471" s="9">
        <v>1.8867924528301886E-2</v>
      </c>
      <c r="BB471" s="9">
        <v>1.8867924528301886E-2</v>
      </c>
      <c r="BC471" s="9">
        <v>1.8867924528301886E-2</v>
      </c>
      <c r="BD471" s="9">
        <v>1.8867924528301886E-2</v>
      </c>
      <c r="BE471" s="9">
        <v>1.8867924528301886E-2</v>
      </c>
      <c r="BF471" s="9">
        <v>1.8867924528301886E-2</v>
      </c>
      <c r="BG471" s="9">
        <v>1.8867924528301886E-2</v>
      </c>
      <c r="BH471" s="9">
        <v>1.8867924528301886E-2</v>
      </c>
      <c r="BI471" s="9">
        <v>1.8867924528301886E-2</v>
      </c>
      <c r="BJ471" s="9">
        <v>1.8867924528301886E-2</v>
      </c>
      <c r="BK471" s="9">
        <v>1.8867924528301886E-2</v>
      </c>
      <c r="BL471" s="9">
        <v>1.8867924528301886E-2</v>
      </c>
      <c r="BM471" s="9">
        <v>1.8867924528301886E-2</v>
      </c>
      <c r="BN471" s="9">
        <v>1.8867924528301886E-2</v>
      </c>
      <c r="BO471" s="9">
        <v>1.8867924528301886E-2</v>
      </c>
      <c r="BP471" s="9">
        <v>1.8867924528301886E-2</v>
      </c>
      <c r="BQ471" s="9">
        <v>1.8867924528301886E-2</v>
      </c>
      <c r="BR471" s="9">
        <v>1.8867924528301886E-2</v>
      </c>
      <c r="BS471" s="9">
        <v>1.8867924528301886E-2</v>
      </c>
      <c r="BT471" s="9">
        <v>1.8867924528301886E-2</v>
      </c>
      <c r="BU471" s="9">
        <v>1.8867924528301886E-2</v>
      </c>
      <c r="BV471" s="9">
        <v>1.8867924528301886E-2</v>
      </c>
      <c r="BW471" s="9">
        <v>1.8867924528301886E-2</v>
      </c>
      <c r="BX471" s="9">
        <v>1.8867924528301886E-2</v>
      </c>
    </row>
    <row r="472" spans="1:76">
      <c r="A472" s="3" t="s">
        <v>66</v>
      </c>
      <c r="B472" t="s">
        <v>4196</v>
      </c>
      <c r="D472" t="s">
        <v>4967</v>
      </c>
      <c r="F472" s="91" t="s">
        <v>4973</v>
      </c>
      <c r="H472" s="3" t="s">
        <v>4984</v>
      </c>
      <c r="I472" s="3"/>
      <c r="J472" s="124"/>
      <c r="K472" s="124"/>
      <c r="M472" s="124"/>
      <c r="X472" s="10">
        <v>1.8867924528301886E-2</v>
      </c>
      <c r="Y472" s="9">
        <v>1.8867924528301886E-2</v>
      </c>
      <c r="Z472" s="9">
        <v>1.8867924528301886E-2</v>
      </c>
      <c r="AA472" s="9">
        <v>1.8867924528301886E-2</v>
      </c>
      <c r="AB472" s="9">
        <v>1.8867924528301886E-2</v>
      </c>
      <c r="AC472" s="9">
        <v>1.8867924528301886E-2</v>
      </c>
      <c r="AD472" s="9">
        <v>1.8867924528301886E-2</v>
      </c>
      <c r="AE472" s="9">
        <v>1.8867924528301886E-2</v>
      </c>
      <c r="AF472" s="9">
        <v>1.8867924528301886E-2</v>
      </c>
      <c r="AG472" s="9">
        <v>1.8867924528301886E-2</v>
      </c>
      <c r="AH472" s="9">
        <v>1.8867924528301886E-2</v>
      </c>
      <c r="AI472" s="9">
        <v>1.8867924528301886E-2</v>
      </c>
      <c r="AJ472" s="9">
        <v>1.8867924528301886E-2</v>
      </c>
      <c r="AK472" s="9">
        <v>1.8867924528301886E-2</v>
      </c>
      <c r="AL472" s="9">
        <v>1.8867924528301886E-2</v>
      </c>
      <c r="AM472" s="9">
        <v>1.8867924528301886E-2</v>
      </c>
      <c r="AN472" s="9">
        <v>1.8867924528301886E-2</v>
      </c>
      <c r="AO472" s="9">
        <v>1.8867924528301886E-2</v>
      </c>
      <c r="AP472" s="9">
        <v>1.8867924528301886E-2</v>
      </c>
      <c r="AQ472" s="9">
        <v>1.8867924528301886E-2</v>
      </c>
      <c r="AR472" s="9">
        <v>1.8867924528301886E-2</v>
      </c>
      <c r="AS472" s="9">
        <v>1.8867924528301886E-2</v>
      </c>
      <c r="AT472" s="9">
        <v>1.8867924528301886E-2</v>
      </c>
      <c r="AU472" s="9">
        <v>1.8867924528301886E-2</v>
      </c>
      <c r="AV472" s="9">
        <v>1.8867924528301886E-2</v>
      </c>
      <c r="AW472" s="9">
        <v>1.8867924528301886E-2</v>
      </c>
      <c r="AX472" s="9">
        <v>1.8867924528301886E-2</v>
      </c>
      <c r="AY472" s="9">
        <v>1.8867924528301886E-2</v>
      </c>
      <c r="AZ472" s="9">
        <v>1.8867924528301886E-2</v>
      </c>
      <c r="BA472" s="9">
        <v>1.8867924528301886E-2</v>
      </c>
      <c r="BB472" s="9">
        <v>1.8867924528301886E-2</v>
      </c>
      <c r="BC472" s="9">
        <v>1.8867924528301886E-2</v>
      </c>
      <c r="BD472" s="9">
        <v>1.8867924528301886E-2</v>
      </c>
      <c r="BE472" s="9">
        <v>1.8867924528301886E-2</v>
      </c>
      <c r="BF472" s="9">
        <v>1.8867924528301886E-2</v>
      </c>
      <c r="BG472" s="9">
        <v>1.8867924528301886E-2</v>
      </c>
      <c r="BH472" s="9">
        <v>1.8867924528301886E-2</v>
      </c>
      <c r="BI472" s="9">
        <v>1.8867924528301886E-2</v>
      </c>
      <c r="BJ472" s="9">
        <v>1.8867924528301886E-2</v>
      </c>
      <c r="BK472" s="9">
        <v>1.8867924528301886E-2</v>
      </c>
      <c r="BL472" s="9">
        <v>1.8867924528301886E-2</v>
      </c>
      <c r="BM472" s="9">
        <v>1.8867924528301886E-2</v>
      </c>
      <c r="BN472" s="9">
        <v>1.8867924528301886E-2</v>
      </c>
      <c r="BO472" s="9">
        <v>1.8867924528301886E-2</v>
      </c>
      <c r="BP472" s="9">
        <v>1.8867924528301886E-2</v>
      </c>
      <c r="BQ472" s="9">
        <v>1.8867924528301886E-2</v>
      </c>
      <c r="BR472" s="9">
        <v>1.8867924528301886E-2</v>
      </c>
      <c r="BS472" s="9">
        <v>1.8867924528301886E-2</v>
      </c>
      <c r="BT472" s="9">
        <v>1.8867924528301886E-2</v>
      </c>
      <c r="BU472" s="9">
        <v>1.8867924528301886E-2</v>
      </c>
      <c r="BV472" s="9">
        <v>1.8867924528301886E-2</v>
      </c>
      <c r="BW472" s="9">
        <v>1.8867924528301886E-2</v>
      </c>
      <c r="BX472" s="9">
        <v>1.8867924528301886E-2</v>
      </c>
    </row>
    <row r="473" spans="1:76">
      <c r="A473" s="3" t="s">
        <v>66</v>
      </c>
      <c r="B473" t="s">
        <v>4198</v>
      </c>
      <c r="D473" t="s">
        <v>4967</v>
      </c>
      <c r="F473" s="91" t="s">
        <v>4973</v>
      </c>
      <c r="H473" s="3" t="s">
        <v>4984</v>
      </c>
      <c r="I473" s="3"/>
      <c r="J473" s="124"/>
      <c r="K473" s="124"/>
      <c r="M473" s="124"/>
      <c r="X473" s="10">
        <v>1.8867924528301886E-2</v>
      </c>
      <c r="Y473" s="9">
        <v>1.8867924528301886E-2</v>
      </c>
      <c r="Z473" s="9">
        <v>1.8867924528301886E-2</v>
      </c>
      <c r="AA473" s="9">
        <v>1.8867924528301886E-2</v>
      </c>
      <c r="AB473" s="9">
        <v>1.8867924528301886E-2</v>
      </c>
      <c r="AC473" s="9">
        <v>1.8867924528301886E-2</v>
      </c>
      <c r="AD473" s="9">
        <v>1.8867924528301886E-2</v>
      </c>
      <c r="AE473" s="9">
        <v>1.8867924528301886E-2</v>
      </c>
      <c r="AF473" s="9">
        <v>1.8867924528301886E-2</v>
      </c>
      <c r="AG473" s="9">
        <v>1.8867924528301886E-2</v>
      </c>
      <c r="AH473" s="9">
        <v>1.8867924528301886E-2</v>
      </c>
      <c r="AI473" s="9">
        <v>1.8867924528301886E-2</v>
      </c>
      <c r="AJ473" s="9">
        <v>1.8867924528301886E-2</v>
      </c>
      <c r="AK473" s="9">
        <v>1.8867924528301886E-2</v>
      </c>
      <c r="AL473" s="9">
        <v>1.8867924528301886E-2</v>
      </c>
      <c r="AM473" s="9">
        <v>1.8867924528301886E-2</v>
      </c>
      <c r="AN473" s="9">
        <v>1.8867924528301886E-2</v>
      </c>
      <c r="AO473" s="9">
        <v>1.8867924528301886E-2</v>
      </c>
      <c r="AP473" s="9">
        <v>1.8867924528301886E-2</v>
      </c>
      <c r="AQ473" s="9">
        <v>1.8867924528301886E-2</v>
      </c>
      <c r="AR473" s="9">
        <v>1.8867924528301886E-2</v>
      </c>
      <c r="AS473" s="9">
        <v>1.8867924528301886E-2</v>
      </c>
      <c r="AT473" s="9">
        <v>1.8867924528301886E-2</v>
      </c>
      <c r="AU473" s="9">
        <v>1.8867924528301886E-2</v>
      </c>
      <c r="AV473" s="9">
        <v>1.8867924528301886E-2</v>
      </c>
      <c r="AW473" s="9">
        <v>1.8867924528301886E-2</v>
      </c>
      <c r="AX473" s="9">
        <v>1.8867924528301886E-2</v>
      </c>
      <c r="AY473" s="9">
        <v>1.8867924528301886E-2</v>
      </c>
      <c r="AZ473" s="9">
        <v>1.8867924528301886E-2</v>
      </c>
      <c r="BA473" s="9">
        <v>1.8867924528301886E-2</v>
      </c>
      <c r="BB473" s="9">
        <v>1.8867924528301886E-2</v>
      </c>
      <c r="BC473" s="9">
        <v>1.8867924528301886E-2</v>
      </c>
      <c r="BD473" s="9">
        <v>1.8867924528301886E-2</v>
      </c>
      <c r="BE473" s="9">
        <v>1.8867924528301886E-2</v>
      </c>
      <c r="BF473" s="9">
        <v>1.8867924528301886E-2</v>
      </c>
      <c r="BG473" s="9">
        <v>1.8867924528301886E-2</v>
      </c>
      <c r="BH473" s="9">
        <v>1.8867924528301886E-2</v>
      </c>
      <c r="BI473" s="9">
        <v>1.8867924528301886E-2</v>
      </c>
      <c r="BJ473" s="9">
        <v>1.8867924528301886E-2</v>
      </c>
      <c r="BK473" s="9">
        <v>1.8867924528301886E-2</v>
      </c>
      <c r="BL473" s="9">
        <v>1.8867924528301886E-2</v>
      </c>
      <c r="BM473" s="9">
        <v>1.8867924528301886E-2</v>
      </c>
      <c r="BN473" s="9">
        <v>1.8867924528301886E-2</v>
      </c>
      <c r="BO473" s="9">
        <v>1.8867924528301886E-2</v>
      </c>
      <c r="BP473" s="9">
        <v>1.8867924528301886E-2</v>
      </c>
      <c r="BQ473" s="9">
        <v>1.8867924528301886E-2</v>
      </c>
      <c r="BR473" s="9">
        <v>1.8867924528301886E-2</v>
      </c>
      <c r="BS473" s="9">
        <v>1.8867924528301886E-2</v>
      </c>
      <c r="BT473" s="9">
        <v>1.8867924528301886E-2</v>
      </c>
      <c r="BU473" s="9">
        <v>1.8867924528301886E-2</v>
      </c>
      <c r="BV473" s="9">
        <v>1.8867924528301886E-2</v>
      </c>
      <c r="BW473" s="9">
        <v>1.8867924528301886E-2</v>
      </c>
      <c r="BX473" s="9">
        <v>1.8867924528301886E-2</v>
      </c>
    </row>
    <row r="474" spans="1:76">
      <c r="A474" s="3" t="s">
        <v>66</v>
      </c>
      <c r="B474" t="s">
        <v>4200</v>
      </c>
      <c r="D474" t="s">
        <v>4967</v>
      </c>
      <c r="F474" s="91" t="s">
        <v>4973</v>
      </c>
      <c r="H474" s="3" t="s">
        <v>4984</v>
      </c>
      <c r="I474" s="3"/>
      <c r="J474" s="124"/>
      <c r="K474" s="124"/>
      <c r="M474" s="124"/>
      <c r="X474" s="10">
        <v>1.8867924528301886E-2</v>
      </c>
      <c r="Y474" s="9">
        <v>1.8867924528301886E-2</v>
      </c>
      <c r="Z474" s="9">
        <v>1.8867924528301886E-2</v>
      </c>
      <c r="AA474" s="9">
        <v>1.8867924528301886E-2</v>
      </c>
      <c r="AB474" s="9">
        <v>1.8867924528301886E-2</v>
      </c>
      <c r="AC474" s="9">
        <v>1.8867924528301886E-2</v>
      </c>
      <c r="AD474" s="9">
        <v>1.8867924528301886E-2</v>
      </c>
      <c r="AE474" s="9">
        <v>1.8867924528301886E-2</v>
      </c>
      <c r="AF474" s="9">
        <v>1.8867924528301886E-2</v>
      </c>
      <c r="AG474" s="9">
        <v>1.8867924528301886E-2</v>
      </c>
      <c r="AH474" s="9">
        <v>1.8867924528301886E-2</v>
      </c>
      <c r="AI474" s="9">
        <v>1.8867924528301886E-2</v>
      </c>
      <c r="AJ474" s="9">
        <v>1.8867924528301886E-2</v>
      </c>
      <c r="AK474" s="9">
        <v>1.8867924528301886E-2</v>
      </c>
      <c r="AL474" s="9">
        <v>1.8867924528301886E-2</v>
      </c>
      <c r="AM474" s="9">
        <v>1.8867924528301886E-2</v>
      </c>
      <c r="AN474" s="9">
        <v>1.8867924528301886E-2</v>
      </c>
      <c r="AO474" s="9">
        <v>1.8867924528301886E-2</v>
      </c>
      <c r="AP474" s="9">
        <v>1.8867924528301886E-2</v>
      </c>
      <c r="AQ474" s="9">
        <v>1.8867924528301886E-2</v>
      </c>
      <c r="AR474" s="9">
        <v>1.8867924528301886E-2</v>
      </c>
      <c r="AS474" s="9">
        <v>1.8867924528301886E-2</v>
      </c>
      <c r="AT474" s="9">
        <v>1.8867924528301886E-2</v>
      </c>
      <c r="AU474" s="9">
        <v>1.8867924528301886E-2</v>
      </c>
      <c r="AV474" s="9">
        <v>1.8867924528301886E-2</v>
      </c>
      <c r="AW474" s="9">
        <v>1.8867924528301886E-2</v>
      </c>
      <c r="AX474" s="9">
        <v>1.8867924528301886E-2</v>
      </c>
      <c r="AY474" s="9">
        <v>1.8867924528301886E-2</v>
      </c>
      <c r="AZ474" s="9">
        <v>1.8867924528301886E-2</v>
      </c>
      <c r="BA474" s="9">
        <v>1.8867924528301886E-2</v>
      </c>
      <c r="BB474" s="9">
        <v>1.8867924528301886E-2</v>
      </c>
      <c r="BC474" s="9">
        <v>1.8867924528301886E-2</v>
      </c>
      <c r="BD474" s="9">
        <v>1.8867924528301886E-2</v>
      </c>
      <c r="BE474" s="9">
        <v>1.8867924528301886E-2</v>
      </c>
      <c r="BF474" s="9">
        <v>1.8867924528301886E-2</v>
      </c>
      <c r="BG474" s="9">
        <v>1.8867924528301886E-2</v>
      </c>
      <c r="BH474" s="9">
        <v>1.8867924528301886E-2</v>
      </c>
      <c r="BI474" s="9">
        <v>1.8867924528301886E-2</v>
      </c>
      <c r="BJ474" s="9">
        <v>1.8867924528301886E-2</v>
      </c>
      <c r="BK474" s="9">
        <v>1.8867924528301886E-2</v>
      </c>
      <c r="BL474" s="9">
        <v>1.8867924528301886E-2</v>
      </c>
      <c r="BM474" s="9">
        <v>1.8867924528301886E-2</v>
      </c>
      <c r="BN474" s="9">
        <v>1.8867924528301886E-2</v>
      </c>
      <c r="BO474" s="9">
        <v>1.8867924528301886E-2</v>
      </c>
      <c r="BP474" s="9">
        <v>1.8867924528301886E-2</v>
      </c>
      <c r="BQ474" s="9">
        <v>1.8867924528301886E-2</v>
      </c>
      <c r="BR474" s="9">
        <v>1.8867924528301886E-2</v>
      </c>
      <c r="BS474" s="9">
        <v>1.8867924528301886E-2</v>
      </c>
      <c r="BT474" s="9">
        <v>1.8867924528301886E-2</v>
      </c>
      <c r="BU474" s="9">
        <v>1.8867924528301886E-2</v>
      </c>
      <c r="BV474" s="9">
        <v>1.8867924528301886E-2</v>
      </c>
      <c r="BW474" s="9">
        <v>1.8867924528301886E-2</v>
      </c>
      <c r="BX474" s="9">
        <v>1.8867924528301886E-2</v>
      </c>
    </row>
    <row r="475" spans="1:76">
      <c r="A475" s="3" t="s">
        <v>66</v>
      </c>
      <c r="B475" t="s">
        <v>4237</v>
      </c>
      <c r="D475" t="s">
        <v>4967</v>
      </c>
      <c r="F475" s="91" t="s">
        <v>4973</v>
      </c>
      <c r="H475" s="3" t="s">
        <v>4984</v>
      </c>
      <c r="I475" s="3"/>
      <c r="J475" s="124"/>
      <c r="K475" s="124"/>
      <c r="M475" s="124"/>
      <c r="X475" s="10">
        <v>1.8867924528301886E-2</v>
      </c>
      <c r="Y475" s="9">
        <v>1.8867924528301886E-2</v>
      </c>
      <c r="Z475" s="9">
        <v>1.8867924528301886E-2</v>
      </c>
      <c r="AA475" s="9">
        <v>1.8867924528301886E-2</v>
      </c>
      <c r="AB475" s="9">
        <v>1.8867924528301886E-2</v>
      </c>
      <c r="AC475" s="9">
        <v>1.8867924528301886E-2</v>
      </c>
      <c r="AD475" s="9">
        <v>1.8867924528301886E-2</v>
      </c>
      <c r="AE475" s="9">
        <v>1.8867924528301886E-2</v>
      </c>
      <c r="AF475" s="9">
        <v>1.8867924528301886E-2</v>
      </c>
      <c r="AG475" s="9">
        <v>1.8867924528301886E-2</v>
      </c>
      <c r="AH475" s="9">
        <v>1.8867924528301886E-2</v>
      </c>
      <c r="AI475" s="9">
        <v>1.8867924528301886E-2</v>
      </c>
      <c r="AJ475" s="9">
        <v>1.8867924528301886E-2</v>
      </c>
      <c r="AK475" s="9">
        <v>1.8867924528301886E-2</v>
      </c>
      <c r="AL475" s="9">
        <v>1.8867924528301886E-2</v>
      </c>
      <c r="AM475" s="9">
        <v>1.8867924528301886E-2</v>
      </c>
      <c r="AN475" s="9">
        <v>1.8867924528301886E-2</v>
      </c>
      <c r="AO475" s="9">
        <v>1.8867924528301886E-2</v>
      </c>
      <c r="AP475" s="9">
        <v>1.8867924528301886E-2</v>
      </c>
      <c r="AQ475" s="9">
        <v>1.8867924528301886E-2</v>
      </c>
      <c r="AR475" s="9">
        <v>1.8867924528301886E-2</v>
      </c>
      <c r="AS475" s="9">
        <v>1.8867924528301886E-2</v>
      </c>
      <c r="AT475" s="9">
        <v>1.8867924528301886E-2</v>
      </c>
      <c r="AU475" s="9">
        <v>1.8867924528301886E-2</v>
      </c>
      <c r="AV475" s="9">
        <v>1.8867924528301886E-2</v>
      </c>
      <c r="AW475" s="9">
        <v>1.8867924528301886E-2</v>
      </c>
      <c r="AX475" s="9">
        <v>1.8867924528301886E-2</v>
      </c>
      <c r="AY475" s="9">
        <v>1.8867924528301886E-2</v>
      </c>
      <c r="AZ475" s="9">
        <v>1.8867924528301886E-2</v>
      </c>
      <c r="BA475" s="9">
        <v>1.8867924528301886E-2</v>
      </c>
      <c r="BB475" s="9">
        <v>1.8867924528301886E-2</v>
      </c>
      <c r="BC475" s="9">
        <v>1.8867924528301886E-2</v>
      </c>
      <c r="BD475" s="9">
        <v>1.8867924528301886E-2</v>
      </c>
      <c r="BE475" s="9">
        <v>1.8867924528301886E-2</v>
      </c>
      <c r="BF475" s="9">
        <v>1.8867924528301886E-2</v>
      </c>
      <c r="BG475" s="9">
        <v>1.8867924528301886E-2</v>
      </c>
      <c r="BH475" s="9">
        <v>1.8867924528301886E-2</v>
      </c>
      <c r="BI475" s="9">
        <v>1.8867924528301886E-2</v>
      </c>
      <c r="BJ475" s="9">
        <v>1.8867924528301886E-2</v>
      </c>
      <c r="BK475" s="9">
        <v>1.8867924528301886E-2</v>
      </c>
      <c r="BL475" s="9">
        <v>1.8867924528301886E-2</v>
      </c>
      <c r="BM475" s="9">
        <v>1.8867924528301886E-2</v>
      </c>
      <c r="BN475" s="9">
        <v>1.8867924528301886E-2</v>
      </c>
      <c r="BO475" s="9">
        <v>1.8867924528301886E-2</v>
      </c>
      <c r="BP475" s="9">
        <v>1.8867924528301886E-2</v>
      </c>
      <c r="BQ475" s="9">
        <v>1.8867924528301886E-2</v>
      </c>
      <c r="BR475" s="9">
        <v>1.8867924528301886E-2</v>
      </c>
      <c r="BS475" s="9">
        <v>1.8867924528301886E-2</v>
      </c>
      <c r="BT475" s="9">
        <v>1.8867924528301886E-2</v>
      </c>
      <c r="BU475" s="9">
        <v>1.8867924528301886E-2</v>
      </c>
      <c r="BV475" s="9">
        <v>1.8867924528301886E-2</v>
      </c>
      <c r="BW475" s="9">
        <v>1.8867924528301886E-2</v>
      </c>
      <c r="BX475" s="9">
        <v>1.8867924528301886E-2</v>
      </c>
    </row>
    <row r="476" spans="1:76">
      <c r="A476" s="3" t="s">
        <v>66</v>
      </c>
      <c r="B476" t="s">
        <v>4446</v>
      </c>
      <c r="D476" t="s">
        <v>4967</v>
      </c>
      <c r="F476" s="91" t="s">
        <v>4973</v>
      </c>
      <c r="H476" s="3" t="s">
        <v>4984</v>
      </c>
      <c r="I476" s="3"/>
      <c r="J476" s="124"/>
      <c r="K476" s="124"/>
      <c r="M476" s="124"/>
      <c r="X476" s="10">
        <v>1.8867924528301886E-2</v>
      </c>
      <c r="Y476" s="9">
        <v>1.8867924528301886E-2</v>
      </c>
      <c r="Z476" s="9">
        <v>1.8867924528301886E-2</v>
      </c>
      <c r="AA476" s="9">
        <v>1.8867924528301886E-2</v>
      </c>
      <c r="AB476" s="9">
        <v>1.8867924528301886E-2</v>
      </c>
      <c r="AC476" s="9">
        <v>1.8867924528301886E-2</v>
      </c>
      <c r="AD476" s="9">
        <v>1.8867924528301886E-2</v>
      </c>
      <c r="AE476" s="9">
        <v>1.8867924528301886E-2</v>
      </c>
      <c r="AF476" s="9">
        <v>1.8867924528301886E-2</v>
      </c>
      <c r="AG476" s="9">
        <v>1.8867924528301886E-2</v>
      </c>
      <c r="AH476" s="9">
        <v>1.8867924528301886E-2</v>
      </c>
      <c r="AI476" s="9">
        <v>1.8867924528301886E-2</v>
      </c>
      <c r="AJ476" s="9">
        <v>1.8867924528301886E-2</v>
      </c>
      <c r="AK476" s="9">
        <v>1.8867924528301886E-2</v>
      </c>
      <c r="AL476" s="9">
        <v>1.8867924528301886E-2</v>
      </c>
      <c r="AM476" s="9">
        <v>1.8867924528301886E-2</v>
      </c>
      <c r="AN476" s="9">
        <v>1.8867924528301886E-2</v>
      </c>
      <c r="AO476" s="9">
        <v>1.8867924528301886E-2</v>
      </c>
      <c r="AP476" s="9">
        <v>1.8867924528301886E-2</v>
      </c>
      <c r="AQ476" s="9">
        <v>1.8867924528301886E-2</v>
      </c>
      <c r="AR476" s="9">
        <v>1.8867924528301886E-2</v>
      </c>
      <c r="AS476" s="9">
        <v>1.8867924528301886E-2</v>
      </c>
      <c r="AT476" s="9">
        <v>1.8867924528301886E-2</v>
      </c>
      <c r="AU476" s="9">
        <v>1.8867924528301886E-2</v>
      </c>
      <c r="AV476" s="9">
        <v>1.8867924528301886E-2</v>
      </c>
      <c r="AW476" s="9">
        <v>1.8867924528301886E-2</v>
      </c>
      <c r="AX476" s="9">
        <v>1.8867924528301886E-2</v>
      </c>
      <c r="AY476" s="9">
        <v>1.8867924528301886E-2</v>
      </c>
      <c r="AZ476" s="9">
        <v>1.8867924528301886E-2</v>
      </c>
      <c r="BA476" s="9">
        <v>1.8867924528301886E-2</v>
      </c>
      <c r="BB476" s="9">
        <v>1.8867924528301886E-2</v>
      </c>
      <c r="BC476" s="9">
        <v>1.8867924528301886E-2</v>
      </c>
      <c r="BD476" s="9">
        <v>1.8867924528301886E-2</v>
      </c>
      <c r="BE476" s="9">
        <v>1.8867924528301886E-2</v>
      </c>
      <c r="BF476" s="9">
        <v>1.8867924528301886E-2</v>
      </c>
      <c r="BG476" s="9">
        <v>1.8867924528301886E-2</v>
      </c>
      <c r="BH476" s="9">
        <v>1.8867924528301886E-2</v>
      </c>
      <c r="BI476" s="9">
        <v>1.8867924528301886E-2</v>
      </c>
      <c r="BJ476" s="9">
        <v>1.8867924528301886E-2</v>
      </c>
      <c r="BK476" s="9">
        <v>1.8867924528301886E-2</v>
      </c>
      <c r="BL476" s="9">
        <v>1.8867924528301886E-2</v>
      </c>
      <c r="BM476" s="9">
        <v>1.8867924528301886E-2</v>
      </c>
      <c r="BN476" s="9">
        <v>1.8867924528301886E-2</v>
      </c>
      <c r="BO476" s="9">
        <v>1.8867924528301886E-2</v>
      </c>
      <c r="BP476" s="9">
        <v>1.8867924528301886E-2</v>
      </c>
      <c r="BQ476" s="9">
        <v>1.8867924528301886E-2</v>
      </c>
      <c r="BR476" s="9">
        <v>1.8867924528301886E-2</v>
      </c>
      <c r="BS476" s="9">
        <v>1.8867924528301886E-2</v>
      </c>
      <c r="BT476" s="9">
        <v>1.8867924528301886E-2</v>
      </c>
      <c r="BU476" s="9">
        <v>1.8867924528301886E-2</v>
      </c>
      <c r="BV476" s="9">
        <v>1.8867924528301886E-2</v>
      </c>
      <c r="BW476" s="9">
        <v>1.8867924528301886E-2</v>
      </c>
      <c r="BX476" s="9">
        <v>1.8867924528301886E-2</v>
      </c>
    </row>
    <row r="477" spans="1:76">
      <c r="A477" s="3" t="s">
        <v>66</v>
      </c>
      <c r="B477" t="s">
        <v>4229</v>
      </c>
      <c r="D477" t="s">
        <v>4967</v>
      </c>
      <c r="F477" s="91" t="s">
        <v>4973</v>
      </c>
      <c r="H477" s="3" t="s">
        <v>4984</v>
      </c>
      <c r="I477" s="3"/>
      <c r="J477" s="124"/>
      <c r="K477" s="124"/>
      <c r="M477" s="124"/>
      <c r="X477" s="10">
        <v>1.8867924528301886E-2</v>
      </c>
      <c r="Y477" s="9">
        <v>1.8867924528301886E-2</v>
      </c>
      <c r="Z477" s="9">
        <v>1.8867924528301886E-2</v>
      </c>
      <c r="AA477" s="9">
        <v>1.8867924528301886E-2</v>
      </c>
      <c r="AB477" s="9">
        <v>1.8867924528301886E-2</v>
      </c>
      <c r="AC477" s="9">
        <v>1.8867924528301886E-2</v>
      </c>
      <c r="AD477" s="9">
        <v>1.8867924528301886E-2</v>
      </c>
      <c r="AE477" s="9">
        <v>1.8867924528301886E-2</v>
      </c>
      <c r="AF477" s="9">
        <v>1.8867924528301886E-2</v>
      </c>
      <c r="AG477" s="9">
        <v>1.8867924528301886E-2</v>
      </c>
      <c r="AH477" s="9">
        <v>1.8867924528301886E-2</v>
      </c>
      <c r="AI477" s="9">
        <v>1.8867924528301886E-2</v>
      </c>
      <c r="AJ477" s="9">
        <v>1.8867924528301886E-2</v>
      </c>
      <c r="AK477" s="9">
        <v>1.8867924528301886E-2</v>
      </c>
      <c r="AL477" s="9">
        <v>1.8867924528301886E-2</v>
      </c>
      <c r="AM477" s="9">
        <v>1.8867924528301886E-2</v>
      </c>
      <c r="AN477" s="9">
        <v>1.8867924528301886E-2</v>
      </c>
      <c r="AO477" s="9">
        <v>1.8867924528301886E-2</v>
      </c>
      <c r="AP477" s="9">
        <v>1.8867924528301886E-2</v>
      </c>
      <c r="AQ477" s="9">
        <v>1.8867924528301886E-2</v>
      </c>
      <c r="AR477" s="9">
        <v>1.8867924528301886E-2</v>
      </c>
      <c r="AS477" s="9">
        <v>1.8867924528301886E-2</v>
      </c>
      <c r="AT477" s="9">
        <v>1.8867924528301886E-2</v>
      </c>
      <c r="AU477" s="9">
        <v>1.8867924528301886E-2</v>
      </c>
      <c r="AV477" s="9">
        <v>1.8867924528301886E-2</v>
      </c>
      <c r="AW477" s="9">
        <v>1.8867924528301886E-2</v>
      </c>
      <c r="AX477" s="9">
        <v>1.8867924528301886E-2</v>
      </c>
      <c r="AY477" s="9">
        <v>1.8867924528301886E-2</v>
      </c>
      <c r="AZ477" s="9">
        <v>1.8867924528301886E-2</v>
      </c>
      <c r="BA477" s="9">
        <v>1.8867924528301886E-2</v>
      </c>
      <c r="BB477" s="9">
        <v>1.8867924528301886E-2</v>
      </c>
      <c r="BC477" s="9">
        <v>1.8867924528301886E-2</v>
      </c>
      <c r="BD477" s="9">
        <v>1.8867924528301886E-2</v>
      </c>
      <c r="BE477" s="9">
        <v>1.8867924528301886E-2</v>
      </c>
      <c r="BF477" s="9">
        <v>1.8867924528301886E-2</v>
      </c>
      <c r="BG477" s="9">
        <v>1.8867924528301886E-2</v>
      </c>
      <c r="BH477" s="9">
        <v>1.8867924528301886E-2</v>
      </c>
      <c r="BI477" s="9">
        <v>1.8867924528301886E-2</v>
      </c>
      <c r="BJ477" s="9">
        <v>1.8867924528301886E-2</v>
      </c>
      <c r="BK477" s="9">
        <v>1.8867924528301886E-2</v>
      </c>
      <c r="BL477" s="9">
        <v>1.8867924528301886E-2</v>
      </c>
      <c r="BM477" s="9">
        <v>1.8867924528301886E-2</v>
      </c>
      <c r="BN477" s="9">
        <v>1.8867924528301886E-2</v>
      </c>
      <c r="BO477" s="9">
        <v>1.8867924528301886E-2</v>
      </c>
      <c r="BP477" s="9">
        <v>1.8867924528301886E-2</v>
      </c>
      <c r="BQ477" s="9">
        <v>1.8867924528301886E-2</v>
      </c>
      <c r="BR477" s="9">
        <v>1.8867924528301886E-2</v>
      </c>
      <c r="BS477" s="9">
        <v>1.8867924528301886E-2</v>
      </c>
      <c r="BT477" s="9">
        <v>1.8867924528301886E-2</v>
      </c>
      <c r="BU477" s="9">
        <v>1.8867924528301886E-2</v>
      </c>
      <c r="BV477" s="9">
        <v>1.8867924528301886E-2</v>
      </c>
      <c r="BW477" s="9">
        <v>1.8867924528301886E-2</v>
      </c>
      <c r="BX477" s="9">
        <v>1.8867924528301886E-2</v>
      </c>
    </row>
    <row r="478" spans="1:76">
      <c r="A478" s="3" t="s">
        <v>66</v>
      </c>
      <c r="B478" t="s">
        <v>4231</v>
      </c>
      <c r="D478" t="s">
        <v>4967</v>
      </c>
      <c r="F478" s="91" t="s">
        <v>4973</v>
      </c>
      <c r="H478" s="3" t="s">
        <v>4984</v>
      </c>
      <c r="I478" s="3"/>
      <c r="J478" s="124"/>
      <c r="K478" s="124"/>
      <c r="M478" s="124"/>
      <c r="X478" s="10">
        <v>1.8867924528301886E-2</v>
      </c>
      <c r="Y478" s="9">
        <v>1.8867924528301886E-2</v>
      </c>
      <c r="Z478" s="9">
        <v>1.8867924528301886E-2</v>
      </c>
      <c r="AA478" s="9">
        <v>1.8867924528301886E-2</v>
      </c>
      <c r="AB478" s="9">
        <v>1.8867924528301886E-2</v>
      </c>
      <c r="AC478" s="9">
        <v>1.8867924528301886E-2</v>
      </c>
      <c r="AD478" s="9">
        <v>1.8867924528301886E-2</v>
      </c>
      <c r="AE478" s="9">
        <v>1.8867924528301886E-2</v>
      </c>
      <c r="AF478" s="9">
        <v>1.8867924528301886E-2</v>
      </c>
      <c r="AG478" s="9">
        <v>1.8867924528301886E-2</v>
      </c>
      <c r="AH478" s="9">
        <v>1.8867924528301886E-2</v>
      </c>
      <c r="AI478" s="9">
        <v>1.8867924528301886E-2</v>
      </c>
      <c r="AJ478" s="9">
        <v>1.8867924528301886E-2</v>
      </c>
      <c r="AK478" s="9">
        <v>1.8867924528301886E-2</v>
      </c>
      <c r="AL478" s="9">
        <v>1.8867924528301886E-2</v>
      </c>
      <c r="AM478" s="9">
        <v>1.8867924528301886E-2</v>
      </c>
      <c r="AN478" s="9">
        <v>1.8867924528301886E-2</v>
      </c>
      <c r="AO478" s="9">
        <v>1.8867924528301886E-2</v>
      </c>
      <c r="AP478" s="9">
        <v>1.8867924528301886E-2</v>
      </c>
      <c r="AQ478" s="9">
        <v>1.8867924528301886E-2</v>
      </c>
      <c r="AR478" s="9">
        <v>1.8867924528301886E-2</v>
      </c>
      <c r="AS478" s="9">
        <v>1.8867924528301886E-2</v>
      </c>
      <c r="AT478" s="9">
        <v>1.8867924528301886E-2</v>
      </c>
      <c r="AU478" s="9">
        <v>1.8867924528301886E-2</v>
      </c>
      <c r="AV478" s="9">
        <v>1.8867924528301886E-2</v>
      </c>
      <c r="AW478" s="9">
        <v>1.8867924528301886E-2</v>
      </c>
      <c r="AX478" s="9">
        <v>1.8867924528301886E-2</v>
      </c>
      <c r="AY478" s="9">
        <v>1.8867924528301886E-2</v>
      </c>
      <c r="AZ478" s="9">
        <v>1.8867924528301886E-2</v>
      </c>
      <c r="BA478" s="9">
        <v>1.8867924528301886E-2</v>
      </c>
      <c r="BB478" s="9">
        <v>1.8867924528301886E-2</v>
      </c>
      <c r="BC478" s="9">
        <v>1.8867924528301886E-2</v>
      </c>
      <c r="BD478" s="9">
        <v>1.8867924528301886E-2</v>
      </c>
      <c r="BE478" s="9">
        <v>1.8867924528301886E-2</v>
      </c>
      <c r="BF478" s="9">
        <v>1.8867924528301886E-2</v>
      </c>
      <c r="BG478" s="9">
        <v>1.8867924528301886E-2</v>
      </c>
      <c r="BH478" s="9">
        <v>1.8867924528301886E-2</v>
      </c>
      <c r="BI478" s="9">
        <v>1.8867924528301886E-2</v>
      </c>
      <c r="BJ478" s="9">
        <v>1.8867924528301886E-2</v>
      </c>
      <c r="BK478" s="9">
        <v>1.8867924528301886E-2</v>
      </c>
      <c r="BL478" s="9">
        <v>1.8867924528301886E-2</v>
      </c>
      <c r="BM478" s="9">
        <v>1.8867924528301886E-2</v>
      </c>
      <c r="BN478" s="9">
        <v>1.8867924528301886E-2</v>
      </c>
      <c r="BO478" s="9">
        <v>1.8867924528301886E-2</v>
      </c>
      <c r="BP478" s="9">
        <v>1.8867924528301886E-2</v>
      </c>
      <c r="BQ478" s="9">
        <v>1.8867924528301886E-2</v>
      </c>
      <c r="BR478" s="9">
        <v>1.8867924528301886E-2</v>
      </c>
      <c r="BS478" s="9">
        <v>1.8867924528301886E-2</v>
      </c>
      <c r="BT478" s="9">
        <v>1.8867924528301886E-2</v>
      </c>
      <c r="BU478" s="9">
        <v>1.8867924528301886E-2</v>
      </c>
      <c r="BV478" s="9">
        <v>1.8867924528301886E-2</v>
      </c>
      <c r="BW478" s="9">
        <v>1.8867924528301886E-2</v>
      </c>
      <c r="BX478" s="9">
        <v>1.8867924528301886E-2</v>
      </c>
    </row>
    <row r="479" spans="1:76">
      <c r="A479" s="3" t="s">
        <v>66</v>
      </c>
      <c r="B479" t="s">
        <v>4233</v>
      </c>
      <c r="D479" t="s">
        <v>4967</v>
      </c>
      <c r="F479" s="91" t="s">
        <v>4973</v>
      </c>
      <c r="H479" s="3" t="s">
        <v>4984</v>
      </c>
      <c r="I479" s="3"/>
      <c r="J479" s="124"/>
      <c r="K479" s="124"/>
      <c r="M479" s="124"/>
      <c r="X479" s="10">
        <v>1.8867924528301886E-2</v>
      </c>
      <c r="Y479" s="9">
        <v>1.8867924528301886E-2</v>
      </c>
      <c r="Z479" s="9">
        <v>1.8867924528301886E-2</v>
      </c>
      <c r="AA479" s="9">
        <v>1.8867924528301886E-2</v>
      </c>
      <c r="AB479" s="9">
        <v>1.8867924528301886E-2</v>
      </c>
      <c r="AC479" s="9">
        <v>1.8867924528301886E-2</v>
      </c>
      <c r="AD479" s="9">
        <v>1.8867924528301886E-2</v>
      </c>
      <c r="AE479" s="9">
        <v>1.8867924528301886E-2</v>
      </c>
      <c r="AF479" s="9">
        <v>1.8867924528301886E-2</v>
      </c>
      <c r="AG479" s="9">
        <v>1.8867924528301886E-2</v>
      </c>
      <c r="AH479" s="9">
        <v>1.8867924528301886E-2</v>
      </c>
      <c r="AI479" s="9">
        <v>1.8867924528301886E-2</v>
      </c>
      <c r="AJ479" s="9">
        <v>1.8867924528301886E-2</v>
      </c>
      <c r="AK479" s="9">
        <v>1.8867924528301886E-2</v>
      </c>
      <c r="AL479" s="9">
        <v>1.8867924528301886E-2</v>
      </c>
      <c r="AM479" s="9">
        <v>1.8867924528301886E-2</v>
      </c>
      <c r="AN479" s="9">
        <v>1.8867924528301886E-2</v>
      </c>
      <c r="AO479" s="9">
        <v>1.8867924528301886E-2</v>
      </c>
      <c r="AP479" s="9">
        <v>1.8867924528301886E-2</v>
      </c>
      <c r="AQ479" s="9">
        <v>1.8867924528301886E-2</v>
      </c>
      <c r="AR479" s="9">
        <v>1.8867924528301886E-2</v>
      </c>
      <c r="AS479" s="9">
        <v>1.8867924528301886E-2</v>
      </c>
      <c r="AT479" s="9">
        <v>1.8867924528301886E-2</v>
      </c>
      <c r="AU479" s="9">
        <v>1.8867924528301886E-2</v>
      </c>
      <c r="AV479" s="9">
        <v>1.8867924528301886E-2</v>
      </c>
      <c r="AW479" s="9">
        <v>1.8867924528301886E-2</v>
      </c>
      <c r="AX479" s="9">
        <v>1.8867924528301886E-2</v>
      </c>
      <c r="AY479" s="9">
        <v>1.8867924528301886E-2</v>
      </c>
      <c r="AZ479" s="9">
        <v>1.8867924528301886E-2</v>
      </c>
      <c r="BA479" s="9">
        <v>1.8867924528301886E-2</v>
      </c>
      <c r="BB479" s="9">
        <v>1.8867924528301886E-2</v>
      </c>
      <c r="BC479" s="9">
        <v>1.8867924528301886E-2</v>
      </c>
      <c r="BD479" s="9">
        <v>1.8867924528301886E-2</v>
      </c>
      <c r="BE479" s="9">
        <v>1.8867924528301886E-2</v>
      </c>
      <c r="BF479" s="9">
        <v>1.8867924528301886E-2</v>
      </c>
      <c r="BG479" s="9">
        <v>1.8867924528301886E-2</v>
      </c>
      <c r="BH479" s="9">
        <v>1.8867924528301886E-2</v>
      </c>
      <c r="BI479" s="9">
        <v>1.8867924528301886E-2</v>
      </c>
      <c r="BJ479" s="9">
        <v>1.8867924528301886E-2</v>
      </c>
      <c r="BK479" s="9">
        <v>1.8867924528301886E-2</v>
      </c>
      <c r="BL479" s="9">
        <v>1.8867924528301886E-2</v>
      </c>
      <c r="BM479" s="9">
        <v>1.8867924528301886E-2</v>
      </c>
      <c r="BN479" s="9">
        <v>1.8867924528301886E-2</v>
      </c>
      <c r="BO479" s="9">
        <v>1.8867924528301886E-2</v>
      </c>
      <c r="BP479" s="9">
        <v>1.8867924528301886E-2</v>
      </c>
      <c r="BQ479" s="9">
        <v>1.8867924528301886E-2</v>
      </c>
      <c r="BR479" s="9">
        <v>1.8867924528301886E-2</v>
      </c>
      <c r="BS479" s="9">
        <v>1.8867924528301886E-2</v>
      </c>
      <c r="BT479" s="9">
        <v>1.8867924528301886E-2</v>
      </c>
      <c r="BU479" s="9">
        <v>1.8867924528301886E-2</v>
      </c>
      <c r="BV479" s="9">
        <v>1.8867924528301886E-2</v>
      </c>
      <c r="BW479" s="9">
        <v>1.8867924528301886E-2</v>
      </c>
      <c r="BX479" s="9">
        <v>1.8867924528301886E-2</v>
      </c>
    </row>
    <row r="480" spans="1:76">
      <c r="A480" s="3" t="s">
        <v>66</v>
      </c>
      <c r="B480" t="s">
        <v>4386</v>
      </c>
      <c r="D480" t="s">
        <v>4967</v>
      </c>
      <c r="F480" s="91" t="s">
        <v>4973</v>
      </c>
      <c r="H480" s="3" t="s">
        <v>4984</v>
      </c>
      <c r="I480" s="3"/>
      <c r="J480" s="124"/>
      <c r="K480" s="124"/>
      <c r="M480" s="124"/>
      <c r="X480" s="10">
        <v>1.8867924528301886E-2</v>
      </c>
      <c r="Y480" s="9">
        <v>1.8867924528301886E-2</v>
      </c>
      <c r="Z480" s="9">
        <v>1.8867924528301886E-2</v>
      </c>
      <c r="AA480" s="9">
        <v>1.8867924528301886E-2</v>
      </c>
      <c r="AB480" s="9">
        <v>1.8867924528301886E-2</v>
      </c>
      <c r="AC480" s="9">
        <v>1.8867924528301886E-2</v>
      </c>
      <c r="AD480" s="9">
        <v>1.8867924528301886E-2</v>
      </c>
      <c r="AE480" s="9">
        <v>1.8867924528301886E-2</v>
      </c>
      <c r="AF480" s="9">
        <v>1.8867924528301886E-2</v>
      </c>
      <c r="AG480" s="9">
        <v>1.8867924528301886E-2</v>
      </c>
      <c r="AH480" s="9">
        <v>1.8867924528301886E-2</v>
      </c>
      <c r="AI480" s="9">
        <v>1.8867924528301886E-2</v>
      </c>
      <c r="AJ480" s="9">
        <v>1.8867924528301886E-2</v>
      </c>
      <c r="AK480" s="9">
        <v>1.8867924528301886E-2</v>
      </c>
      <c r="AL480" s="9">
        <v>1.8867924528301886E-2</v>
      </c>
      <c r="AM480" s="9">
        <v>1.8867924528301886E-2</v>
      </c>
      <c r="AN480" s="9">
        <v>1.8867924528301886E-2</v>
      </c>
      <c r="AO480" s="9">
        <v>1.8867924528301886E-2</v>
      </c>
      <c r="AP480" s="9">
        <v>1.8867924528301886E-2</v>
      </c>
      <c r="AQ480" s="9">
        <v>1.8867924528301886E-2</v>
      </c>
      <c r="AR480" s="9">
        <v>1.8867924528301886E-2</v>
      </c>
      <c r="AS480" s="9">
        <v>1.8867924528301886E-2</v>
      </c>
      <c r="AT480" s="9">
        <v>1.8867924528301886E-2</v>
      </c>
      <c r="AU480" s="9">
        <v>1.8867924528301886E-2</v>
      </c>
      <c r="AV480" s="9">
        <v>1.8867924528301886E-2</v>
      </c>
      <c r="AW480" s="9">
        <v>1.8867924528301886E-2</v>
      </c>
      <c r="AX480" s="9">
        <v>1.8867924528301886E-2</v>
      </c>
      <c r="AY480" s="9">
        <v>1.8867924528301886E-2</v>
      </c>
      <c r="AZ480" s="9">
        <v>1.8867924528301886E-2</v>
      </c>
      <c r="BA480" s="9">
        <v>1.8867924528301886E-2</v>
      </c>
      <c r="BB480" s="9">
        <v>1.8867924528301886E-2</v>
      </c>
      <c r="BC480" s="9">
        <v>1.8867924528301886E-2</v>
      </c>
      <c r="BD480" s="9">
        <v>1.8867924528301886E-2</v>
      </c>
      <c r="BE480" s="9">
        <v>1.8867924528301886E-2</v>
      </c>
      <c r="BF480" s="9">
        <v>1.8867924528301886E-2</v>
      </c>
      <c r="BG480" s="9">
        <v>1.8867924528301886E-2</v>
      </c>
      <c r="BH480" s="9">
        <v>1.8867924528301886E-2</v>
      </c>
      <c r="BI480" s="9">
        <v>1.8867924528301886E-2</v>
      </c>
      <c r="BJ480" s="9">
        <v>1.8867924528301886E-2</v>
      </c>
      <c r="BK480" s="9">
        <v>1.8867924528301886E-2</v>
      </c>
      <c r="BL480" s="9">
        <v>1.8867924528301886E-2</v>
      </c>
      <c r="BM480" s="9">
        <v>1.8867924528301886E-2</v>
      </c>
      <c r="BN480" s="9">
        <v>1.8867924528301886E-2</v>
      </c>
      <c r="BO480" s="9">
        <v>1.8867924528301886E-2</v>
      </c>
      <c r="BP480" s="9">
        <v>1.8867924528301886E-2</v>
      </c>
      <c r="BQ480" s="9">
        <v>1.8867924528301886E-2</v>
      </c>
      <c r="BR480" s="9">
        <v>1.8867924528301886E-2</v>
      </c>
      <c r="BS480" s="9">
        <v>1.8867924528301886E-2</v>
      </c>
      <c r="BT480" s="9">
        <v>1.8867924528301886E-2</v>
      </c>
      <c r="BU480" s="9">
        <v>1.8867924528301886E-2</v>
      </c>
      <c r="BV480" s="9">
        <v>1.8867924528301886E-2</v>
      </c>
      <c r="BW480" s="9">
        <v>1.8867924528301886E-2</v>
      </c>
      <c r="BX480" s="9">
        <v>1.8867924528301886E-2</v>
      </c>
    </row>
    <row r="481" spans="1:76">
      <c r="A481" s="3" t="s">
        <v>66</v>
      </c>
      <c r="B481" t="s">
        <v>4471</v>
      </c>
      <c r="D481" t="s">
        <v>4967</v>
      </c>
      <c r="F481" s="91" t="s">
        <v>4973</v>
      </c>
      <c r="H481" s="3" t="s">
        <v>4984</v>
      </c>
      <c r="I481" s="3"/>
      <c r="J481" s="124"/>
      <c r="K481" s="124"/>
      <c r="M481" s="124"/>
      <c r="X481" s="10">
        <v>1.8867924528301886E-2</v>
      </c>
      <c r="Y481" s="9">
        <v>1.8867924528301886E-2</v>
      </c>
      <c r="Z481" s="9">
        <v>1.8867924528301886E-2</v>
      </c>
      <c r="AA481" s="9">
        <v>1.8867924528301886E-2</v>
      </c>
      <c r="AB481" s="9">
        <v>1.8867924528301886E-2</v>
      </c>
      <c r="AC481" s="9">
        <v>1.8867924528301886E-2</v>
      </c>
      <c r="AD481" s="9">
        <v>1.8867924528301886E-2</v>
      </c>
      <c r="AE481" s="9">
        <v>1.8867924528301886E-2</v>
      </c>
      <c r="AF481" s="9">
        <v>1.8867924528301886E-2</v>
      </c>
      <c r="AG481" s="9">
        <v>1.8867924528301886E-2</v>
      </c>
      <c r="AH481" s="9">
        <v>1.8867924528301886E-2</v>
      </c>
      <c r="AI481" s="9">
        <v>1.8867924528301886E-2</v>
      </c>
      <c r="AJ481" s="9">
        <v>1.8867924528301886E-2</v>
      </c>
      <c r="AK481" s="9">
        <v>1.8867924528301886E-2</v>
      </c>
      <c r="AL481" s="9">
        <v>1.8867924528301886E-2</v>
      </c>
      <c r="AM481" s="9">
        <v>1.8867924528301886E-2</v>
      </c>
      <c r="AN481" s="9">
        <v>1.8867924528301886E-2</v>
      </c>
      <c r="AO481" s="9">
        <v>1.8867924528301886E-2</v>
      </c>
      <c r="AP481" s="9">
        <v>1.8867924528301886E-2</v>
      </c>
      <c r="AQ481" s="9">
        <v>1.8867924528301886E-2</v>
      </c>
      <c r="AR481" s="9">
        <v>1.8867924528301886E-2</v>
      </c>
      <c r="AS481" s="9">
        <v>1.8867924528301886E-2</v>
      </c>
      <c r="AT481" s="9">
        <v>1.8867924528301886E-2</v>
      </c>
      <c r="AU481" s="9">
        <v>1.8867924528301886E-2</v>
      </c>
      <c r="AV481" s="9">
        <v>1.8867924528301886E-2</v>
      </c>
      <c r="AW481" s="9">
        <v>1.8867924528301886E-2</v>
      </c>
      <c r="AX481" s="9">
        <v>1.8867924528301886E-2</v>
      </c>
      <c r="AY481" s="9">
        <v>1.8867924528301886E-2</v>
      </c>
      <c r="AZ481" s="9">
        <v>1.8867924528301886E-2</v>
      </c>
      <c r="BA481" s="9">
        <v>1.8867924528301886E-2</v>
      </c>
      <c r="BB481" s="9">
        <v>1.8867924528301886E-2</v>
      </c>
      <c r="BC481" s="9">
        <v>1.8867924528301886E-2</v>
      </c>
      <c r="BD481" s="9">
        <v>1.8867924528301886E-2</v>
      </c>
      <c r="BE481" s="9">
        <v>1.8867924528301886E-2</v>
      </c>
      <c r="BF481" s="9">
        <v>1.8867924528301886E-2</v>
      </c>
      <c r="BG481" s="9">
        <v>1.8867924528301886E-2</v>
      </c>
      <c r="BH481" s="9">
        <v>1.8867924528301886E-2</v>
      </c>
      <c r="BI481" s="9">
        <v>1.8867924528301886E-2</v>
      </c>
      <c r="BJ481" s="9">
        <v>1.8867924528301886E-2</v>
      </c>
      <c r="BK481" s="9">
        <v>1.8867924528301886E-2</v>
      </c>
      <c r="BL481" s="9">
        <v>1.8867924528301886E-2</v>
      </c>
      <c r="BM481" s="9">
        <v>1.8867924528301886E-2</v>
      </c>
      <c r="BN481" s="9">
        <v>1.8867924528301886E-2</v>
      </c>
      <c r="BO481" s="9">
        <v>1.8867924528301886E-2</v>
      </c>
      <c r="BP481" s="9">
        <v>1.8867924528301886E-2</v>
      </c>
      <c r="BQ481" s="9">
        <v>1.8867924528301886E-2</v>
      </c>
      <c r="BR481" s="9">
        <v>1.8867924528301886E-2</v>
      </c>
      <c r="BS481" s="9">
        <v>1.8867924528301886E-2</v>
      </c>
      <c r="BT481" s="9">
        <v>1.8867924528301886E-2</v>
      </c>
      <c r="BU481" s="9">
        <v>1.8867924528301886E-2</v>
      </c>
      <c r="BV481" s="9">
        <v>1.8867924528301886E-2</v>
      </c>
      <c r="BW481" s="9">
        <v>1.8867924528301886E-2</v>
      </c>
      <c r="BX481" s="9">
        <v>1.8867924528301886E-2</v>
      </c>
    </row>
    <row r="482" spans="1:76">
      <c r="A482" s="3" t="s">
        <v>66</v>
      </c>
      <c r="B482" t="s">
        <v>5268</v>
      </c>
      <c r="D482" t="s">
        <v>4967</v>
      </c>
      <c r="F482" s="91" t="s">
        <v>4973</v>
      </c>
      <c r="H482" s="3" t="s">
        <v>4984</v>
      </c>
      <c r="I482" s="3"/>
      <c r="J482" s="124"/>
      <c r="K482" s="124"/>
      <c r="M482" s="124"/>
      <c r="X482" s="10">
        <v>1.8867924528301886E-2</v>
      </c>
      <c r="Y482" s="9">
        <v>1.8867924528301886E-2</v>
      </c>
      <c r="Z482" s="9">
        <v>1.8867924528301886E-2</v>
      </c>
      <c r="AA482" s="9">
        <v>1.8867924528301886E-2</v>
      </c>
      <c r="AB482" s="9">
        <v>1.8867924528301886E-2</v>
      </c>
      <c r="AC482" s="9">
        <v>1.8867924528301886E-2</v>
      </c>
      <c r="AD482" s="9">
        <v>1.8867924528301886E-2</v>
      </c>
      <c r="AE482" s="9">
        <v>1.8867924528301886E-2</v>
      </c>
      <c r="AF482" s="9">
        <v>1.8867924528301886E-2</v>
      </c>
      <c r="AG482" s="9">
        <v>1.8867924528301886E-2</v>
      </c>
      <c r="AH482" s="9">
        <v>1.8867924528301886E-2</v>
      </c>
      <c r="AI482" s="9">
        <v>1.8867924528301886E-2</v>
      </c>
      <c r="AJ482" s="9">
        <v>1.8867924528301886E-2</v>
      </c>
      <c r="AK482" s="9">
        <v>1.8867924528301886E-2</v>
      </c>
      <c r="AL482" s="9">
        <v>1.8867924528301886E-2</v>
      </c>
      <c r="AM482" s="9">
        <v>1.8867924528301886E-2</v>
      </c>
      <c r="AN482" s="9">
        <v>1.8867924528301886E-2</v>
      </c>
      <c r="AO482" s="9">
        <v>1.8867924528301886E-2</v>
      </c>
      <c r="AP482" s="9">
        <v>1.8867924528301886E-2</v>
      </c>
      <c r="AQ482" s="9">
        <v>1.8867924528301886E-2</v>
      </c>
      <c r="AR482" s="9">
        <v>1.8867924528301886E-2</v>
      </c>
      <c r="AS482" s="9">
        <v>1.8867924528301886E-2</v>
      </c>
      <c r="AT482" s="9">
        <v>1.8867924528301886E-2</v>
      </c>
      <c r="AU482" s="9">
        <v>1.8867924528301886E-2</v>
      </c>
      <c r="AV482" s="9">
        <v>1.8867924528301886E-2</v>
      </c>
      <c r="AW482" s="9">
        <v>1.8867924528301886E-2</v>
      </c>
      <c r="AX482" s="9">
        <v>1.8867924528301886E-2</v>
      </c>
      <c r="AY482" s="9">
        <v>1.8867924528301886E-2</v>
      </c>
      <c r="AZ482" s="9">
        <v>1.8867924528301886E-2</v>
      </c>
      <c r="BA482" s="9">
        <v>1.8867924528301886E-2</v>
      </c>
      <c r="BB482" s="9">
        <v>1.8867924528301886E-2</v>
      </c>
      <c r="BC482" s="9">
        <v>1.8867924528301886E-2</v>
      </c>
      <c r="BD482" s="9">
        <v>1.8867924528301886E-2</v>
      </c>
      <c r="BE482" s="9">
        <v>1.8867924528301886E-2</v>
      </c>
      <c r="BF482" s="9">
        <v>1.8867924528301886E-2</v>
      </c>
      <c r="BG482" s="9">
        <v>1.8867924528301886E-2</v>
      </c>
      <c r="BH482" s="9">
        <v>1.8867924528301886E-2</v>
      </c>
      <c r="BI482" s="9">
        <v>1.8867924528301886E-2</v>
      </c>
      <c r="BJ482" s="9">
        <v>1.8867924528301886E-2</v>
      </c>
      <c r="BK482" s="9">
        <v>1.8867924528301886E-2</v>
      </c>
      <c r="BL482" s="9">
        <v>1.8867924528301886E-2</v>
      </c>
      <c r="BM482" s="9">
        <v>1.8867924528301886E-2</v>
      </c>
      <c r="BN482" s="9">
        <v>1.8867924528301886E-2</v>
      </c>
      <c r="BO482" s="9">
        <v>1.8867924528301886E-2</v>
      </c>
      <c r="BP482" s="9">
        <v>1.8867924528301886E-2</v>
      </c>
      <c r="BQ482" s="9">
        <v>1.8867924528301886E-2</v>
      </c>
      <c r="BR482" s="9">
        <v>1.8867924528301886E-2</v>
      </c>
      <c r="BS482" s="9">
        <v>1.8867924528301886E-2</v>
      </c>
      <c r="BT482" s="9">
        <v>1.8867924528301886E-2</v>
      </c>
      <c r="BU482" s="9">
        <v>1.8867924528301886E-2</v>
      </c>
      <c r="BV482" s="9">
        <v>1.8867924528301886E-2</v>
      </c>
      <c r="BW482" s="9">
        <v>1.8867924528301886E-2</v>
      </c>
      <c r="BX482" s="9">
        <v>1.8867924528301886E-2</v>
      </c>
    </row>
    <row r="483" spans="1:76">
      <c r="A483" s="3" t="s">
        <v>66</v>
      </c>
      <c r="B483" t="s">
        <v>4290</v>
      </c>
      <c r="D483" t="s">
        <v>4967</v>
      </c>
      <c r="F483" s="91" t="s">
        <v>4973</v>
      </c>
      <c r="H483" s="3" t="s">
        <v>4984</v>
      </c>
      <c r="I483" s="3"/>
      <c r="J483" s="124"/>
      <c r="K483" s="124"/>
      <c r="M483" s="124"/>
      <c r="X483" s="10">
        <v>1.8867924528301886E-2</v>
      </c>
      <c r="Y483" s="9">
        <v>1.8867924528301886E-2</v>
      </c>
      <c r="Z483" s="9">
        <v>1.8867924528301886E-2</v>
      </c>
      <c r="AA483" s="9">
        <v>1.8867924528301886E-2</v>
      </c>
      <c r="AB483" s="9">
        <v>1.8867924528301886E-2</v>
      </c>
      <c r="AC483" s="9">
        <v>1.8867924528301886E-2</v>
      </c>
      <c r="AD483" s="9">
        <v>1.8867924528301886E-2</v>
      </c>
      <c r="AE483" s="9">
        <v>1.8867924528301886E-2</v>
      </c>
      <c r="AF483" s="9">
        <v>1.8867924528301886E-2</v>
      </c>
      <c r="AG483" s="9">
        <v>1.8867924528301886E-2</v>
      </c>
      <c r="AH483" s="9">
        <v>1.8867924528301886E-2</v>
      </c>
      <c r="AI483" s="9">
        <v>1.8867924528301886E-2</v>
      </c>
      <c r="AJ483" s="9">
        <v>1.8867924528301886E-2</v>
      </c>
      <c r="AK483" s="9">
        <v>1.8867924528301886E-2</v>
      </c>
      <c r="AL483" s="9">
        <v>1.8867924528301886E-2</v>
      </c>
      <c r="AM483" s="9">
        <v>1.8867924528301886E-2</v>
      </c>
      <c r="AN483" s="9">
        <v>1.8867924528301886E-2</v>
      </c>
      <c r="AO483" s="9">
        <v>1.8867924528301886E-2</v>
      </c>
      <c r="AP483" s="9">
        <v>1.8867924528301886E-2</v>
      </c>
      <c r="AQ483" s="9">
        <v>1.8867924528301886E-2</v>
      </c>
      <c r="AR483" s="9">
        <v>1.8867924528301886E-2</v>
      </c>
      <c r="AS483" s="9">
        <v>1.8867924528301886E-2</v>
      </c>
      <c r="AT483" s="9">
        <v>1.8867924528301886E-2</v>
      </c>
      <c r="AU483" s="9">
        <v>1.8867924528301886E-2</v>
      </c>
      <c r="AV483" s="9">
        <v>1.8867924528301886E-2</v>
      </c>
      <c r="AW483" s="9">
        <v>1.8867924528301886E-2</v>
      </c>
      <c r="AX483" s="9">
        <v>1.8867924528301886E-2</v>
      </c>
      <c r="AY483" s="9">
        <v>1.8867924528301886E-2</v>
      </c>
      <c r="AZ483" s="9">
        <v>1.8867924528301886E-2</v>
      </c>
      <c r="BA483" s="9">
        <v>1.8867924528301886E-2</v>
      </c>
      <c r="BB483" s="9">
        <v>1.8867924528301886E-2</v>
      </c>
      <c r="BC483" s="9">
        <v>1.8867924528301886E-2</v>
      </c>
      <c r="BD483" s="9">
        <v>1.8867924528301886E-2</v>
      </c>
      <c r="BE483" s="9">
        <v>1.8867924528301886E-2</v>
      </c>
      <c r="BF483" s="9">
        <v>1.8867924528301886E-2</v>
      </c>
      <c r="BG483" s="9">
        <v>1.8867924528301886E-2</v>
      </c>
      <c r="BH483" s="9">
        <v>1.8867924528301886E-2</v>
      </c>
      <c r="BI483" s="9">
        <v>1.8867924528301886E-2</v>
      </c>
      <c r="BJ483" s="9">
        <v>1.8867924528301886E-2</v>
      </c>
      <c r="BK483" s="9">
        <v>1.8867924528301886E-2</v>
      </c>
      <c r="BL483" s="9">
        <v>1.8867924528301886E-2</v>
      </c>
      <c r="BM483" s="9">
        <v>1.8867924528301886E-2</v>
      </c>
      <c r="BN483" s="9">
        <v>1.8867924528301886E-2</v>
      </c>
      <c r="BO483" s="9">
        <v>1.8867924528301886E-2</v>
      </c>
      <c r="BP483" s="9">
        <v>1.8867924528301886E-2</v>
      </c>
      <c r="BQ483" s="9">
        <v>1.8867924528301886E-2</v>
      </c>
      <c r="BR483" s="9">
        <v>1.8867924528301886E-2</v>
      </c>
      <c r="BS483" s="9">
        <v>1.8867924528301886E-2</v>
      </c>
      <c r="BT483" s="9">
        <v>1.8867924528301886E-2</v>
      </c>
      <c r="BU483" s="9">
        <v>1.8867924528301886E-2</v>
      </c>
      <c r="BV483" s="9">
        <v>1.8867924528301886E-2</v>
      </c>
      <c r="BW483" s="9">
        <v>1.8867924528301886E-2</v>
      </c>
      <c r="BX483" s="9">
        <v>1.8867924528301886E-2</v>
      </c>
    </row>
    <row r="484" spans="1:76">
      <c r="A484" s="3" t="s">
        <v>66</v>
      </c>
      <c r="B484" t="s">
        <v>4349</v>
      </c>
      <c r="D484" t="s">
        <v>4967</v>
      </c>
      <c r="F484" s="91" t="s">
        <v>4973</v>
      </c>
      <c r="H484" s="3" t="s">
        <v>4984</v>
      </c>
      <c r="I484" s="3"/>
      <c r="J484" s="124"/>
      <c r="K484" s="124"/>
      <c r="M484" s="124"/>
      <c r="X484" s="10">
        <v>1.8867924528301886E-2</v>
      </c>
      <c r="Y484" s="9">
        <v>1.8867924528301886E-2</v>
      </c>
      <c r="Z484" s="9">
        <v>1.8867924528301886E-2</v>
      </c>
      <c r="AA484" s="9">
        <v>1.8867924528301886E-2</v>
      </c>
      <c r="AB484" s="9">
        <v>1.8867924528301886E-2</v>
      </c>
      <c r="AC484" s="9">
        <v>1.8867924528301886E-2</v>
      </c>
      <c r="AD484" s="9">
        <v>1.8867924528301886E-2</v>
      </c>
      <c r="AE484" s="9">
        <v>1.8867924528301886E-2</v>
      </c>
      <c r="AF484" s="9">
        <v>1.8867924528301886E-2</v>
      </c>
      <c r="AG484" s="9">
        <v>1.8867924528301886E-2</v>
      </c>
      <c r="AH484" s="9">
        <v>1.8867924528301886E-2</v>
      </c>
      <c r="AI484" s="9">
        <v>1.8867924528301886E-2</v>
      </c>
      <c r="AJ484" s="9">
        <v>1.8867924528301886E-2</v>
      </c>
      <c r="AK484" s="9">
        <v>1.8867924528301886E-2</v>
      </c>
      <c r="AL484" s="9">
        <v>1.8867924528301886E-2</v>
      </c>
      <c r="AM484" s="9">
        <v>1.8867924528301886E-2</v>
      </c>
      <c r="AN484" s="9">
        <v>1.8867924528301886E-2</v>
      </c>
      <c r="AO484" s="9">
        <v>1.8867924528301886E-2</v>
      </c>
      <c r="AP484" s="9">
        <v>1.8867924528301886E-2</v>
      </c>
      <c r="AQ484" s="9">
        <v>1.8867924528301886E-2</v>
      </c>
      <c r="AR484" s="9">
        <v>1.8867924528301886E-2</v>
      </c>
      <c r="AS484" s="9">
        <v>1.8867924528301886E-2</v>
      </c>
      <c r="AT484" s="9">
        <v>1.8867924528301886E-2</v>
      </c>
      <c r="AU484" s="9">
        <v>1.8867924528301886E-2</v>
      </c>
      <c r="AV484" s="9">
        <v>1.8867924528301886E-2</v>
      </c>
      <c r="AW484" s="9">
        <v>1.8867924528301886E-2</v>
      </c>
      <c r="AX484" s="9">
        <v>1.8867924528301886E-2</v>
      </c>
      <c r="AY484" s="9">
        <v>1.8867924528301886E-2</v>
      </c>
      <c r="AZ484" s="9">
        <v>1.8867924528301886E-2</v>
      </c>
      <c r="BA484" s="9">
        <v>1.8867924528301886E-2</v>
      </c>
      <c r="BB484" s="9">
        <v>1.8867924528301886E-2</v>
      </c>
      <c r="BC484" s="9">
        <v>1.8867924528301886E-2</v>
      </c>
      <c r="BD484" s="9">
        <v>1.8867924528301886E-2</v>
      </c>
      <c r="BE484" s="9">
        <v>1.8867924528301886E-2</v>
      </c>
      <c r="BF484" s="9">
        <v>1.8867924528301886E-2</v>
      </c>
      <c r="BG484" s="9">
        <v>1.8867924528301886E-2</v>
      </c>
      <c r="BH484" s="9">
        <v>1.8867924528301886E-2</v>
      </c>
      <c r="BI484" s="9">
        <v>1.8867924528301886E-2</v>
      </c>
      <c r="BJ484" s="9">
        <v>1.8867924528301886E-2</v>
      </c>
      <c r="BK484" s="9">
        <v>1.8867924528301886E-2</v>
      </c>
      <c r="BL484" s="9">
        <v>1.8867924528301886E-2</v>
      </c>
      <c r="BM484" s="9">
        <v>1.8867924528301886E-2</v>
      </c>
      <c r="BN484" s="9">
        <v>1.8867924528301886E-2</v>
      </c>
      <c r="BO484" s="9">
        <v>1.8867924528301886E-2</v>
      </c>
      <c r="BP484" s="9">
        <v>1.8867924528301886E-2</v>
      </c>
      <c r="BQ484" s="9">
        <v>1.8867924528301886E-2</v>
      </c>
      <c r="BR484" s="9">
        <v>1.8867924528301886E-2</v>
      </c>
      <c r="BS484" s="9">
        <v>1.8867924528301886E-2</v>
      </c>
      <c r="BT484" s="9">
        <v>1.8867924528301886E-2</v>
      </c>
      <c r="BU484" s="9">
        <v>1.8867924528301886E-2</v>
      </c>
      <c r="BV484" s="9">
        <v>1.8867924528301886E-2</v>
      </c>
      <c r="BW484" s="9">
        <v>1.8867924528301886E-2</v>
      </c>
      <c r="BX484" s="9">
        <v>1.8867924528301886E-2</v>
      </c>
    </row>
    <row r="485" spans="1:76">
      <c r="A485" s="3" t="s">
        <v>66</v>
      </c>
      <c r="B485" t="s">
        <v>4351</v>
      </c>
      <c r="D485" t="s">
        <v>4967</v>
      </c>
      <c r="F485" s="91" t="s">
        <v>4973</v>
      </c>
      <c r="H485" s="3" t="s">
        <v>4984</v>
      </c>
      <c r="I485" s="3"/>
      <c r="J485" s="124"/>
      <c r="K485" s="124"/>
      <c r="M485" s="124"/>
      <c r="X485" s="10">
        <v>1.8867924528301886E-2</v>
      </c>
      <c r="Y485" s="9">
        <v>1.8867924528301886E-2</v>
      </c>
      <c r="Z485" s="9">
        <v>1.8867924528301886E-2</v>
      </c>
      <c r="AA485" s="9">
        <v>1.8867924528301886E-2</v>
      </c>
      <c r="AB485" s="9">
        <v>1.8867924528301886E-2</v>
      </c>
      <c r="AC485" s="9">
        <v>1.8867924528301886E-2</v>
      </c>
      <c r="AD485" s="9">
        <v>1.8867924528301886E-2</v>
      </c>
      <c r="AE485" s="9">
        <v>1.8867924528301886E-2</v>
      </c>
      <c r="AF485" s="9">
        <v>1.8867924528301886E-2</v>
      </c>
      <c r="AG485" s="9">
        <v>1.8867924528301886E-2</v>
      </c>
      <c r="AH485" s="9">
        <v>1.8867924528301886E-2</v>
      </c>
      <c r="AI485" s="9">
        <v>1.8867924528301886E-2</v>
      </c>
      <c r="AJ485" s="9">
        <v>1.8867924528301886E-2</v>
      </c>
      <c r="AK485" s="9">
        <v>1.8867924528301886E-2</v>
      </c>
      <c r="AL485" s="9">
        <v>1.8867924528301886E-2</v>
      </c>
      <c r="AM485" s="9">
        <v>1.8867924528301886E-2</v>
      </c>
      <c r="AN485" s="9">
        <v>1.8867924528301886E-2</v>
      </c>
      <c r="AO485" s="9">
        <v>1.8867924528301886E-2</v>
      </c>
      <c r="AP485" s="9">
        <v>1.8867924528301886E-2</v>
      </c>
      <c r="AQ485" s="9">
        <v>1.8867924528301886E-2</v>
      </c>
      <c r="AR485" s="9">
        <v>1.8867924528301886E-2</v>
      </c>
      <c r="AS485" s="9">
        <v>1.8867924528301886E-2</v>
      </c>
      <c r="AT485" s="9">
        <v>1.8867924528301886E-2</v>
      </c>
      <c r="AU485" s="9">
        <v>1.8867924528301886E-2</v>
      </c>
      <c r="AV485" s="9">
        <v>1.8867924528301886E-2</v>
      </c>
      <c r="AW485" s="9">
        <v>1.8867924528301886E-2</v>
      </c>
      <c r="AX485" s="9">
        <v>1.8867924528301886E-2</v>
      </c>
      <c r="AY485" s="9">
        <v>1.8867924528301886E-2</v>
      </c>
      <c r="AZ485" s="9">
        <v>1.8867924528301886E-2</v>
      </c>
      <c r="BA485" s="9">
        <v>1.8867924528301886E-2</v>
      </c>
      <c r="BB485" s="9">
        <v>1.8867924528301886E-2</v>
      </c>
      <c r="BC485" s="9">
        <v>1.8867924528301886E-2</v>
      </c>
      <c r="BD485" s="9">
        <v>1.8867924528301886E-2</v>
      </c>
      <c r="BE485" s="9">
        <v>1.8867924528301886E-2</v>
      </c>
      <c r="BF485" s="9">
        <v>1.8867924528301886E-2</v>
      </c>
      <c r="BG485" s="9">
        <v>1.8867924528301886E-2</v>
      </c>
      <c r="BH485" s="9">
        <v>1.8867924528301886E-2</v>
      </c>
      <c r="BI485" s="9">
        <v>1.8867924528301886E-2</v>
      </c>
      <c r="BJ485" s="9">
        <v>1.8867924528301886E-2</v>
      </c>
      <c r="BK485" s="9">
        <v>1.8867924528301886E-2</v>
      </c>
      <c r="BL485" s="9">
        <v>1.8867924528301886E-2</v>
      </c>
      <c r="BM485" s="9">
        <v>1.8867924528301886E-2</v>
      </c>
      <c r="BN485" s="9">
        <v>1.8867924528301886E-2</v>
      </c>
      <c r="BO485" s="9">
        <v>1.8867924528301886E-2</v>
      </c>
      <c r="BP485" s="9">
        <v>1.8867924528301886E-2</v>
      </c>
      <c r="BQ485" s="9">
        <v>1.8867924528301886E-2</v>
      </c>
      <c r="BR485" s="9">
        <v>1.8867924528301886E-2</v>
      </c>
      <c r="BS485" s="9">
        <v>1.8867924528301886E-2</v>
      </c>
      <c r="BT485" s="9">
        <v>1.8867924528301886E-2</v>
      </c>
      <c r="BU485" s="9">
        <v>1.8867924528301886E-2</v>
      </c>
      <c r="BV485" s="9">
        <v>1.8867924528301886E-2</v>
      </c>
      <c r="BW485" s="9">
        <v>1.8867924528301886E-2</v>
      </c>
      <c r="BX485" s="9">
        <v>1.8867924528301886E-2</v>
      </c>
    </row>
    <row r="486" spans="1:76">
      <c r="A486" s="3" t="s">
        <v>66</v>
      </c>
      <c r="B486" t="s">
        <v>4343</v>
      </c>
      <c r="D486" t="s">
        <v>4967</v>
      </c>
      <c r="F486" s="91" t="s">
        <v>4973</v>
      </c>
      <c r="H486" s="3" t="s">
        <v>4984</v>
      </c>
      <c r="I486" s="3"/>
      <c r="J486" s="124"/>
      <c r="K486" s="124"/>
      <c r="M486" s="124"/>
      <c r="X486" s="10">
        <v>1.8867924528301886E-2</v>
      </c>
      <c r="Y486" s="9">
        <v>1.8867924528301886E-2</v>
      </c>
      <c r="Z486" s="9">
        <v>1.8867924528301886E-2</v>
      </c>
      <c r="AA486" s="9">
        <v>1.8867924528301886E-2</v>
      </c>
      <c r="AB486" s="9">
        <v>1.8867924528301886E-2</v>
      </c>
      <c r="AC486" s="9">
        <v>1.8867924528301886E-2</v>
      </c>
      <c r="AD486" s="9">
        <v>1.8867924528301886E-2</v>
      </c>
      <c r="AE486" s="9">
        <v>1.8867924528301886E-2</v>
      </c>
      <c r="AF486" s="9">
        <v>1.8867924528301886E-2</v>
      </c>
      <c r="AG486" s="9">
        <v>1.8867924528301886E-2</v>
      </c>
      <c r="AH486" s="9">
        <v>1.8867924528301886E-2</v>
      </c>
      <c r="AI486" s="9">
        <v>1.8867924528301886E-2</v>
      </c>
      <c r="AJ486" s="9">
        <v>1.8867924528301886E-2</v>
      </c>
      <c r="AK486" s="9">
        <v>1.8867924528301886E-2</v>
      </c>
      <c r="AL486" s="9">
        <v>1.8867924528301886E-2</v>
      </c>
      <c r="AM486" s="9">
        <v>1.8867924528301886E-2</v>
      </c>
      <c r="AN486" s="9">
        <v>1.8867924528301886E-2</v>
      </c>
      <c r="AO486" s="9">
        <v>1.8867924528301886E-2</v>
      </c>
      <c r="AP486" s="9">
        <v>1.8867924528301886E-2</v>
      </c>
      <c r="AQ486" s="9">
        <v>1.8867924528301886E-2</v>
      </c>
      <c r="AR486" s="9">
        <v>1.8867924528301886E-2</v>
      </c>
      <c r="AS486" s="9">
        <v>1.8867924528301886E-2</v>
      </c>
      <c r="AT486" s="9">
        <v>1.8867924528301886E-2</v>
      </c>
      <c r="AU486" s="9">
        <v>1.8867924528301886E-2</v>
      </c>
      <c r="AV486" s="9">
        <v>1.8867924528301886E-2</v>
      </c>
      <c r="AW486" s="9">
        <v>1.8867924528301886E-2</v>
      </c>
      <c r="AX486" s="9">
        <v>1.8867924528301886E-2</v>
      </c>
      <c r="AY486" s="9">
        <v>1.8867924528301886E-2</v>
      </c>
      <c r="AZ486" s="9">
        <v>1.8867924528301886E-2</v>
      </c>
      <c r="BA486" s="9">
        <v>1.8867924528301886E-2</v>
      </c>
      <c r="BB486" s="9">
        <v>1.8867924528301886E-2</v>
      </c>
      <c r="BC486" s="9">
        <v>1.8867924528301886E-2</v>
      </c>
      <c r="BD486" s="9">
        <v>1.8867924528301886E-2</v>
      </c>
      <c r="BE486" s="9">
        <v>1.8867924528301886E-2</v>
      </c>
      <c r="BF486" s="9">
        <v>1.8867924528301886E-2</v>
      </c>
      <c r="BG486" s="9">
        <v>1.8867924528301886E-2</v>
      </c>
      <c r="BH486" s="9">
        <v>1.8867924528301886E-2</v>
      </c>
      <c r="BI486" s="9">
        <v>1.8867924528301886E-2</v>
      </c>
      <c r="BJ486" s="9">
        <v>1.8867924528301886E-2</v>
      </c>
      <c r="BK486" s="9">
        <v>1.8867924528301886E-2</v>
      </c>
      <c r="BL486" s="9">
        <v>1.8867924528301886E-2</v>
      </c>
      <c r="BM486" s="9">
        <v>1.8867924528301886E-2</v>
      </c>
      <c r="BN486" s="9">
        <v>1.8867924528301886E-2</v>
      </c>
      <c r="BO486" s="9">
        <v>1.8867924528301886E-2</v>
      </c>
      <c r="BP486" s="9">
        <v>1.8867924528301886E-2</v>
      </c>
      <c r="BQ486" s="9">
        <v>1.8867924528301886E-2</v>
      </c>
      <c r="BR486" s="9">
        <v>1.8867924528301886E-2</v>
      </c>
      <c r="BS486" s="9">
        <v>1.8867924528301886E-2</v>
      </c>
      <c r="BT486" s="9">
        <v>1.8867924528301886E-2</v>
      </c>
      <c r="BU486" s="9">
        <v>1.8867924528301886E-2</v>
      </c>
      <c r="BV486" s="9">
        <v>1.8867924528301886E-2</v>
      </c>
      <c r="BW486" s="9">
        <v>1.8867924528301886E-2</v>
      </c>
      <c r="BX486" s="9">
        <v>1.8867924528301886E-2</v>
      </c>
    </row>
    <row r="487" spans="1:76">
      <c r="A487" s="3" t="s">
        <v>66</v>
      </c>
      <c r="B487" t="s">
        <v>5269</v>
      </c>
      <c r="D487" t="s">
        <v>4967</v>
      </c>
      <c r="F487" s="91" t="s">
        <v>4973</v>
      </c>
      <c r="H487" s="3" t="s">
        <v>4984</v>
      </c>
      <c r="I487" s="3"/>
      <c r="J487" s="124"/>
      <c r="K487" s="124"/>
      <c r="M487" s="124"/>
      <c r="X487" s="10">
        <v>1.8867924528301886E-2</v>
      </c>
      <c r="Y487" s="9">
        <v>1.8867924528301886E-2</v>
      </c>
      <c r="Z487" s="9">
        <v>1.8867924528301886E-2</v>
      </c>
      <c r="AA487" s="9">
        <v>1.8867924528301886E-2</v>
      </c>
      <c r="AB487" s="9">
        <v>1.8867924528301886E-2</v>
      </c>
      <c r="AC487" s="9">
        <v>1.8867924528301886E-2</v>
      </c>
      <c r="AD487" s="9">
        <v>1.8867924528301886E-2</v>
      </c>
      <c r="AE487" s="9">
        <v>1.8867924528301886E-2</v>
      </c>
      <c r="AF487" s="9">
        <v>1.8867924528301886E-2</v>
      </c>
      <c r="AG487" s="9">
        <v>1.8867924528301886E-2</v>
      </c>
      <c r="AH487" s="9">
        <v>1.8867924528301886E-2</v>
      </c>
      <c r="AI487" s="9">
        <v>1.8867924528301886E-2</v>
      </c>
      <c r="AJ487" s="9">
        <v>1.8867924528301886E-2</v>
      </c>
      <c r="AK487" s="9">
        <v>1.8867924528301886E-2</v>
      </c>
      <c r="AL487" s="9">
        <v>1.8867924528301886E-2</v>
      </c>
      <c r="AM487" s="9">
        <v>1.8867924528301886E-2</v>
      </c>
      <c r="AN487" s="9">
        <v>1.8867924528301886E-2</v>
      </c>
      <c r="AO487" s="9">
        <v>1.8867924528301886E-2</v>
      </c>
      <c r="AP487" s="9">
        <v>1.8867924528301886E-2</v>
      </c>
      <c r="AQ487" s="9">
        <v>1.8867924528301886E-2</v>
      </c>
      <c r="AR487" s="9">
        <v>1.8867924528301886E-2</v>
      </c>
      <c r="AS487" s="9">
        <v>1.8867924528301886E-2</v>
      </c>
      <c r="AT487" s="9">
        <v>1.8867924528301886E-2</v>
      </c>
      <c r="AU487" s="9">
        <v>1.8867924528301886E-2</v>
      </c>
      <c r="AV487" s="9">
        <v>1.8867924528301886E-2</v>
      </c>
      <c r="AW487" s="9">
        <v>1.8867924528301886E-2</v>
      </c>
      <c r="AX487" s="9">
        <v>1.8867924528301886E-2</v>
      </c>
      <c r="AY487" s="9">
        <v>1.8867924528301886E-2</v>
      </c>
      <c r="AZ487" s="9">
        <v>1.8867924528301886E-2</v>
      </c>
      <c r="BA487" s="9">
        <v>1.8867924528301886E-2</v>
      </c>
      <c r="BB487" s="9">
        <v>1.8867924528301886E-2</v>
      </c>
      <c r="BC487" s="9">
        <v>1.8867924528301886E-2</v>
      </c>
      <c r="BD487" s="9">
        <v>1.8867924528301886E-2</v>
      </c>
      <c r="BE487" s="9">
        <v>1.8867924528301886E-2</v>
      </c>
      <c r="BF487" s="9">
        <v>1.8867924528301886E-2</v>
      </c>
      <c r="BG487" s="9">
        <v>1.8867924528301886E-2</v>
      </c>
      <c r="BH487" s="9">
        <v>1.8867924528301886E-2</v>
      </c>
      <c r="BI487" s="9">
        <v>1.8867924528301886E-2</v>
      </c>
      <c r="BJ487" s="9">
        <v>1.8867924528301886E-2</v>
      </c>
      <c r="BK487" s="9">
        <v>1.8867924528301886E-2</v>
      </c>
      <c r="BL487" s="9">
        <v>1.8867924528301886E-2</v>
      </c>
      <c r="BM487" s="9">
        <v>1.8867924528301886E-2</v>
      </c>
      <c r="BN487" s="9">
        <v>1.8867924528301886E-2</v>
      </c>
      <c r="BO487" s="9">
        <v>1.8867924528301886E-2</v>
      </c>
      <c r="BP487" s="9">
        <v>1.8867924528301886E-2</v>
      </c>
      <c r="BQ487" s="9">
        <v>1.8867924528301886E-2</v>
      </c>
      <c r="BR487" s="9">
        <v>1.8867924528301886E-2</v>
      </c>
      <c r="BS487" s="9">
        <v>1.8867924528301886E-2</v>
      </c>
      <c r="BT487" s="9">
        <v>1.8867924528301886E-2</v>
      </c>
      <c r="BU487" s="9">
        <v>1.8867924528301886E-2</v>
      </c>
      <c r="BV487" s="9">
        <v>1.8867924528301886E-2</v>
      </c>
      <c r="BW487" s="9">
        <v>1.8867924528301886E-2</v>
      </c>
      <c r="BX487" s="9">
        <v>1.8867924528301886E-2</v>
      </c>
    </row>
    <row r="488" spans="1:76">
      <c r="A488" s="3" t="s">
        <v>66</v>
      </c>
      <c r="B488" t="s">
        <v>4268</v>
      </c>
      <c r="D488" t="s">
        <v>4967</v>
      </c>
      <c r="F488" s="91" t="s">
        <v>4973</v>
      </c>
      <c r="H488" s="3" t="s">
        <v>4984</v>
      </c>
      <c r="I488" s="3"/>
      <c r="J488" s="124"/>
      <c r="K488" s="124"/>
      <c r="M488" s="124"/>
      <c r="X488" s="10">
        <v>1.8867924528301886E-2</v>
      </c>
      <c r="Y488" s="9">
        <v>1.8867924528301886E-2</v>
      </c>
      <c r="Z488" s="9">
        <v>1.8867924528301886E-2</v>
      </c>
      <c r="AA488" s="9">
        <v>1.8867924528301886E-2</v>
      </c>
      <c r="AB488" s="9">
        <v>1.8867924528301886E-2</v>
      </c>
      <c r="AC488" s="9">
        <v>1.8867924528301886E-2</v>
      </c>
      <c r="AD488" s="9">
        <v>1.8867924528301886E-2</v>
      </c>
      <c r="AE488" s="9">
        <v>1.8867924528301886E-2</v>
      </c>
      <c r="AF488" s="9">
        <v>1.8867924528301886E-2</v>
      </c>
      <c r="AG488" s="9">
        <v>1.8867924528301886E-2</v>
      </c>
      <c r="AH488" s="9">
        <v>1.8867924528301886E-2</v>
      </c>
      <c r="AI488" s="9">
        <v>1.8867924528301886E-2</v>
      </c>
      <c r="AJ488" s="9">
        <v>1.8867924528301886E-2</v>
      </c>
      <c r="AK488" s="9">
        <v>1.8867924528301886E-2</v>
      </c>
      <c r="AL488" s="9">
        <v>1.8867924528301886E-2</v>
      </c>
      <c r="AM488" s="9">
        <v>1.8867924528301886E-2</v>
      </c>
      <c r="AN488" s="9">
        <v>1.8867924528301886E-2</v>
      </c>
      <c r="AO488" s="9">
        <v>1.8867924528301886E-2</v>
      </c>
      <c r="AP488" s="9">
        <v>1.8867924528301886E-2</v>
      </c>
      <c r="AQ488" s="9">
        <v>1.8867924528301886E-2</v>
      </c>
      <c r="AR488" s="9">
        <v>1.8867924528301886E-2</v>
      </c>
      <c r="AS488" s="9">
        <v>1.8867924528301886E-2</v>
      </c>
      <c r="AT488" s="9">
        <v>1.8867924528301886E-2</v>
      </c>
      <c r="AU488" s="9">
        <v>1.8867924528301886E-2</v>
      </c>
      <c r="AV488" s="9">
        <v>1.8867924528301886E-2</v>
      </c>
      <c r="AW488" s="9">
        <v>1.8867924528301886E-2</v>
      </c>
      <c r="AX488" s="9">
        <v>1.8867924528301886E-2</v>
      </c>
      <c r="AY488" s="9">
        <v>1.8867924528301886E-2</v>
      </c>
      <c r="AZ488" s="9">
        <v>1.8867924528301886E-2</v>
      </c>
      <c r="BA488" s="9">
        <v>1.8867924528301886E-2</v>
      </c>
      <c r="BB488" s="9">
        <v>1.8867924528301886E-2</v>
      </c>
      <c r="BC488" s="9">
        <v>1.8867924528301886E-2</v>
      </c>
      <c r="BD488" s="9">
        <v>1.8867924528301886E-2</v>
      </c>
      <c r="BE488" s="9">
        <v>1.8867924528301886E-2</v>
      </c>
      <c r="BF488" s="9">
        <v>1.8867924528301886E-2</v>
      </c>
      <c r="BG488" s="9">
        <v>1.8867924528301886E-2</v>
      </c>
      <c r="BH488" s="9">
        <v>1.8867924528301886E-2</v>
      </c>
      <c r="BI488" s="9">
        <v>1.8867924528301886E-2</v>
      </c>
      <c r="BJ488" s="9">
        <v>1.8867924528301886E-2</v>
      </c>
      <c r="BK488" s="9">
        <v>1.8867924528301886E-2</v>
      </c>
      <c r="BL488" s="9">
        <v>1.8867924528301886E-2</v>
      </c>
      <c r="BM488" s="9">
        <v>1.8867924528301886E-2</v>
      </c>
      <c r="BN488" s="9">
        <v>1.8867924528301886E-2</v>
      </c>
      <c r="BO488" s="9">
        <v>1.8867924528301886E-2</v>
      </c>
      <c r="BP488" s="9">
        <v>1.8867924528301886E-2</v>
      </c>
      <c r="BQ488" s="9">
        <v>1.8867924528301886E-2</v>
      </c>
      <c r="BR488" s="9">
        <v>1.8867924528301886E-2</v>
      </c>
      <c r="BS488" s="9">
        <v>1.8867924528301886E-2</v>
      </c>
      <c r="BT488" s="9">
        <v>1.8867924528301886E-2</v>
      </c>
      <c r="BU488" s="9">
        <v>1.8867924528301886E-2</v>
      </c>
      <c r="BV488" s="9">
        <v>1.8867924528301886E-2</v>
      </c>
      <c r="BW488" s="9">
        <v>1.8867924528301886E-2</v>
      </c>
      <c r="BX488" s="9">
        <v>1.8867924528301886E-2</v>
      </c>
    </row>
    <row r="489" spans="1:76">
      <c r="A489" s="3" t="s">
        <v>66</v>
      </c>
      <c r="B489" t="s">
        <v>4423</v>
      </c>
      <c r="D489" t="s">
        <v>4967</v>
      </c>
      <c r="F489" s="91" t="s">
        <v>4973</v>
      </c>
      <c r="H489" s="3" t="s">
        <v>4984</v>
      </c>
      <c r="I489" s="3"/>
      <c r="J489" s="124"/>
      <c r="K489" s="124"/>
      <c r="M489" s="124"/>
      <c r="X489" s="10">
        <v>1.8867924528301886E-2</v>
      </c>
      <c r="Y489" s="9">
        <v>1.8867924528301886E-2</v>
      </c>
      <c r="Z489" s="9">
        <v>1.8867924528301886E-2</v>
      </c>
      <c r="AA489" s="9">
        <v>1.8867924528301886E-2</v>
      </c>
      <c r="AB489" s="9">
        <v>1.8867924528301886E-2</v>
      </c>
      <c r="AC489" s="9">
        <v>1.8867924528301886E-2</v>
      </c>
      <c r="AD489" s="9">
        <v>1.8867924528301886E-2</v>
      </c>
      <c r="AE489" s="9">
        <v>1.8867924528301886E-2</v>
      </c>
      <c r="AF489" s="9">
        <v>1.8867924528301886E-2</v>
      </c>
      <c r="AG489" s="9">
        <v>1.8867924528301886E-2</v>
      </c>
      <c r="AH489" s="9">
        <v>1.8867924528301886E-2</v>
      </c>
      <c r="AI489" s="9">
        <v>1.8867924528301886E-2</v>
      </c>
      <c r="AJ489" s="9">
        <v>1.8867924528301886E-2</v>
      </c>
      <c r="AK489" s="9">
        <v>1.8867924528301886E-2</v>
      </c>
      <c r="AL489" s="9">
        <v>1.8867924528301886E-2</v>
      </c>
      <c r="AM489" s="9">
        <v>1.8867924528301886E-2</v>
      </c>
      <c r="AN489" s="9">
        <v>1.8867924528301886E-2</v>
      </c>
      <c r="AO489" s="9">
        <v>1.8867924528301886E-2</v>
      </c>
      <c r="AP489" s="9">
        <v>1.8867924528301886E-2</v>
      </c>
      <c r="AQ489" s="9">
        <v>1.8867924528301886E-2</v>
      </c>
      <c r="AR489" s="9">
        <v>1.8867924528301886E-2</v>
      </c>
      <c r="AS489" s="9">
        <v>1.8867924528301886E-2</v>
      </c>
      <c r="AT489" s="9">
        <v>1.8867924528301886E-2</v>
      </c>
      <c r="AU489" s="9">
        <v>1.8867924528301886E-2</v>
      </c>
      <c r="AV489" s="9">
        <v>1.8867924528301886E-2</v>
      </c>
      <c r="AW489" s="9">
        <v>1.8867924528301886E-2</v>
      </c>
      <c r="AX489" s="9">
        <v>1.8867924528301886E-2</v>
      </c>
      <c r="AY489" s="9">
        <v>1.8867924528301886E-2</v>
      </c>
      <c r="AZ489" s="9">
        <v>1.8867924528301886E-2</v>
      </c>
      <c r="BA489" s="9">
        <v>1.8867924528301886E-2</v>
      </c>
      <c r="BB489" s="9">
        <v>1.8867924528301886E-2</v>
      </c>
      <c r="BC489" s="9">
        <v>1.8867924528301886E-2</v>
      </c>
      <c r="BD489" s="9">
        <v>1.8867924528301886E-2</v>
      </c>
      <c r="BE489" s="9">
        <v>1.8867924528301886E-2</v>
      </c>
      <c r="BF489" s="9">
        <v>1.8867924528301886E-2</v>
      </c>
      <c r="BG489" s="9">
        <v>1.8867924528301886E-2</v>
      </c>
      <c r="BH489" s="9">
        <v>1.8867924528301886E-2</v>
      </c>
      <c r="BI489" s="9">
        <v>1.8867924528301886E-2</v>
      </c>
      <c r="BJ489" s="9">
        <v>1.8867924528301886E-2</v>
      </c>
      <c r="BK489" s="9">
        <v>1.8867924528301886E-2</v>
      </c>
      <c r="BL489" s="9">
        <v>1.8867924528301886E-2</v>
      </c>
      <c r="BM489" s="9">
        <v>1.8867924528301886E-2</v>
      </c>
      <c r="BN489" s="9">
        <v>1.8867924528301886E-2</v>
      </c>
      <c r="BO489" s="9">
        <v>1.8867924528301886E-2</v>
      </c>
      <c r="BP489" s="9">
        <v>1.8867924528301886E-2</v>
      </c>
      <c r="BQ489" s="9">
        <v>1.8867924528301886E-2</v>
      </c>
      <c r="BR489" s="9">
        <v>1.8867924528301886E-2</v>
      </c>
      <c r="BS489" s="9">
        <v>1.8867924528301886E-2</v>
      </c>
      <c r="BT489" s="9">
        <v>1.8867924528301886E-2</v>
      </c>
      <c r="BU489" s="9">
        <v>1.8867924528301886E-2</v>
      </c>
      <c r="BV489" s="9">
        <v>1.8867924528301886E-2</v>
      </c>
      <c r="BW489" s="9">
        <v>1.8867924528301886E-2</v>
      </c>
      <c r="BX489" s="9">
        <v>1.8867924528301886E-2</v>
      </c>
    </row>
    <row r="490" spans="1:76">
      <c r="A490" s="3" t="s">
        <v>66</v>
      </c>
      <c r="B490" t="s">
        <v>4453</v>
      </c>
      <c r="D490" t="s">
        <v>4967</v>
      </c>
      <c r="F490" s="91" t="s">
        <v>4973</v>
      </c>
      <c r="H490" s="3" t="s">
        <v>4984</v>
      </c>
      <c r="I490" s="3"/>
      <c r="J490" s="124"/>
      <c r="K490" s="124"/>
      <c r="M490" s="124"/>
      <c r="X490" s="10">
        <v>1.8867924528301886E-2</v>
      </c>
      <c r="Y490" s="9">
        <v>1.8867924528301886E-2</v>
      </c>
      <c r="Z490" s="9">
        <v>1.8867924528301886E-2</v>
      </c>
      <c r="AA490" s="9">
        <v>1.8867924528301886E-2</v>
      </c>
      <c r="AB490" s="9">
        <v>1.8867924528301886E-2</v>
      </c>
      <c r="AC490" s="9">
        <v>1.8867924528301886E-2</v>
      </c>
      <c r="AD490" s="9">
        <v>1.8867924528301886E-2</v>
      </c>
      <c r="AE490" s="9">
        <v>1.8867924528301886E-2</v>
      </c>
      <c r="AF490" s="9">
        <v>1.8867924528301886E-2</v>
      </c>
      <c r="AG490" s="9">
        <v>1.8867924528301886E-2</v>
      </c>
      <c r="AH490" s="9">
        <v>1.8867924528301886E-2</v>
      </c>
      <c r="AI490" s="9">
        <v>1.8867924528301886E-2</v>
      </c>
      <c r="AJ490" s="9">
        <v>1.8867924528301886E-2</v>
      </c>
      <c r="AK490" s="9">
        <v>1.8867924528301886E-2</v>
      </c>
      <c r="AL490" s="9">
        <v>1.8867924528301886E-2</v>
      </c>
      <c r="AM490" s="9">
        <v>1.8867924528301886E-2</v>
      </c>
      <c r="AN490" s="9">
        <v>1.8867924528301886E-2</v>
      </c>
      <c r="AO490" s="9">
        <v>1.8867924528301886E-2</v>
      </c>
      <c r="AP490" s="9">
        <v>1.8867924528301886E-2</v>
      </c>
      <c r="AQ490" s="9">
        <v>1.8867924528301886E-2</v>
      </c>
      <c r="AR490" s="9">
        <v>1.8867924528301886E-2</v>
      </c>
      <c r="AS490" s="9">
        <v>1.8867924528301886E-2</v>
      </c>
      <c r="AT490" s="9">
        <v>1.8867924528301886E-2</v>
      </c>
      <c r="AU490" s="9">
        <v>1.8867924528301886E-2</v>
      </c>
      <c r="AV490" s="9">
        <v>1.8867924528301886E-2</v>
      </c>
      <c r="AW490" s="9">
        <v>1.8867924528301886E-2</v>
      </c>
      <c r="AX490" s="9">
        <v>1.8867924528301886E-2</v>
      </c>
      <c r="AY490" s="9">
        <v>1.8867924528301886E-2</v>
      </c>
      <c r="AZ490" s="9">
        <v>1.8867924528301886E-2</v>
      </c>
      <c r="BA490" s="9">
        <v>1.8867924528301886E-2</v>
      </c>
      <c r="BB490" s="9">
        <v>1.8867924528301886E-2</v>
      </c>
      <c r="BC490" s="9">
        <v>1.8867924528301886E-2</v>
      </c>
      <c r="BD490" s="9">
        <v>1.8867924528301886E-2</v>
      </c>
      <c r="BE490" s="9">
        <v>1.8867924528301886E-2</v>
      </c>
      <c r="BF490" s="9">
        <v>1.8867924528301886E-2</v>
      </c>
      <c r="BG490" s="9">
        <v>1.8867924528301886E-2</v>
      </c>
      <c r="BH490" s="9">
        <v>1.8867924528301886E-2</v>
      </c>
      <c r="BI490" s="9">
        <v>1.8867924528301886E-2</v>
      </c>
      <c r="BJ490" s="9">
        <v>1.8867924528301886E-2</v>
      </c>
      <c r="BK490" s="9">
        <v>1.8867924528301886E-2</v>
      </c>
      <c r="BL490" s="9">
        <v>1.8867924528301886E-2</v>
      </c>
      <c r="BM490" s="9">
        <v>1.8867924528301886E-2</v>
      </c>
      <c r="BN490" s="9">
        <v>1.8867924528301886E-2</v>
      </c>
      <c r="BO490" s="9">
        <v>1.8867924528301886E-2</v>
      </c>
      <c r="BP490" s="9">
        <v>1.8867924528301886E-2</v>
      </c>
      <c r="BQ490" s="9">
        <v>1.8867924528301886E-2</v>
      </c>
      <c r="BR490" s="9">
        <v>1.8867924528301886E-2</v>
      </c>
      <c r="BS490" s="9">
        <v>1.8867924528301886E-2</v>
      </c>
      <c r="BT490" s="9">
        <v>1.8867924528301886E-2</v>
      </c>
      <c r="BU490" s="9">
        <v>1.8867924528301886E-2</v>
      </c>
      <c r="BV490" s="9">
        <v>1.8867924528301886E-2</v>
      </c>
      <c r="BW490" s="9">
        <v>1.8867924528301886E-2</v>
      </c>
      <c r="BX490" s="9">
        <v>1.8867924528301886E-2</v>
      </c>
    </row>
    <row r="491" spans="1:76">
      <c r="A491" s="3" t="s">
        <v>66</v>
      </c>
      <c r="B491" t="s">
        <v>4288</v>
      </c>
      <c r="D491" t="s">
        <v>4967</v>
      </c>
      <c r="F491" s="91" t="s">
        <v>4973</v>
      </c>
      <c r="H491" s="3" t="s">
        <v>4984</v>
      </c>
      <c r="I491" s="3"/>
      <c r="J491" s="124"/>
      <c r="K491" s="124"/>
      <c r="M491" s="124"/>
      <c r="X491" s="10">
        <v>1.8867924528301886E-2</v>
      </c>
      <c r="Y491" s="9">
        <v>1.8867924528301886E-2</v>
      </c>
      <c r="Z491" s="9">
        <v>1.8867924528301886E-2</v>
      </c>
      <c r="AA491" s="9">
        <v>1.8867924528301886E-2</v>
      </c>
      <c r="AB491" s="9">
        <v>1.8867924528301886E-2</v>
      </c>
      <c r="AC491" s="9">
        <v>1.8867924528301886E-2</v>
      </c>
      <c r="AD491" s="9">
        <v>1.8867924528301886E-2</v>
      </c>
      <c r="AE491" s="9">
        <v>1.8867924528301886E-2</v>
      </c>
      <c r="AF491" s="9">
        <v>1.8867924528301886E-2</v>
      </c>
      <c r="AG491" s="9">
        <v>1.8867924528301886E-2</v>
      </c>
      <c r="AH491" s="9">
        <v>1.8867924528301886E-2</v>
      </c>
      <c r="AI491" s="9">
        <v>1.8867924528301886E-2</v>
      </c>
      <c r="AJ491" s="9">
        <v>1.8867924528301886E-2</v>
      </c>
      <c r="AK491" s="9">
        <v>1.8867924528301886E-2</v>
      </c>
      <c r="AL491" s="9">
        <v>1.8867924528301886E-2</v>
      </c>
      <c r="AM491" s="9">
        <v>1.8867924528301886E-2</v>
      </c>
      <c r="AN491" s="9">
        <v>1.8867924528301886E-2</v>
      </c>
      <c r="AO491" s="9">
        <v>1.8867924528301886E-2</v>
      </c>
      <c r="AP491" s="9">
        <v>1.8867924528301886E-2</v>
      </c>
      <c r="AQ491" s="9">
        <v>1.8867924528301886E-2</v>
      </c>
      <c r="AR491" s="9">
        <v>1.8867924528301886E-2</v>
      </c>
      <c r="AS491" s="9">
        <v>1.8867924528301886E-2</v>
      </c>
      <c r="AT491" s="9">
        <v>1.8867924528301886E-2</v>
      </c>
      <c r="AU491" s="9">
        <v>1.8867924528301886E-2</v>
      </c>
      <c r="AV491" s="9">
        <v>1.8867924528301886E-2</v>
      </c>
      <c r="AW491" s="9">
        <v>1.8867924528301886E-2</v>
      </c>
      <c r="AX491" s="9">
        <v>1.8867924528301886E-2</v>
      </c>
      <c r="AY491" s="9">
        <v>1.8867924528301886E-2</v>
      </c>
      <c r="AZ491" s="9">
        <v>1.8867924528301886E-2</v>
      </c>
      <c r="BA491" s="9">
        <v>1.8867924528301886E-2</v>
      </c>
      <c r="BB491" s="9">
        <v>1.8867924528301886E-2</v>
      </c>
      <c r="BC491" s="9">
        <v>1.8867924528301886E-2</v>
      </c>
      <c r="BD491" s="9">
        <v>1.8867924528301886E-2</v>
      </c>
      <c r="BE491" s="9">
        <v>1.8867924528301886E-2</v>
      </c>
      <c r="BF491" s="9">
        <v>1.8867924528301886E-2</v>
      </c>
      <c r="BG491" s="9">
        <v>1.8867924528301886E-2</v>
      </c>
      <c r="BH491" s="9">
        <v>1.8867924528301886E-2</v>
      </c>
      <c r="BI491" s="9">
        <v>1.8867924528301886E-2</v>
      </c>
      <c r="BJ491" s="9">
        <v>1.8867924528301886E-2</v>
      </c>
      <c r="BK491" s="9">
        <v>1.8867924528301886E-2</v>
      </c>
      <c r="BL491" s="9">
        <v>1.8867924528301886E-2</v>
      </c>
      <c r="BM491" s="9">
        <v>1.8867924528301886E-2</v>
      </c>
      <c r="BN491" s="9">
        <v>1.8867924528301886E-2</v>
      </c>
      <c r="BO491" s="9">
        <v>1.8867924528301886E-2</v>
      </c>
      <c r="BP491" s="9">
        <v>1.8867924528301886E-2</v>
      </c>
      <c r="BQ491" s="9">
        <v>1.8867924528301886E-2</v>
      </c>
      <c r="BR491" s="9">
        <v>1.8867924528301886E-2</v>
      </c>
      <c r="BS491" s="9">
        <v>1.8867924528301886E-2</v>
      </c>
      <c r="BT491" s="9">
        <v>1.8867924528301886E-2</v>
      </c>
      <c r="BU491" s="9">
        <v>1.8867924528301886E-2</v>
      </c>
      <c r="BV491" s="9">
        <v>1.8867924528301886E-2</v>
      </c>
      <c r="BW491" s="9">
        <v>1.8867924528301886E-2</v>
      </c>
      <c r="BX491" s="9">
        <v>1.8867924528301886E-2</v>
      </c>
    </row>
    <row r="492" spans="1:76">
      <c r="A492" s="3" t="s">
        <v>66</v>
      </c>
      <c r="B492" t="s">
        <v>4292</v>
      </c>
      <c r="D492" t="s">
        <v>4967</v>
      </c>
      <c r="F492" s="91" t="s">
        <v>4973</v>
      </c>
      <c r="H492" s="3" t="s">
        <v>4984</v>
      </c>
      <c r="I492" s="3"/>
      <c r="J492" s="124"/>
      <c r="K492" s="124"/>
      <c r="M492" s="124"/>
      <c r="X492" s="10">
        <v>1.8867924528301886E-2</v>
      </c>
      <c r="Y492" s="9">
        <v>1.8867924528301886E-2</v>
      </c>
      <c r="Z492" s="9">
        <v>1.8867924528301886E-2</v>
      </c>
      <c r="AA492" s="9">
        <v>1.8867924528301886E-2</v>
      </c>
      <c r="AB492" s="9">
        <v>1.8867924528301886E-2</v>
      </c>
      <c r="AC492" s="9">
        <v>1.8867924528301886E-2</v>
      </c>
      <c r="AD492" s="9">
        <v>1.8867924528301886E-2</v>
      </c>
      <c r="AE492" s="9">
        <v>1.8867924528301886E-2</v>
      </c>
      <c r="AF492" s="9">
        <v>1.8867924528301886E-2</v>
      </c>
      <c r="AG492" s="9">
        <v>1.8867924528301886E-2</v>
      </c>
      <c r="AH492" s="9">
        <v>1.8867924528301886E-2</v>
      </c>
      <c r="AI492" s="9">
        <v>1.8867924528301886E-2</v>
      </c>
      <c r="AJ492" s="9">
        <v>1.8867924528301886E-2</v>
      </c>
      <c r="AK492" s="9">
        <v>1.8867924528301886E-2</v>
      </c>
      <c r="AL492" s="9">
        <v>1.8867924528301886E-2</v>
      </c>
      <c r="AM492" s="9">
        <v>1.8867924528301886E-2</v>
      </c>
      <c r="AN492" s="9">
        <v>1.8867924528301886E-2</v>
      </c>
      <c r="AO492" s="9">
        <v>1.8867924528301886E-2</v>
      </c>
      <c r="AP492" s="9">
        <v>1.8867924528301886E-2</v>
      </c>
      <c r="AQ492" s="9">
        <v>1.8867924528301886E-2</v>
      </c>
      <c r="AR492" s="9">
        <v>1.8867924528301886E-2</v>
      </c>
      <c r="AS492" s="9">
        <v>1.8867924528301886E-2</v>
      </c>
      <c r="AT492" s="9">
        <v>1.8867924528301886E-2</v>
      </c>
      <c r="AU492" s="9">
        <v>1.8867924528301886E-2</v>
      </c>
      <c r="AV492" s="9">
        <v>1.8867924528301886E-2</v>
      </c>
      <c r="AW492" s="9">
        <v>1.8867924528301886E-2</v>
      </c>
      <c r="AX492" s="9">
        <v>1.8867924528301886E-2</v>
      </c>
      <c r="AY492" s="9">
        <v>1.8867924528301886E-2</v>
      </c>
      <c r="AZ492" s="9">
        <v>1.8867924528301886E-2</v>
      </c>
      <c r="BA492" s="9">
        <v>1.8867924528301886E-2</v>
      </c>
      <c r="BB492" s="9">
        <v>1.8867924528301886E-2</v>
      </c>
      <c r="BC492" s="9">
        <v>1.8867924528301886E-2</v>
      </c>
      <c r="BD492" s="9">
        <v>1.8867924528301886E-2</v>
      </c>
      <c r="BE492" s="9">
        <v>1.8867924528301886E-2</v>
      </c>
      <c r="BF492" s="9">
        <v>1.8867924528301886E-2</v>
      </c>
      <c r="BG492" s="9">
        <v>1.8867924528301886E-2</v>
      </c>
      <c r="BH492" s="9">
        <v>1.8867924528301886E-2</v>
      </c>
      <c r="BI492" s="9">
        <v>1.8867924528301886E-2</v>
      </c>
      <c r="BJ492" s="9">
        <v>1.8867924528301886E-2</v>
      </c>
      <c r="BK492" s="9">
        <v>1.8867924528301886E-2</v>
      </c>
      <c r="BL492" s="9">
        <v>1.8867924528301886E-2</v>
      </c>
      <c r="BM492" s="9">
        <v>1.8867924528301886E-2</v>
      </c>
      <c r="BN492" s="9">
        <v>1.8867924528301886E-2</v>
      </c>
      <c r="BO492" s="9">
        <v>1.8867924528301886E-2</v>
      </c>
      <c r="BP492" s="9">
        <v>1.8867924528301886E-2</v>
      </c>
      <c r="BQ492" s="9">
        <v>1.8867924528301886E-2</v>
      </c>
      <c r="BR492" s="9">
        <v>1.8867924528301886E-2</v>
      </c>
      <c r="BS492" s="9">
        <v>1.8867924528301886E-2</v>
      </c>
      <c r="BT492" s="9">
        <v>1.8867924528301886E-2</v>
      </c>
      <c r="BU492" s="9">
        <v>1.8867924528301886E-2</v>
      </c>
      <c r="BV492" s="9">
        <v>1.8867924528301886E-2</v>
      </c>
      <c r="BW492" s="9">
        <v>1.8867924528301886E-2</v>
      </c>
      <c r="BX492" s="9">
        <v>1.8867924528301886E-2</v>
      </c>
    </row>
    <row r="493" spans="1:76">
      <c r="A493" s="3" t="s">
        <v>66</v>
      </c>
      <c r="B493" t="s">
        <v>4294</v>
      </c>
      <c r="D493" t="s">
        <v>4967</v>
      </c>
      <c r="F493" s="91" t="s">
        <v>4973</v>
      </c>
      <c r="H493" s="3" t="s">
        <v>4984</v>
      </c>
      <c r="I493" s="3"/>
      <c r="J493" s="124"/>
      <c r="K493" s="124"/>
      <c r="M493" s="124"/>
      <c r="X493" s="10">
        <v>1.8867924528301886E-2</v>
      </c>
      <c r="Y493" s="9">
        <v>1.8867924528301886E-2</v>
      </c>
      <c r="Z493" s="9">
        <v>1.8867924528301886E-2</v>
      </c>
      <c r="AA493" s="9">
        <v>1.8867924528301886E-2</v>
      </c>
      <c r="AB493" s="9">
        <v>1.8867924528301886E-2</v>
      </c>
      <c r="AC493" s="9">
        <v>1.8867924528301886E-2</v>
      </c>
      <c r="AD493" s="9">
        <v>1.8867924528301886E-2</v>
      </c>
      <c r="AE493" s="9">
        <v>1.8867924528301886E-2</v>
      </c>
      <c r="AF493" s="9">
        <v>1.8867924528301886E-2</v>
      </c>
      <c r="AG493" s="9">
        <v>1.8867924528301886E-2</v>
      </c>
      <c r="AH493" s="9">
        <v>1.8867924528301886E-2</v>
      </c>
      <c r="AI493" s="9">
        <v>1.8867924528301886E-2</v>
      </c>
      <c r="AJ493" s="9">
        <v>1.8867924528301886E-2</v>
      </c>
      <c r="AK493" s="9">
        <v>1.8867924528301886E-2</v>
      </c>
      <c r="AL493" s="9">
        <v>1.8867924528301886E-2</v>
      </c>
      <c r="AM493" s="9">
        <v>1.8867924528301886E-2</v>
      </c>
      <c r="AN493" s="9">
        <v>1.8867924528301886E-2</v>
      </c>
      <c r="AO493" s="9">
        <v>1.8867924528301886E-2</v>
      </c>
      <c r="AP493" s="9">
        <v>1.8867924528301886E-2</v>
      </c>
      <c r="AQ493" s="9">
        <v>1.8867924528301886E-2</v>
      </c>
      <c r="AR493" s="9">
        <v>1.8867924528301886E-2</v>
      </c>
      <c r="AS493" s="9">
        <v>1.8867924528301886E-2</v>
      </c>
      <c r="AT493" s="9">
        <v>1.8867924528301886E-2</v>
      </c>
      <c r="AU493" s="9">
        <v>1.8867924528301886E-2</v>
      </c>
      <c r="AV493" s="9">
        <v>1.8867924528301886E-2</v>
      </c>
      <c r="AW493" s="9">
        <v>1.8867924528301886E-2</v>
      </c>
      <c r="AX493" s="9">
        <v>1.8867924528301886E-2</v>
      </c>
      <c r="AY493" s="9">
        <v>1.8867924528301886E-2</v>
      </c>
      <c r="AZ493" s="9">
        <v>1.8867924528301886E-2</v>
      </c>
      <c r="BA493" s="9">
        <v>1.8867924528301886E-2</v>
      </c>
      <c r="BB493" s="9">
        <v>1.8867924528301886E-2</v>
      </c>
      <c r="BC493" s="9">
        <v>1.8867924528301886E-2</v>
      </c>
      <c r="BD493" s="9">
        <v>1.8867924528301886E-2</v>
      </c>
      <c r="BE493" s="9">
        <v>1.8867924528301886E-2</v>
      </c>
      <c r="BF493" s="9">
        <v>1.8867924528301886E-2</v>
      </c>
      <c r="BG493" s="9">
        <v>1.8867924528301886E-2</v>
      </c>
      <c r="BH493" s="9">
        <v>1.8867924528301886E-2</v>
      </c>
      <c r="BI493" s="9">
        <v>1.8867924528301886E-2</v>
      </c>
      <c r="BJ493" s="9">
        <v>1.8867924528301886E-2</v>
      </c>
      <c r="BK493" s="9">
        <v>1.8867924528301886E-2</v>
      </c>
      <c r="BL493" s="9">
        <v>1.8867924528301886E-2</v>
      </c>
      <c r="BM493" s="9">
        <v>1.8867924528301886E-2</v>
      </c>
      <c r="BN493" s="9">
        <v>1.8867924528301886E-2</v>
      </c>
      <c r="BO493" s="9">
        <v>1.8867924528301886E-2</v>
      </c>
      <c r="BP493" s="9">
        <v>1.8867924528301886E-2</v>
      </c>
      <c r="BQ493" s="9">
        <v>1.8867924528301886E-2</v>
      </c>
      <c r="BR493" s="9">
        <v>1.8867924528301886E-2</v>
      </c>
      <c r="BS493" s="9">
        <v>1.8867924528301886E-2</v>
      </c>
      <c r="BT493" s="9">
        <v>1.8867924528301886E-2</v>
      </c>
      <c r="BU493" s="9">
        <v>1.8867924528301886E-2</v>
      </c>
      <c r="BV493" s="9">
        <v>1.8867924528301886E-2</v>
      </c>
      <c r="BW493" s="9">
        <v>1.8867924528301886E-2</v>
      </c>
      <c r="BX493" s="9">
        <v>1.8867924528301886E-2</v>
      </c>
    </row>
    <row r="494" spans="1:76">
      <c r="A494" s="3" t="s">
        <v>66</v>
      </c>
      <c r="B494" t="s">
        <v>4296</v>
      </c>
      <c r="D494" t="s">
        <v>4967</v>
      </c>
      <c r="F494" s="91" t="s">
        <v>4973</v>
      </c>
      <c r="H494" s="3" t="s">
        <v>4984</v>
      </c>
      <c r="I494" s="3"/>
      <c r="J494" s="124"/>
      <c r="K494" s="124"/>
      <c r="M494" s="124"/>
      <c r="X494" s="10">
        <v>1.8867924528301886E-2</v>
      </c>
      <c r="Y494" s="9">
        <v>1.8867924528301886E-2</v>
      </c>
      <c r="Z494" s="9">
        <v>1.8867924528301886E-2</v>
      </c>
      <c r="AA494" s="9">
        <v>1.8867924528301886E-2</v>
      </c>
      <c r="AB494" s="9">
        <v>1.8867924528301886E-2</v>
      </c>
      <c r="AC494" s="9">
        <v>1.8867924528301886E-2</v>
      </c>
      <c r="AD494" s="9">
        <v>1.8867924528301886E-2</v>
      </c>
      <c r="AE494" s="9">
        <v>1.8867924528301886E-2</v>
      </c>
      <c r="AF494" s="9">
        <v>1.8867924528301886E-2</v>
      </c>
      <c r="AG494" s="9">
        <v>1.8867924528301886E-2</v>
      </c>
      <c r="AH494" s="9">
        <v>1.8867924528301886E-2</v>
      </c>
      <c r="AI494" s="9">
        <v>1.8867924528301886E-2</v>
      </c>
      <c r="AJ494" s="9">
        <v>1.8867924528301886E-2</v>
      </c>
      <c r="AK494" s="9">
        <v>1.8867924528301886E-2</v>
      </c>
      <c r="AL494" s="9">
        <v>1.8867924528301886E-2</v>
      </c>
      <c r="AM494" s="9">
        <v>1.8867924528301886E-2</v>
      </c>
      <c r="AN494" s="9">
        <v>1.8867924528301886E-2</v>
      </c>
      <c r="AO494" s="9">
        <v>1.8867924528301886E-2</v>
      </c>
      <c r="AP494" s="9">
        <v>1.8867924528301886E-2</v>
      </c>
      <c r="AQ494" s="9">
        <v>1.8867924528301886E-2</v>
      </c>
      <c r="AR494" s="9">
        <v>1.8867924528301886E-2</v>
      </c>
      <c r="AS494" s="9">
        <v>1.8867924528301886E-2</v>
      </c>
      <c r="AT494" s="9">
        <v>1.8867924528301886E-2</v>
      </c>
      <c r="AU494" s="9">
        <v>1.8867924528301886E-2</v>
      </c>
      <c r="AV494" s="9">
        <v>1.8867924528301886E-2</v>
      </c>
      <c r="AW494" s="9">
        <v>1.8867924528301886E-2</v>
      </c>
      <c r="AX494" s="9">
        <v>1.8867924528301886E-2</v>
      </c>
      <c r="AY494" s="9">
        <v>1.8867924528301886E-2</v>
      </c>
      <c r="AZ494" s="9">
        <v>1.8867924528301886E-2</v>
      </c>
      <c r="BA494" s="9">
        <v>1.8867924528301886E-2</v>
      </c>
      <c r="BB494" s="9">
        <v>1.8867924528301886E-2</v>
      </c>
      <c r="BC494" s="9">
        <v>1.8867924528301886E-2</v>
      </c>
      <c r="BD494" s="9">
        <v>1.8867924528301886E-2</v>
      </c>
      <c r="BE494" s="9">
        <v>1.8867924528301886E-2</v>
      </c>
      <c r="BF494" s="9">
        <v>1.8867924528301886E-2</v>
      </c>
      <c r="BG494" s="9">
        <v>1.8867924528301886E-2</v>
      </c>
      <c r="BH494" s="9">
        <v>1.8867924528301886E-2</v>
      </c>
      <c r="BI494" s="9">
        <v>1.8867924528301886E-2</v>
      </c>
      <c r="BJ494" s="9">
        <v>1.8867924528301886E-2</v>
      </c>
      <c r="BK494" s="9">
        <v>1.8867924528301886E-2</v>
      </c>
      <c r="BL494" s="9">
        <v>1.8867924528301886E-2</v>
      </c>
      <c r="BM494" s="9">
        <v>1.8867924528301886E-2</v>
      </c>
      <c r="BN494" s="9">
        <v>1.8867924528301886E-2</v>
      </c>
      <c r="BO494" s="9">
        <v>1.8867924528301886E-2</v>
      </c>
      <c r="BP494" s="9">
        <v>1.8867924528301886E-2</v>
      </c>
      <c r="BQ494" s="9">
        <v>1.8867924528301886E-2</v>
      </c>
      <c r="BR494" s="9">
        <v>1.8867924528301886E-2</v>
      </c>
      <c r="BS494" s="9">
        <v>1.8867924528301886E-2</v>
      </c>
      <c r="BT494" s="9">
        <v>1.8867924528301886E-2</v>
      </c>
      <c r="BU494" s="9">
        <v>1.8867924528301886E-2</v>
      </c>
      <c r="BV494" s="9">
        <v>1.8867924528301886E-2</v>
      </c>
      <c r="BW494" s="9">
        <v>1.8867924528301886E-2</v>
      </c>
      <c r="BX494" s="9">
        <v>1.8867924528301886E-2</v>
      </c>
    </row>
    <row r="495" spans="1:76">
      <c r="A495" s="3" t="s">
        <v>66</v>
      </c>
      <c r="B495" t="s">
        <v>5270</v>
      </c>
      <c r="D495" t="s">
        <v>4967</v>
      </c>
      <c r="F495" s="91" t="s">
        <v>4973</v>
      </c>
      <c r="H495" s="3" t="s">
        <v>4984</v>
      </c>
      <c r="I495" s="3"/>
      <c r="J495" s="124"/>
      <c r="K495" s="124"/>
      <c r="M495" s="124"/>
      <c r="X495" s="10">
        <v>1.8867924528301886E-2</v>
      </c>
      <c r="Y495" s="9">
        <v>1.8867924528301886E-2</v>
      </c>
      <c r="Z495" s="9">
        <v>1.8867924528301886E-2</v>
      </c>
      <c r="AA495" s="9">
        <v>1.8867924528301886E-2</v>
      </c>
      <c r="AB495" s="9">
        <v>1.8867924528301886E-2</v>
      </c>
      <c r="AC495" s="9">
        <v>1.8867924528301886E-2</v>
      </c>
      <c r="AD495" s="9">
        <v>1.8867924528301886E-2</v>
      </c>
      <c r="AE495" s="9">
        <v>1.8867924528301886E-2</v>
      </c>
      <c r="AF495" s="9">
        <v>1.8867924528301886E-2</v>
      </c>
      <c r="AG495" s="9">
        <v>1.8867924528301886E-2</v>
      </c>
      <c r="AH495" s="9">
        <v>1.8867924528301886E-2</v>
      </c>
      <c r="AI495" s="9">
        <v>1.8867924528301886E-2</v>
      </c>
      <c r="AJ495" s="9">
        <v>1.8867924528301886E-2</v>
      </c>
      <c r="AK495" s="9">
        <v>1.8867924528301886E-2</v>
      </c>
      <c r="AL495" s="9">
        <v>1.8867924528301886E-2</v>
      </c>
      <c r="AM495" s="9">
        <v>1.8867924528301886E-2</v>
      </c>
      <c r="AN495" s="9">
        <v>1.8867924528301886E-2</v>
      </c>
      <c r="AO495" s="9">
        <v>1.8867924528301886E-2</v>
      </c>
      <c r="AP495" s="9">
        <v>1.8867924528301886E-2</v>
      </c>
      <c r="AQ495" s="9">
        <v>1.8867924528301886E-2</v>
      </c>
      <c r="AR495" s="9">
        <v>1.8867924528301886E-2</v>
      </c>
      <c r="AS495" s="9">
        <v>1.8867924528301886E-2</v>
      </c>
      <c r="AT495" s="9">
        <v>1.8867924528301886E-2</v>
      </c>
      <c r="AU495" s="9">
        <v>1.8867924528301886E-2</v>
      </c>
      <c r="AV495" s="9">
        <v>1.8867924528301886E-2</v>
      </c>
      <c r="AW495" s="9">
        <v>1.8867924528301886E-2</v>
      </c>
      <c r="AX495" s="9">
        <v>1.8867924528301886E-2</v>
      </c>
      <c r="AY495" s="9">
        <v>1.8867924528301886E-2</v>
      </c>
      <c r="AZ495" s="9">
        <v>1.8867924528301886E-2</v>
      </c>
      <c r="BA495" s="9">
        <v>1.8867924528301886E-2</v>
      </c>
      <c r="BB495" s="9">
        <v>1.8867924528301886E-2</v>
      </c>
      <c r="BC495" s="9">
        <v>1.8867924528301886E-2</v>
      </c>
      <c r="BD495" s="9">
        <v>1.8867924528301886E-2</v>
      </c>
      <c r="BE495" s="9">
        <v>1.8867924528301886E-2</v>
      </c>
      <c r="BF495" s="9">
        <v>1.8867924528301886E-2</v>
      </c>
      <c r="BG495" s="9">
        <v>1.8867924528301886E-2</v>
      </c>
      <c r="BH495" s="9">
        <v>1.8867924528301886E-2</v>
      </c>
      <c r="BI495" s="9">
        <v>1.8867924528301886E-2</v>
      </c>
      <c r="BJ495" s="9">
        <v>1.8867924528301886E-2</v>
      </c>
      <c r="BK495" s="9">
        <v>1.8867924528301886E-2</v>
      </c>
      <c r="BL495" s="9">
        <v>1.8867924528301886E-2</v>
      </c>
      <c r="BM495" s="9">
        <v>1.8867924528301886E-2</v>
      </c>
      <c r="BN495" s="9">
        <v>1.8867924528301886E-2</v>
      </c>
      <c r="BO495" s="9">
        <v>1.8867924528301886E-2</v>
      </c>
      <c r="BP495" s="9">
        <v>1.8867924528301886E-2</v>
      </c>
      <c r="BQ495" s="9">
        <v>1.8867924528301886E-2</v>
      </c>
      <c r="BR495" s="9">
        <v>1.8867924528301886E-2</v>
      </c>
      <c r="BS495" s="9">
        <v>1.8867924528301886E-2</v>
      </c>
      <c r="BT495" s="9">
        <v>1.8867924528301886E-2</v>
      </c>
      <c r="BU495" s="9">
        <v>1.8867924528301886E-2</v>
      </c>
      <c r="BV495" s="9">
        <v>1.8867924528301886E-2</v>
      </c>
      <c r="BW495" s="9">
        <v>1.8867924528301886E-2</v>
      </c>
      <c r="BX495" s="9">
        <v>1.8867924528301886E-2</v>
      </c>
    </row>
    <row r="496" spans="1:76">
      <c r="A496" s="3" t="s">
        <v>66</v>
      </c>
      <c r="B496" t="s">
        <v>4298</v>
      </c>
      <c r="D496" t="s">
        <v>4967</v>
      </c>
      <c r="F496" s="91" t="s">
        <v>4973</v>
      </c>
      <c r="H496" s="3" t="s">
        <v>4984</v>
      </c>
      <c r="I496" s="3"/>
      <c r="J496" s="124"/>
      <c r="K496" s="124"/>
      <c r="M496" s="124"/>
      <c r="X496" s="10">
        <v>1.8867924528301886E-2</v>
      </c>
      <c r="Y496" s="9">
        <v>1.8867924528301886E-2</v>
      </c>
      <c r="Z496" s="9">
        <v>1.8867924528301886E-2</v>
      </c>
      <c r="AA496" s="9">
        <v>1.8867924528301886E-2</v>
      </c>
      <c r="AB496" s="9">
        <v>1.8867924528301886E-2</v>
      </c>
      <c r="AC496" s="9">
        <v>1.8867924528301886E-2</v>
      </c>
      <c r="AD496" s="9">
        <v>1.8867924528301886E-2</v>
      </c>
      <c r="AE496" s="9">
        <v>1.8867924528301886E-2</v>
      </c>
      <c r="AF496" s="9">
        <v>1.8867924528301886E-2</v>
      </c>
      <c r="AG496" s="9">
        <v>1.8867924528301886E-2</v>
      </c>
      <c r="AH496" s="9">
        <v>1.8867924528301886E-2</v>
      </c>
      <c r="AI496" s="9">
        <v>1.8867924528301886E-2</v>
      </c>
      <c r="AJ496" s="9">
        <v>1.8867924528301886E-2</v>
      </c>
      <c r="AK496" s="9">
        <v>1.8867924528301886E-2</v>
      </c>
      <c r="AL496" s="9">
        <v>1.8867924528301886E-2</v>
      </c>
      <c r="AM496" s="9">
        <v>1.8867924528301886E-2</v>
      </c>
      <c r="AN496" s="9">
        <v>1.8867924528301886E-2</v>
      </c>
      <c r="AO496" s="9">
        <v>1.8867924528301886E-2</v>
      </c>
      <c r="AP496" s="9">
        <v>1.8867924528301886E-2</v>
      </c>
      <c r="AQ496" s="9">
        <v>1.8867924528301886E-2</v>
      </c>
      <c r="AR496" s="9">
        <v>1.8867924528301886E-2</v>
      </c>
      <c r="AS496" s="9">
        <v>1.8867924528301886E-2</v>
      </c>
      <c r="AT496" s="9">
        <v>1.8867924528301886E-2</v>
      </c>
      <c r="AU496" s="9">
        <v>1.8867924528301886E-2</v>
      </c>
      <c r="AV496" s="9">
        <v>1.8867924528301886E-2</v>
      </c>
      <c r="AW496" s="9">
        <v>1.8867924528301886E-2</v>
      </c>
      <c r="AX496" s="9">
        <v>1.8867924528301886E-2</v>
      </c>
      <c r="AY496" s="9">
        <v>1.8867924528301886E-2</v>
      </c>
      <c r="AZ496" s="9">
        <v>1.8867924528301886E-2</v>
      </c>
      <c r="BA496" s="9">
        <v>1.8867924528301886E-2</v>
      </c>
      <c r="BB496" s="9">
        <v>1.8867924528301886E-2</v>
      </c>
      <c r="BC496" s="9">
        <v>1.8867924528301886E-2</v>
      </c>
      <c r="BD496" s="9">
        <v>1.8867924528301886E-2</v>
      </c>
      <c r="BE496" s="9">
        <v>1.8867924528301886E-2</v>
      </c>
      <c r="BF496" s="9">
        <v>1.8867924528301886E-2</v>
      </c>
      <c r="BG496" s="9">
        <v>1.8867924528301886E-2</v>
      </c>
      <c r="BH496" s="9">
        <v>1.8867924528301886E-2</v>
      </c>
      <c r="BI496" s="9">
        <v>1.8867924528301886E-2</v>
      </c>
      <c r="BJ496" s="9">
        <v>1.8867924528301886E-2</v>
      </c>
      <c r="BK496" s="9">
        <v>1.8867924528301886E-2</v>
      </c>
      <c r="BL496" s="9">
        <v>1.8867924528301886E-2</v>
      </c>
      <c r="BM496" s="9">
        <v>1.8867924528301886E-2</v>
      </c>
      <c r="BN496" s="9">
        <v>1.8867924528301886E-2</v>
      </c>
      <c r="BO496" s="9">
        <v>1.8867924528301886E-2</v>
      </c>
      <c r="BP496" s="9">
        <v>1.8867924528301886E-2</v>
      </c>
      <c r="BQ496" s="9">
        <v>1.8867924528301886E-2</v>
      </c>
      <c r="BR496" s="9">
        <v>1.8867924528301886E-2</v>
      </c>
      <c r="BS496" s="9">
        <v>1.8867924528301886E-2</v>
      </c>
      <c r="BT496" s="9">
        <v>1.8867924528301886E-2</v>
      </c>
      <c r="BU496" s="9">
        <v>1.8867924528301886E-2</v>
      </c>
      <c r="BV496" s="9">
        <v>1.8867924528301886E-2</v>
      </c>
      <c r="BW496" s="9">
        <v>1.8867924528301886E-2</v>
      </c>
      <c r="BX496" s="9">
        <v>1.8867924528301886E-2</v>
      </c>
    </row>
    <row r="497" spans="1:76">
      <c r="A497" s="3" t="s">
        <v>66</v>
      </c>
      <c r="B497" t="s">
        <v>4313</v>
      </c>
      <c r="D497" t="s">
        <v>4967</v>
      </c>
      <c r="F497" s="91" t="s">
        <v>4973</v>
      </c>
      <c r="H497" s="3" t="s">
        <v>4984</v>
      </c>
      <c r="I497" s="3"/>
      <c r="J497" s="124"/>
      <c r="K497" s="124"/>
      <c r="M497" s="124"/>
      <c r="X497" s="10">
        <v>1.8867924528301886E-2</v>
      </c>
      <c r="Y497" s="9">
        <v>1.8867924528301886E-2</v>
      </c>
      <c r="Z497" s="9">
        <v>1.8867924528301886E-2</v>
      </c>
      <c r="AA497" s="9">
        <v>1.8867924528301886E-2</v>
      </c>
      <c r="AB497" s="9">
        <v>1.8867924528301886E-2</v>
      </c>
      <c r="AC497" s="9">
        <v>1.8867924528301886E-2</v>
      </c>
      <c r="AD497" s="9">
        <v>1.8867924528301886E-2</v>
      </c>
      <c r="AE497" s="9">
        <v>1.8867924528301886E-2</v>
      </c>
      <c r="AF497" s="9">
        <v>1.8867924528301886E-2</v>
      </c>
      <c r="AG497" s="9">
        <v>1.8867924528301886E-2</v>
      </c>
      <c r="AH497" s="9">
        <v>1.8867924528301886E-2</v>
      </c>
      <c r="AI497" s="9">
        <v>1.8867924528301886E-2</v>
      </c>
      <c r="AJ497" s="9">
        <v>1.8867924528301886E-2</v>
      </c>
      <c r="AK497" s="9">
        <v>1.8867924528301886E-2</v>
      </c>
      <c r="AL497" s="9">
        <v>1.8867924528301886E-2</v>
      </c>
      <c r="AM497" s="9">
        <v>1.8867924528301886E-2</v>
      </c>
      <c r="AN497" s="9">
        <v>1.8867924528301886E-2</v>
      </c>
      <c r="AO497" s="9">
        <v>1.8867924528301886E-2</v>
      </c>
      <c r="AP497" s="9">
        <v>1.8867924528301886E-2</v>
      </c>
      <c r="AQ497" s="9">
        <v>1.8867924528301886E-2</v>
      </c>
      <c r="AR497" s="9">
        <v>1.8867924528301886E-2</v>
      </c>
      <c r="AS497" s="9">
        <v>1.8867924528301886E-2</v>
      </c>
      <c r="AT497" s="9">
        <v>1.8867924528301886E-2</v>
      </c>
      <c r="AU497" s="9">
        <v>1.8867924528301886E-2</v>
      </c>
      <c r="AV497" s="9">
        <v>1.8867924528301886E-2</v>
      </c>
      <c r="AW497" s="9">
        <v>1.8867924528301886E-2</v>
      </c>
      <c r="AX497" s="9">
        <v>1.8867924528301886E-2</v>
      </c>
      <c r="AY497" s="9">
        <v>1.8867924528301886E-2</v>
      </c>
      <c r="AZ497" s="9">
        <v>1.8867924528301886E-2</v>
      </c>
      <c r="BA497" s="9">
        <v>1.8867924528301886E-2</v>
      </c>
      <c r="BB497" s="9">
        <v>1.8867924528301886E-2</v>
      </c>
      <c r="BC497" s="9">
        <v>1.8867924528301886E-2</v>
      </c>
      <c r="BD497" s="9">
        <v>1.8867924528301886E-2</v>
      </c>
      <c r="BE497" s="9">
        <v>1.8867924528301886E-2</v>
      </c>
      <c r="BF497" s="9">
        <v>1.8867924528301886E-2</v>
      </c>
      <c r="BG497" s="9">
        <v>1.8867924528301886E-2</v>
      </c>
      <c r="BH497" s="9">
        <v>1.8867924528301886E-2</v>
      </c>
      <c r="BI497" s="9">
        <v>1.8867924528301886E-2</v>
      </c>
      <c r="BJ497" s="9">
        <v>1.8867924528301886E-2</v>
      </c>
      <c r="BK497" s="9">
        <v>1.8867924528301886E-2</v>
      </c>
      <c r="BL497" s="9">
        <v>1.8867924528301886E-2</v>
      </c>
      <c r="BM497" s="9">
        <v>1.8867924528301886E-2</v>
      </c>
      <c r="BN497" s="9">
        <v>1.8867924528301886E-2</v>
      </c>
      <c r="BO497" s="9">
        <v>1.8867924528301886E-2</v>
      </c>
      <c r="BP497" s="9">
        <v>1.8867924528301886E-2</v>
      </c>
      <c r="BQ497" s="9">
        <v>1.8867924528301886E-2</v>
      </c>
      <c r="BR497" s="9">
        <v>1.8867924528301886E-2</v>
      </c>
      <c r="BS497" s="9">
        <v>1.8867924528301886E-2</v>
      </c>
      <c r="BT497" s="9">
        <v>1.8867924528301886E-2</v>
      </c>
      <c r="BU497" s="9">
        <v>1.8867924528301886E-2</v>
      </c>
      <c r="BV497" s="9">
        <v>1.8867924528301886E-2</v>
      </c>
      <c r="BW497" s="9">
        <v>1.8867924528301886E-2</v>
      </c>
      <c r="BX497" s="9">
        <v>1.8867924528301886E-2</v>
      </c>
    </row>
    <row r="498" spans="1:76">
      <c r="A498" s="3" t="s">
        <v>66</v>
      </c>
      <c r="B498" t="s">
        <v>4310</v>
      </c>
      <c r="D498" t="s">
        <v>4967</v>
      </c>
      <c r="F498" s="91" t="s">
        <v>4973</v>
      </c>
      <c r="H498" s="3" t="s">
        <v>4984</v>
      </c>
      <c r="I498" s="3"/>
      <c r="J498" s="124"/>
      <c r="K498" s="124"/>
      <c r="M498" s="124"/>
      <c r="X498" s="10">
        <v>1.8867924528301886E-2</v>
      </c>
      <c r="Y498" s="9">
        <v>1.8867924528301886E-2</v>
      </c>
      <c r="Z498" s="9">
        <v>1.8867924528301886E-2</v>
      </c>
      <c r="AA498" s="9">
        <v>1.8867924528301886E-2</v>
      </c>
      <c r="AB498" s="9">
        <v>1.8867924528301886E-2</v>
      </c>
      <c r="AC498" s="9">
        <v>1.8867924528301886E-2</v>
      </c>
      <c r="AD498" s="9">
        <v>1.8867924528301886E-2</v>
      </c>
      <c r="AE498" s="9">
        <v>1.8867924528301886E-2</v>
      </c>
      <c r="AF498" s="9">
        <v>1.8867924528301886E-2</v>
      </c>
      <c r="AG498" s="9">
        <v>1.8867924528301886E-2</v>
      </c>
      <c r="AH498" s="9">
        <v>1.8867924528301886E-2</v>
      </c>
      <c r="AI498" s="9">
        <v>1.8867924528301886E-2</v>
      </c>
      <c r="AJ498" s="9">
        <v>1.8867924528301886E-2</v>
      </c>
      <c r="AK498" s="9">
        <v>1.8867924528301886E-2</v>
      </c>
      <c r="AL498" s="9">
        <v>1.8867924528301886E-2</v>
      </c>
      <c r="AM498" s="9">
        <v>1.8867924528301886E-2</v>
      </c>
      <c r="AN498" s="9">
        <v>1.8867924528301886E-2</v>
      </c>
      <c r="AO498" s="9">
        <v>1.8867924528301886E-2</v>
      </c>
      <c r="AP498" s="9">
        <v>1.8867924528301886E-2</v>
      </c>
      <c r="AQ498" s="9">
        <v>1.8867924528301886E-2</v>
      </c>
      <c r="AR498" s="9">
        <v>1.8867924528301886E-2</v>
      </c>
      <c r="AS498" s="9">
        <v>1.8867924528301886E-2</v>
      </c>
      <c r="AT498" s="9">
        <v>1.8867924528301886E-2</v>
      </c>
      <c r="AU498" s="9">
        <v>1.8867924528301886E-2</v>
      </c>
      <c r="AV498" s="9">
        <v>1.8867924528301886E-2</v>
      </c>
      <c r="AW498" s="9">
        <v>1.8867924528301886E-2</v>
      </c>
      <c r="AX498" s="9">
        <v>1.8867924528301886E-2</v>
      </c>
      <c r="AY498" s="9">
        <v>1.8867924528301886E-2</v>
      </c>
      <c r="AZ498" s="9">
        <v>1.8867924528301886E-2</v>
      </c>
      <c r="BA498" s="9">
        <v>1.8867924528301886E-2</v>
      </c>
      <c r="BB498" s="9">
        <v>1.8867924528301886E-2</v>
      </c>
      <c r="BC498" s="9">
        <v>1.8867924528301886E-2</v>
      </c>
      <c r="BD498" s="9">
        <v>1.8867924528301886E-2</v>
      </c>
      <c r="BE498" s="9">
        <v>1.8867924528301886E-2</v>
      </c>
      <c r="BF498" s="9">
        <v>1.8867924528301886E-2</v>
      </c>
      <c r="BG498" s="9">
        <v>1.8867924528301886E-2</v>
      </c>
      <c r="BH498" s="9">
        <v>1.8867924528301886E-2</v>
      </c>
      <c r="BI498" s="9">
        <v>1.8867924528301886E-2</v>
      </c>
      <c r="BJ498" s="9">
        <v>1.8867924528301886E-2</v>
      </c>
      <c r="BK498" s="9">
        <v>1.8867924528301886E-2</v>
      </c>
      <c r="BL498" s="9">
        <v>1.8867924528301886E-2</v>
      </c>
      <c r="BM498" s="9">
        <v>1.8867924528301886E-2</v>
      </c>
      <c r="BN498" s="9">
        <v>1.8867924528301886E-2</v>
      </c>
      <c r="BO498" s="9">
        <v>1.8867924528301886E-2</v>
      </c>
      <c r="BP498" s="9">
        <v>1.8867924528301886E-2</v>
      </c>
      <c r="BQ498" s="9">
        <v>1.8867924528301886E-2</v>
      </c>
      <c r="BR498" s="9">
        <v>1.8867924528301886E-2</v>
      </c>
      <c r="BS498" s="9">
        <v>1.8867924528301886E-2</v>
      </c>
      <c r="BT498" s="9">
        <v>1.8867924528301886E-2</v>
      </c>
      <c r="BU498" s="9">
        <v>1.8867924528301886E-2</v>
      </c>
      <c r="BV498" s="9">
        <v>1.8867924528301886E-2</v>
      </c>
      <c r="BW498" s="9">
        <v>1.8867924528301886E-2</v>
      </c>
      <c r="BX498" s="9">
        <v>1.8867924528301886E-2</v>
      </c>
    </row>
    <row r="499" spans="1:76">
      <c r="A499" s="3" t="s">
        <v>66</v>
      </c>
      <c r="B499" t="s">
        <v>4316</v>
      </c>
      <c r="D499" t="s">
        <v>4967</v>
      </c>
      <c r="F499" s="91" t="s">
        <v>4973</v>
      </c>
      <c r="H499" s="3" t="s">
        <v>4984</v>
      </c>
      <c r="I499" s="3"/>
      <c r="J499" s="124"/>
      <c r="K499" s="124"/>
      <c r="M499" s="124"/>
      <c r="X499" s="10">
        <v>1.8867924528301886E-2</v>
      </c>
      <c r="Y499" s="9">
        <v>1.8867924528301886E-2</v>
      </c>
      <c r="Z499" s="9">
        <v>1.8867924528301886E-2</v>
      </c>
      <c r="AA499" s="9">
        <v>1.8867924528301886E-2</v>
      </c>
      <c r="AB499" s="9">
        <v>1.8867924528301886E-2</v>
      </c>
      <c r="AC499" s="9">
        <v>1.8867924528301886E-2</v>
      </c>
      <c r="AD499" s="9">
        <v>1.8867924528301886E-2</v>
      </c>
      <c r="AE499" s="9">
        <v>1.8867924528301886E-2</v>
      </c>
      <c r="AF499" s="9">
        <v>1.8867924528301886E-2</v>
      </c>
      <c r="AG499" s="9">
        <v>1.8867924528301886E-2</v>
      </c>
      <c r="AH499" s="9">
        <v>1.8867924528301886E-2</v>
      </c>
      <c r="AI499" s="9">
        <v>1.8867924528301886E-2</v>
      </c>
      <c r="AJ499" s="9">
        <v>1.8867924528301886E-2</v>
      </c>
      <c r="AK499" s="9">
        <v>1.8867924528301886E-2</v>
      </c>
      <c r="AL499" s="9">
        <v>1.8867924528301886E-2</v>
      </c>
      <c r="AM499" s="9">
        <v>1.8867924528301886E-2</v>
      </c>
      <c r="AN499" s="9">
        <v>1.8867924528301886E-2</v>
      </c>
      <c r="AO499" s="9">
        <v>1.8867924528301886E-2</v>
      </c>
      <c r="AP499" s="9">
        <v>1.8867924528301886E-2</v>
      </c>
      <c r="AQ499" s="9">
        <v>1.8867924528301886E-2</v>
      </c>
      <c r="AR499" s="9">
        <v>1.8867924528301886E-2</v>
      </c>
      <c r="AS499" s="9">
        <v>1.8867924528301886E-2</v>
      </c>
      <c r="AT499" s="9">
        <v>1.8867924528301886E-2</v>
      </c>
      <c r="AU499" s="9">
        <v>1.8867924528301886E-2</v>
      </c>
      <c r="AV499" s="9">
        <v>1.8867924528301886E-2</v>
      </c>
      <c r="AW499" s="9">
        <v>1.8867924528301886E-2</v>
      </c>
      <c r="AX499" s="9">
        <v>1.8867924528301886E-2</v>
      </c>
      <c r="AY499" s="9">
        <v>1.8867924528301886E-2</v>
      </c>
      <c r="AZ499" s="9">
        <v>1.8867924528301886E-2</v>
      </c>
      <c r="BA499" s="9">
        <v>1.8867924528301886E-2</v>
      </c>
      <c r="BB499" s="9">
        <v>1.8867924528301886E-2</v>
      </c>
      <c r="BC499" s="9">
        <v>1.8867924528301886E-2</v>
      </c>
      <c r="BD499" s="9">
        <v>1.8867924528301886E-2</v>
      </c>
      <c r="BE499" s="9">
        <v>1.8867924528301886E-2</v>
      </c>
      <c r="BF499" s="9">
        <v>1.8867924528301886E-2</v>
      </c>
      <c r="BG499" s="9">
        <v>1.8867924528301886E-2</v>
      </c>
      <c r="BH499" s="9">
        <v>1.8867924528301886E-2</v>
      </c>
      <c r="BI499" s="9">
        <v>1.8867924528301886E-2</v>
      </c>
      <c r="BJ499" s="9">
        <v>1.8867924528301886E-2</v>
      </c>
      <c r="BK499" s="9">
        <v>1.8867924528301886E-2</v>
      </c>
      <c r="BL499" s="9">
        <v>1.8867924528301886E-2</v>
      </c>
      <c r="BM499" s="9">
        <v>1.8867924528301886E-2</v>
      </c>
      <c r="BN499" s="9">
        <v>1.8867924528301886E-2</v>
      </c>
      <c r="BO499" s="9">
        <v>1.8867924528301886E-2</v>
      </c>
      <c r="BP499" s="9">
        <v>1.8867924528301886E-2</v>
      </c>
      <c r="BQ499" s="9">
        <v>1.8867924528301886E-2</v>
      </c>
      <c r="BR499" s="9">
        <v>1.8867924528301886E-2</v>
      </c>
      <c r="BS499" s="9">
        <v>1.8867924528301886E-2</v>
      </c>
      <c r="BT499" s="9">
        <v>1.8867924528301886E-2</v>
      </c>
      <c r="BU499" s="9">
        <v>1.8867924528301886E-2</v>
      </c>
      <c r="BV499" s="9">
        <v>1.8867924528301886E-2</v>
      </c>
      <c r="BW499" s="9">
        <v>1.8867924528301886E-2</v>
      </c>
      <c r="BX499" s="9">
        <v>1.8867924528301886E-2</v>
      </c>
    </row>
    <row r="500" spans="1:76">
      <c r="A500" s="3" t="s">
        <v>66</v>
      </c>
      <c r="B500" t="s">
        <v>4318</v>
      </c>
      <c r="D500" t="s">
        <v>4967</v>
      </c>
      <c r="F500" s="91" t="s">
        <v>4973</v>
      </c>
      <c r="H500" s="3" t="s">
        <v>4984</v>
      </c>
      <c r="I500" s="3"/>
      <c r="J500" s="124"/>
      <c r="K500" s="124"/>
      <c r="M500" s="124"/>
      <c r="X500" s="10">
        <v>1.8867924528301886E-2</v>
      </c>
      <c r="Y500" s="9">
        <v>1.8867924528301886E-2</v>
      </c>
      <c r="Z500" s="9">
        <v>1.8867924528301886E-2</v>
      </c>
      <c r="AA500" s="9">
        <v>1.8867924528301886E-2</v>
      </c>
      <c r="AB500" s="9">
        <v>1.8867924528301886E-2</v>
      </c>
      <c r="AC500" s="9">
        <v>1.8867924528301886E-2</v>
      </c>
      <c r="AD500" s="9">
        <v>1.8867924528301886E-2</v>
      </c>
      <c r="AE500" s="9">
        <v>1.8867924528301886E-2</v>
      </c>
      <c r="AF500" s="9">
        <v>1.8867924528301886E-2</v>
      </c>
      <c r="AG500" s="9">
        <v>1.8867924528301886E-2</v>
      </c>
      <c r="AH500" s="9">
        <v>1.8867924528301886E-2</v>
      </c>
      <c r="AI500" s="9">
        <v>1.8867924528301886E-2</v>
      </c>
      <c r="AJ500" s="9">
        <v>1.8867924528301886E-2</v>
      </c>
      <c r="AK500" s="9">
        <v>1.8867924528301886E-2</v>
      </c>
      <c r="AL500" s="9">
        <v>1.8867924528301886E-2</v>
      </c>
      <c r="AM500" s="9">
        <v>1.8867924528301886E-2</v>
      </c>
      <c r="AN500" s="9">
        <v>1.8867924528301886E-2</v>
      </c>
      <c r="AO500" s="9">
        <v>1.8867924528301886E-2</v>
      </c>
      <c r="AP500" s="9">
        <v>1.8867924528301886E-2</v>
      </c>
      <c r="AQ500" s="9">
        <v>1.8867924528301886E-2</v>
      </c>
      <c r="AR500" s="9">
        <v>1.8867924528301886E-2</v>
      </c>
      <c r="AS500" s="9">
        <v>1.8867924528301886E-2</v>
      </c>
      <c r="AT500" s="9">
        <v>1.8867924528301886E-2</v>
      </c>
      <c r="AU500" s="9">
        <v>1.8867924528301886E-2</v>
      </c>
      <c r="AV500" s="9">
        <v>1.8867924528301886E-2</v>
      </c>
      <c r="AW500" s="9">
        <v>1.8867924528301886E-2</v>
      </c>
      <c r="AX500" s="9">
        <v>1.8867924528301886E-2</v>
      </c>
      <c r="AY500" s="9">
        <v>1.8867924528301886E-2</v>
      </c>
      <c r="AZ500" s="9">
        <v>1.8867924528301886E-2</v>
      </c>
      <c r="BA500" s="9">
        <v>1.8867924528301886E-2</v>
      </c>
      <c r="BB500" s="9">
        <v>1.8867924528301886E-2</v>
      </c>
      <c r="BC500" s="9">
        <v>1.8867924528301886E-2</v>
      </c>
      <c r="BD500" s="9">
        <v>1.8867924528301886E-2</v>
      </c>
      <c r="BE500" s="9">
        <v>1.8867924528301886E-2</v>
      </c>
      <c r="BF500" s="9">
        <v>1.8867924528301886E-2</v>
      </c>
      <c r="BG500" s="9">
        <v>1.8867924528301886E-2</v>
      </c>
      <c r="BH500" s="9">
        <v>1.8867924528301886E-2</v>
      </c>
      <c r="BI500" s="9">
        <v>1.8867924528301886E-2</v>
      </c>
      <c r="BJ500" s="9">
        <v>1.8867924528301886E-2</v>
      </c>
      <c r="BK500" s="9">
        <v>1.8867924528301886E-2</v>
      </c>
      <c r="BL500" s="9">
        <v>1.8867924528301886E-2</v>
      </c>
      <c r="BM500" s="9">
        <v>1.8867924528301886E-2</v>
      </c>
      <c r="BN500" s="9">
        <v>1.8867924528301886E-2</v>
      </c>
      <c r="BO500" s="9">
        <v>1.8867924528301886E-2</v>
      </c>
      <c r="BP500" s="9">
        <v>1.8867924528301886E-2</v>
      </c>
      <c r="BQ500" s="9">
        <v>1.8867924528301886E-2</v>
      </c>
      <c r="BR500" s="9">
        <v>1.8867924528301886E-2</v>
      </c>
      <c r="BS500" s="9">
        <v>1.8867924528301886E-2</v>
      </c>
      <c r="BT500" s="9">
        <v>1.8867924528301886E-2</v>
      </c>
      <c r="BU500" s="9">
        <v>1.8867924528301886E-2</v>
      </c>
      <c r="BV500" s="9">
        <v>1.8867924528301886E-2</v>
      </c>
      <c r="BW500" s="9">
        <v>1.8867924528301886E-2</v>
      </c>
      <c r="BX500" s="9">
        <v>1.8867924528301886E-2</v>
      </c>
    </row>
    <row r="501" spans="1:76">
      <c r="A501" s="3" t="s">
        <v>66</v>
      </c>
      <c r="B501" t="s">
        <v>4320</v>
      </c>
      <c r="D501" t="s">
        <v>4967</v>
      </c>
      <c r="F501" s="91" t="s">
        <v>4973</v>
      </c>
      <c r="H501" s="3" t="s">
        <v>4984</v>
      </c>
      <c r="I501" s="3"/>
      <c r="J501" s="124"/>
      <c r="K501" s="124"/>
      <c r="M501" s="124"/>
      <c r="X501" s="10">
        <v>1.8867924528301886E-2</v>
      </c>
      <c r="Y501" s="9">
        <v>1.8867924528301886E-2</v>
      </c>
      <c r="Z501" s="9">
        <v>1.8867924528301886E-2</v>
      </c>
      <c r="AA501" s="9">
        <v>1.8867924528301886E-2</v>
      </c>
      <c r="AB501" s="9">
        <v>1.8867924528301886E-2</v>
      </c>
      <c r="AC501" s="9">
        <v>1.8867924528301886E-2</v>
      </c>
      <c r="AD501" s="9">
        <v>1.8867924528301886E-2</v>
      </c>
      <c r="AE501" s="9">
        <v>1.8867924528301886E-2</v>
      </c>
      <c r="AF501" s="9">
        <v>1.8867924528301886E-2</v>
      </c>
      <c r="AG501" s="9">
        <v>1.8867924528301886E-2</v>
      </c>
      <c r="AH501" s="9">
        <v>1.8867924528301886E-2</v>
      </c>
      <c r="AI501" s="9">
        <v>1.8867924528301886E-2</v>
      </c>
      <c r="AJ501" s="9">
        <v>1.8867924528301886E-2</v>
      </c>
      <c r="AK501" s="9">
        <v>1.8867924528301886E-2</v>
      </c>
      <c r="AL501" s="9">
        <v>1.8867924528301886E-2</v>
      </c>
      <c r="AM501" s="9">
        <v>1.8867924528301886E-2</v>
      </c>
      <c r="AN501" s="9">
        <v>1.8867924528301886E-2</v>
      </c>
      <c r="AO501" s="9">
        <v>1.8867924528301886E-2</v>
      </c>
      <c r="AP501" s="9">
        <v>1.8867924528301886E-2</v>
      </c>
      <c r="AQ501" s="9">
        <v>1.8867924528301886E-2</v>
      </c>
      <c r="AR501" s="9">
        <v>1.8867924528301886E-2</v>
      </c>
      <c r="AS501" s="9">
        <v>1.8867924528301886E-2</v>
      </c>
      <c r="AT501" s="9">
        <v>1.8867924528301886E-2</v>
      </c>
      <c r="AU501" s="9">
        <v>1.8867924528301886E-2</v>
      </c>
      <c r="AV501" s="9">
        <v>1.8867924528301886E-2</v>
      </c>
      <c r="AW501" s="9">
        <v>1.8867924528301886E-2</v>
      </c>
      <c r="AX501" s="9">
        <v>1.8867924528301886E-2</v>
      </c>
      <c r="AY501" s="9">
        <v>1.8867924528301886E-2</v>
      </c>
      <c r="AZ501" s="9">
        <v>1.8867924528301886E-2</v>
      </c>
      <c r="BA501" s="9">
        <v>1.8867924528301886E-2</v>
      </c>
      <c r="BB501" s="9">
        <v>1.8867924528301886E-2</v>
      </c>
      <c r="BC501" s="9">
        <v>1.8867924528301886E-2</v>
      </c>
      <c r="BD501" s="9">
        <v>1.8867924528301886E-2</v>
      </c>
      <c r="BE501" s="9">
        <v>1.8867924528301886E-2</v>
      </c>
      <c r="BF501" s="9">
        <v>1.8867924528301886E-2</v>
      </c>
      <c r="BG501" s="9">
        <v>1.8867924528301886E-2</v>
      </c>
      <c r="BH501" s="9">
        <v>1.8867924528301886E-2</v>
      </c>
      <c r="BI501" s="9">
        <v>1.8867924528301886E-2</v>
      </c>
      <c r="BJ501" s="9">
        <v>1.8867924528301886E-2</v>
      </c>
      <c r="BK501" s="9">
        <v>1.8867924528301886E-2</v>
      </c>
      <c r="BL501" s="9">
        <v>1.8867924528301886E-2</v>
      </c>
      <c r="BM501" s="9">
        <v>1.8867924528301886E-2</v>
      </c>
      <c r="BN501" s="9">
        <v>1.8867924528301886E-2</v>
      </c>
      <c r="BO501" s="9">
        <v>1.8867924528301886E-2</v>
      </c>
      <c r="BP501" s="9">
        <v>1.8867924528301886E-2</v>
      </c>
      <c r="BQ501" s="9">
        <v>1.8867924528301886E-2</v>
      </c>
      <c r="BR501" s="9">
        <v>1.8867924528301886E-2</v>
      </c>
      <c r="BS501" s="9">
        <v>1.8867924528301886E-2</v>
      </c>
      <c r="BT501" s="9">
        <v>1.8867924528301886E-2</v>
      </c>
      <c r="BU501" s="9">
        <v>1.8867924528301886E-2</v>
      </c>
      <c r="BV501" s="9">
        <v>1.8867924528301886E-2</v>
      </c>
      <c r="BW501" s="9">
        <v>1.8867924528301886E-2</v>
      </c>
      <c r="BX501" s="9">
        <v>1.8867924528301886E-2</v>
      </c>
    </row>
    <row r="502" spans="1:76">
      <c r="A502" s="3" t="s">
        <v>66</v>
      </c>
      <c r="B502" t="s">
        <v>4322</v>
      </c>
      <c r="D502" t="s">
        <v>4967</v>
      </c>
      <c r="F502" s="91" t="s">
        <v>4973</v>
      </c>
      <c r="H502" s="3" t="s">
        <v>4984</v>
      </c>
      <c r="I502" s="3"/>
      <c r="J502" s="124"/>
      <c r="K502" s="124"/>
      <c r="M502" s="124"/>
      <c r="X502" s="10">
        <v>1.8867924528301886E-2</v>
      </c>
      <c r="Y502" s="9">
        <v>1.8867924528301886E-2</v>
      </c>
      <c r="Z502" s="9">
        <v>1.8867924528301886E-2</v>
      </c>
      <c r="AA502" s="9">
        <v>1.8867924528301886E-2</v>
      </c>
      <c r="AB502" s="9">
        <v>1.8867924528301886E-2</v>
      </c>
      <c r="AC502" s="9">
        <v>1.8867924528301886E-2</v>
      </c>
      <c r="AD502" s="9">
        <v>1.8867924528301886E-2</v>
      </c>
      <c r="AE502" s="9">
        <v>1.8867924528301886E-2</v>
      </c>
      <c r="AF502" s="9">
        <v>1.8867924528301886E-2</v>
      </c>
      <c r="AG502" s="9">
        <v>1.8867924528301886E-2</v>
      </c>
      <c r="AH502" s="9">
        <v>1.8867924528301886E-2</v>
      </c>
      <c r="AI502" s="9">
        <v>1.8867924528301886E-2</v>
      </c>
      <c r="AJ502" s="9">
        <v>1.8867924528301886E-2</v>
      </c>
      <c r="AK502" s="9">
        <v>1.8867924528301886E-2</v>
      </c>
      <c r="AL502" s="9">
        <v>1.8867924528301886E-2</v>
      </c>
      <c r="AM502" s="9">
        <v>1.8867924528301886E-2</v>
      </c>
      <c r="AN502" s="9">
        <v>1.8867924528301886E-2</v>
      </c>
      <c r="AO502" s="9">
        <v>1.8867924528301886E-2</v>
      </c>
      <c r="AP502" s="9">
        <v>1.8867924528301886E-2</v>
      </c>
      <c r="AQ502" s="9">
        <v>1.8867924528301886E-2</v>
      </c>
      <c r="AR502" s="9">
        <v>1.8867924528301886E-2</v>
      </c>
      <c r="AS502" s="9">
        <v>1.8867924528301886E-2</v>
      </c>
      <c r="AT502" s="9">
        <v>1.8867924528301886E-2</v>
      </c>
      <c r="AU502" s="9">
        <v>1.8867924528301886E-2</v>
      </c>
      <c r="AV502" s="9">
        <v>1.8867924528301886E-2</v>
      </c>
      <c r="AW502" s="9">
        <v>1.8867924528301886E-2</v>
      </c>
      <c r="AX502" s="9">
        <v>1.8867924528301886E-2</v>
      </c>
      <c r="AY502" s="9">
        <v>1.8867924528301886E-2</v>
      </c>
      <c r="AZ502" s="9">
        <v>1.8867924528301886E-2</v>
      </c>
      <c r="BA502" s="9">
        <v>1.8867924528301886E-2</v>
      </c>
      <c r="BB502" s="9">
        <v>1.8867924528301886E-2</v>
      </c>
      <c r="BC502" s="9">
        <v>1.8867924528301886E-2</v>
      </c>
      <c r="BD502" s="9">
        <v>1.8867924528301886E-2</v>
      </c>
      <c r="BE502" s="9">
        <v>1.8867924528301886E-2</v>
      </c>
      <c r="BF502" s="9">
        <v>1.8867924528301886E-2</v>
      </c>
      <c r="BG502" s="9">
        <v>1.8867924528301886E-2</v>
      </c>
      <c r="BH502" s="9">
        <v>1.8867924528301886E-2</v>
      </c>
      <c r="BI502" s="9">
        <v>1.8867924528301886E-2</v>
      </c>
      <c r="BJ502" s="9">
        <v>1.8867924528301886E-2</v>
      </c>
      <c r="BK502" s="9">
        <v>1.8867924528301886E-2</v>
      </c>
      <c r="BL502" s="9">
        <v>1.8867924528301886E-2</v>
      </c>
      <c r="BM502" s="9">
        <v>1.8867924528301886E-2</v>
      </c>
      <c r="BN502" s="9">
        <v>1.8867924528301886E-2</v>
      </c>
      <c r="BO502" s="9">
        <v>1.8867924528301886E-2</v>
      </c>
      <c r="BP502" s="9">
        <v>1.8867924528301886E-2</v>
      </c>
      <c r="BQ502" s="9">
        <v>1.8867924528301886E-2</v>
      </c>
      <c r="BR502" s="9">
        <v>1.8867924528301886E-2</v>
      </c>
      <c r="BS502" s="9">
        <v>1.8867924528301886E-2</v>
      </c>
      <c r="BT502" s="9">
        <v>1.8867924528301886E-2</v>
      </c>
      <c r="BU502" s="9">
        <v>1.8867924528301886E-2</v>
      </c>
      <c r="BV502" s="9">
        <v>1.8867924528301886E-2</v>
      </c>
      <c r="BW502" s="9">
        <v>1.8867924528301886E-2</v>
      </c>
      <c r="BX502" s="9">
        <v>1.8867924528301886E-2</v>
      </c>
    </row>
    <row r="503" spans="1:76">
      <c r="A503" s="3" t="s">
        <v>66</v>
      </c>
      <c r="B503" t="s">
        <v>4301</v>
      </c>
      <c r="D503" t="s">
        <v>4967</v>
      </c>
      <c r="F503" s="91" t="s">
        <v>4973</v>
      </c>
      <c r="H503" s="3" t="s">
        <v>4984</v>
      </c>
      <c r="I503" s="3"/>
      <c r="J503" s="124"/>
      <c r="K503" s="124"/>
      <c r="M503" s="124"/>
      <c r="X503" s="10">
        <v>1.8867924528301886E-2</v>
      </c>
      <c r="Y503" s="9">
        <v>1.8867924528301886E-2</v>
      </c>
      <c r="Z503" s="9">
        <v>1.8867924528301886E-2</v>
      </c>
      <c r="AA503" s="9">
        <v>1.8867924528301886E-2</v>
      </c>
      <c r="AB503" s="9">
        <v>1.8867924528301886E-2</v>
      </c>
      <c r="AC503" s="9">
        <v>1.8867924528301886E-2</v>
      </c>
      <c r="AD503" s="9">
        <v>1.8867924528301886E-2</v>
      </c>
      <c r="AE503" s="9">
        <v>1.8867924528301886E-2</v>
      </c>
      <c r="AF503" s="9">
        <v>1.8867924528301886E-2</v>
      </c>
      <c r="AG503" s="9">
        <v>1.8867924528301886E-2</v>
      </c>
      <c r="AH503" s="9">
        <v>1.8867924528301886E-2</v>
      </c>
      <c r="AI503" s="9">
        <v>1.8867924528301886E-2</v>
      </c>
      <c r="AJ503" s="9">
        <v>1.8867924528301886E-2</v>
      </c>
      <c r="AK503" s="9">
        <v>1.8867924528301886E-2</v>
      </c>
      <c r="AL503" s="9">
        <v>1.8867924528301886E-2</v>
      </c>
      <c r="AM503" s="9">
        <v>1.8867924528301886E-2</v>
      </c>
      <c r="AN503" s="9">
        <v>1.8867924528301886E-2</v>
      </c>
      <c r="AO503" s="9">
        <v>1.8867924528301886E-2</v>
      </c>
      <c r="AP503" s="9">
        <v>1.8867924528301886E-2</v>
      </c>
      <c r="AQ503" s="9">
        <v>1.8867924528301886E-2</v>
      </c>
      <c r="AR503" s="9">
        <v>1.8867924528301886E-2</v>
      </c>
      <c r="AS503" s="9">
        <v>1.8867924528301886E-2</v>
      </c>
      <c r="AT503" s="9">
        <v>1.8867924528301886E-2</v>
      </c>
      <c r="AU503" s="9">
        <v>1.8867924528301886E-2</v>
      </c>
      <c r="AV503" s="9">
        <v>1.8867924528301886E-2</v>
      </c>
      <c r="AW503" s="9">
        <v>1.8867924528301886E-2</v>
      </c>
      <c r="AX503" s="9">
        <v>1.8867924528301886E-2</v>
      </c>
      <c r="AY503" s="9">
        <v>1.8867924528301886E-2</v>
      </c>
      <c r="AZ503" s="9">
        <v>1.8867924528301886E-2</v>
      </c>
      <c r="BA503" s="9">
        <v>1.8867924528301886E-2</v>
      </c>
      <c r="BB503" s="9">
        <v>1.8867924528301886E-2</v>
      </c>
      <c r="BC503" s="9">
        <v>1.8867924528301886E-2</v>
      </c>
      <c r="BD503" s="9">
        <v>1.8867924528301886E-2</v>
      </c>
      <c r="BE503" s="9">
        <v>1.8867924528301886E-2</v>
      </c>
      <c r="BF503" s="9">
        <v>1.8867924528301886E-2</v>
      </c>
      <c r="BG503" s="9">
        <v>1.8867924528301886E-2</v>
      </c>
      <c r="BH503" s="9">
        <v>1.8867924528301886E-2</v>
      </c>
      <c r="BI503" s="9">
        <v>1.8867924528301886E-2</v>
      </c>
      <c r="BJ503" s="9">
        <v>1.8867924528301886E-2</v>
      </c>
      <c r="BK503" s="9">
        <v>1.8867924528301886E-2</v>
      </c>
      <c r="BL503" s="9">
        <v>1.8867924528301886E-2</v>
      </c>
      <c r="BM503" s="9">
        <v>1.8867924528301886E-2</v>
      </c>
      <c r="BN503" s="9">
        <v>1.8867924528301886E-2</v>
      </c>
      <c r="BO503" s="9">
        <v>1.8867924528301886E-2</v>
      </c>
      <c r="BP503" s="9">
        <v>1.8867924528301886E-2</v>
      </c>
      <c r="BQ503" s="9">
        <v>1.8867924528301886E-2</v>
      </c>
      <c r="BR503" s="9">
        <v>1.8867924528301886E-2</v>
      </c>
      <c r="BS503" s="9">
        <v>1.8867924528301886E-2</v>
      </c>
      <c r="BT503" s="9">
        <v>1.8867924528301886E-2</v>
      </c>
      <c r="BU503" s="9">
        <v>1.8867924528301886E-2</v>
      </c>
      <c r="BV503" s="9">
        <v>1.8867924528301886E-2</v>
      </c>
      <c r="BW503" s="9">
        <v>1.8867924528301886E-2</v>
      </c>
      <c r="BX503" s="9">
        <v>1.8867924528301886E-2</v>
      </c>
    </row>
    <row r="504" spans="1:76">
      <c r="A504" s="3" t="s">
        <v>66</v>
      </c>
      <c r="B504" t="s">
        <v>4304</v>
      </c>
      <c r="D504" t="s">
        <v>4967</v>
      </c>
      <c r="F504" s="91" t="s">
        <v>4973</v>
      </c>
      <c r="H504" s="3" t="s">
        <v>4984</v>
      </c>
      <c r="I504" s="3"/>
      <c r="J504" s="124"/>
      <c r="K504" s="124"/>
      <c r="M504" s="124"/>
      <c r="X504" s="10">
        <v>1.8867924528301886E-2</v>
      </c>
      <c r="Y504" s="9">
        <v>1.8867924528301886E-2</v>
      </c>
      <c r="Z504" s="9">
        <v>1.8867924528301886E-2</v>
      </c>
      <c r="AA504" s="9">
        <v>1.8867924528301886E-2</v>
      </c>
      <c r="AB504" s="9">
        <v>1.8867924528301886E-2</v>
      </c>
      <c r="AC504" s="9">
        <v>1.8867924528301886E-2</v>
      </c>
      <c r="AD504" s="9">
        <v>1.8867924528301886E-2</v>
      </c>
      <c r="AE504" s="9">
        <v>1.8867924528301886E-2</v>
      </c>
      <c r="AF504" s="9">
        <v>1.8867924528301886E-2</v>
      </c>
      <c r="AG504" s="9">
        <v>1.8867924528301886E-2</v>
      </c>
      <c r="AH504" s="9">
        <v>1.8867924528301886E-2</v>
      </c>
      <c r="AI504" s="9">
        <v>1.8867924528301886E-2</v>
      </c>
      <c r="AJ504" s="9">
        <v>1.8867924528301886E-2</v>
      </c>
      <c r="AK504" s="9">
        <v>1.8867924528301886E-2</v>
      </c>
      <c r="AL504" s="9">
        <v>1.8867924528301886E-2</v>
      </c>
      <c r="AM504" s="9">
        <v>1.8867924528301886E-2</v>
      </c>
      <c r="AN504" s="9">
        <v>1.8867924528301886E-2</v>
      </c>
      <c r="AO504" s="9">
        <v>1.8867924528301886E-2</v>
      </c>
      <c r="AP504" s="9">
        <v>1.8867924528301886E-2</v>
      </c>
      <c r="AQ504" s="9">
        <v>1.8867924528301886E-2</v>
      </c>
      <c r="AR504" s="9">
        <v>1.8867924528301886E-2</v>
      </c>
      <c r="AS504" s="9">
        <v>1.8867924528301886E-2</v>
      </c>
      <c r="AT504" s="9">
        <v>1.8867924528301886E-2</v>
      </c>
      <c r="AU504" s="9">
        <v>1.8867924528301886E-2</v>
      </c>
      <c r="AV504" s="9">
        <v>1.8867924528301886E-2</v>
      </c>
      <c r="AW504" s="9">
        <v>1.8867924528301886E-2</v>
      </c>
      <c r="AX504" s="9">
        <v>1.8867924528301886E-2</v>
      </c>
      <c r="AY504" s="9">
        <v>1.8867924528301886E-2</v>
      </c>
      <c r="AZ504" s="9">
        <v>1.8867924528301886E-2</v>
      </c>
      <c r="BA504" s="9">
        <v>1.8867924528301886E-2</v>
      </c>
      <c r="BB504" s="9">
        <v>1.8867924528301886E-2</v>
      </c>
      <c r="BC504" s="9">
        <v>1.8867924528301886E-2</v>
      </c>
      <c r="BD504" s="9">
        <v>1.8867924528301886E-2</v>
      </c>
      <c r="BE504" s="9">
        <v>1.8867924528301886E-2</v>
      </c>
      <c r="BF504" s="9">
        <v>1.8867924528301886E-2</v>
      </c>
      <c r="BG504" s="9">
        <v>1.8867924528301886E-2</v>
      </c>
      <c r="BH504" s="9">
        <v>1.8867924528301886E-2</v>
      </c>
      <c r="BI504" s="9">
        <v>1.8867924528301886E-2</v>
      </c>
      <c r="BJ504" s="9">
        <v>1.8867924528301886E-2</v>
      </c>
      <c r="BK504" s="9">
        <v>1.8867924528301886E-2</v>
      </c>
      <c r="BL504" s="9">
        <v>1.8867924528301886E-2</v>
      </c>
      <c r="BM504" s="9">
        <v>1.8867924528301886E-2</v>
      </c>
      <c r="BN504" s="9">
        <v>1.8867924528301886E-2</v>
      </c>
      <c r="BO504" s="9">
        <v>1.8867924528301886E-2</v>
      </c>
      <c r="BP504" s="9">
        <v>1.8867924528301886E-2</v>
      </c>
      <c r="BQ504" s="9">
        <v>1.8867924528301886E-2</v>
      </c>
      <c r="BR504" s="9">
        <v>1.8867924528301886E-2</v>
      </c>
      <c r="BS504" s="9">
        <v>1.8867924528301886E-2</v>
      </c>
      <c r="BT504" s="9">
        <v>1.8867924528301886E-2</v>
      </c>
      <c r="BU504" s="9">
        <v>1.8867924528301886E-2</v>
      </c>
      <c r="BV504" s="9">
        <v>1.8867924528301886E-2</v>
      </c>
      <c r="BW504" s="9">
        <v>1.8867924528301886E-2</v>
      </c>
      <c r="BX504" s="9">
        <v>1.8867924528301886E-2</v>
      </c>
    </row>
    <row r="505" spans="1:76">
      <c r="A505" s="3" t="s">
        <v>66</v>
      </c>
      <c r="B505" t="s">
        <v>4327</v>
      </c>
      <c r="D505" t="s">
        <v>4967</v>
      </c>
      <c r="F505" s="91" t="s">
        <v>4973</v>
      </c>
      <c r="H505" s="3" t="s">
        <v>4984</v>
      </c>
      <c r="I505" s="3"/>
      <c r="J505" s="124"/>
      <c r="K505" s="124"/>
      <c r="M505" s="124"/>
      <c r="X505" s="10">
        <v>1.8867924528301886E-2</v>
      </c>
      <c r="Y505" s="9">
        <v>1.8867924528301886E-2</v>
      </c>
      <c r="Z505" s="9">
        <v>1.8867924528301886E-2</v>
      </c>
      <c r="AA505" s="9">
        <v>1.8867924528301886E-2</v>
      </c>
      <c r="AB505" s="9">
        <v>1.8867924528301886E-2</v>
      </c>
      <c r="AC505" s="9">
        <v>1.8867924528301886E-2</v>
      </c>
      <c r="AD505" s="9">
        <v>1.8867924528301886E-2</v>
      </c>
      <c r="AE505" s="9">
        <v>1.8867924528301886E-2</v>
      </c>
      <c r="AF505" s="9">
        <v>1.8867924528301886E-2</v>
      </c>
      <c r="AG505" s="9">
        <v>1.8867924528301886E-2</v>
      </c>
      <c r="AH505" s="9">
        <v>1.8867924528301886E-2</v>
      </c>
      <c r="AI505" s="9">
        <v>1.8867924528301886E-2</v>
      </c>
      <c r="AJ505" s="9">
        <v>1.8867924528301886E-2</v>
      </c>
      <c r="AK505" s="9">
        <v>1.8867924528301886E-2</v>
      </c>
      <c r="AL505" s="9">
        <v>1.8867924528301886E-2</v>
      </c>
      <c r="AM505" s="9">
        <v>1.8867924528301886E-2</v>
      </c>
      <c r="AN505" s="9">
        <v>1.8867924528301886E-2</v>
      </c>
      <c r="AO505" s="9">
        <v>1.8867924528301886E-2</v>
      </c>
      <c r="AP505" s="9">
        <v>1.8867924528301886E-2</v>
      </c>
      <c r="AQ505" s="9">
        <v>1.8867924528301886E-2</v>
      </c>
      <c r="AR505" s="9">
        <v>1.8867924528301886E-2</v>
      </c>
      <c r="AS505" s="9">
        <v>1.8867924528301886E-2</v>
      </c>
      <c r="AT505" s="9">
        <v>1.8867924528301886E-2</v>
      </c>
      <c r="AU505" s="9">
        <v>1.8867924528301886E-2</v>
      </c>
      <c r="AV505" s="9">
        <v>1.8867924528301886E-2</v>
      </c>
      <c r="AW505" s="9">
        <v>1.8867924528301886E-2</v>
      </c>
      <c r="AX505" s="9">
        <v>1.8867924528301886E-2</v>
      </c>
      <c r="AY505" s="9">
        <v>1.8867924528301886E-2</v>
      </c>
      <c r="AZ505" s="9">
        <v>1.8867924528301886E-2</v>
      </c>
      <c r="BA505" s="9">
        <v>1.8867924528301886E-2</v>
      </c>
      <c r="BB505" s="9">
        <v>1.8867924528301886E-2</v>
      </c>
      <c r="BC505" s="9">
        <v>1.8867924528301886E-2</v>
      </c>
      <c r="BD505" s="9">
        <v>1.8867924528301886E-2</v>
      </c>
      <c r="BE505" s="9">
        <v>1.8867924528301886E-2</v>
      </c>
      <c r="BF505" s="9">
        <v>1.8867924528301886E-2</v>
      </c>
      <c r="BG505" s="9">
        <v>1.8867924528301886E-2</v>
      </c>
      <c r="BH505" s="9">
        <v>1.8867924528301886E-2</v>
      </c>
      <c r="BI505" s="9">
        <v>1.8867924528301886E-2</v>
      </c>
      <c r="BJ505" s="9">
        <v>1.8867924528301886E-2</v>
      </c>
      <c r="BK505" s="9">
        <v>1.8867924528301886E-2</v>
      </c>
      <c r="BL505" s="9">
        <v>1.8867924528301886E-2</v>
      </c>
      <c r="BM505" s="9">
        <v>1.8867924528301886E-2</v>
      </c>
      <c r="BN505" s="9">
        <v>1.8867924528301886E-2</v>
      </c>
      <c r="BO505" s="9">
        <v>1.8867924528301886E-2</v>
      </c>
      <c r="BP505" s="9">
        <v>1.8867924528301886E-2</v>
      </c>
      <c r="BQ505" s="9">
        <v>1.8867924528301886E-2</v>
      </c>
      <c r="BR505" s="9">
        <v>1.8867924528301886E-2</v>
      </c>
      <c r="BS505" s="9">
        <v>1.8867924528301886E-2</v>
      </c>
      <c r="BT505" s="9">
        <v>1.8867924528301886E-2</v>
      </c>
      <c r="BU505" s="9">
        <v>1.8867924528301886E-2</v>
      </c>
      <c r="BV505" s="9">
        <v>1.8867924528301886E-2</v>
      </c>
      <c r="BW505" s="9">
        <v>1.8867924528301886E-2</v>
      </c>
      <c r="BX505" s="9">
        <v>1.8867924528301886E-2</v>
      </c>
    </row>
    <row r="506" spans="1:76">
      <c r="A506" s="3" t="s">
        <v>66</v>
      </c>
      <c r="B506" t="s">
        <v>4307</v>
      </c>
      <c r="D506" t="s">
        <v>4967</v>
      </c>
      <c r="F506" s="91" t="s">
        <v>4973</v>
      </c>
      <c r="H506" s="3" t="s">
        <v>4984</v>
      </c>
      <c r="I506" s="3"/>
      <c r="J506" s="124"/>
      <c r="K506" s="124"/>
      <c r="M506" s="124"/>
      <c r="X506" s="10">
        <v>1.8867924528301886E-2</v>
      </c>
      <c r="Y506" s="9">
        <v>1.8867924528301886E-2</v>
      </c>
      <c r="Z506" s="9">
        <v>1.8867924528301886E-2</v>
      </c>
      <c r="AA506" s="9">
        <v>1.8867924528301886E-2</v>
      </c>
      <c r="AB506" s="9">
        <v>1.8867924528301886E-2</v>
      </c>
      <c r="AC506" s="9">
        <v>1.8867924528301886E-2</v>
      </c>
      <c r="AD506" s="9">
        <v>1.8867924528301886E-2</v>
      </c>
      <c r="AE506" s="9">
        <v>1.8867924528301886E-2</v>
      </c>
      <c r="AF506" s="9">
        <v>1.8867924528301886E-2</v>
      </c>
      <c r="AG506" s="9">
        <v>1.8867924528301886E-2</v>
      </c>
      <c r="AH506" s="9">
        <v>1.8867924528301886E-2</v>
      </c>
      <c r="AI506" s="9">
        <v>1.8867924528301886E-2</v>
      </c>
      <c r="AJ506" s="9">
        <v>1.8867924528301886E-2</v>
      </c>
      <c r="AK506" s="9">
        <v>1.8867924528301886E-2</v>
      </c>
      <c r="AL506" s="9">
        <v>1.8867924528301886E-2</v>
      </c>
      <c r="AM506" s="9">
        <v>1.8867924528301886E-2</v>
      </c>
      <c r="AN506" s="9">
        <v>1.8867924528301886E-2</v>
      </c>
      <c r="AO506" s="9">
        <v>1.8867924528301886E-2</v>
      </c>
      <c r="AP506" s="9">
        <v>1.8867924528301886E-2</v>
      </c>
      <c r="AQ506" s="9">
        <v>1.8867924528301886E-2</v>
      </c>
      <c r="AR506" s="9">
        <v>1.8867924528301886E-2</v>
      </c>
      <c r="AS506" s="9">
        <v>1.8867924528301886E-2</v>
      </c>
      <c r="AT506" s="9">
        <v>1.8867924528301886E-2</v>
      </c>
      <c r="AU506" s="9">
        <v>1.8867924528301886E-2</v>
      </c>
      <c r="AV506" s="9">
        <v>1.8867924528301886E-2</v>
      </c>
      <c r="AW506" s="9">
        <v>1.8867924528301886E-2</v>
      </c>
      <c r="AX506" s="9">
        <v>1.8867924528301886E-2</v>
      </c>
      <c r="AY506" s="9">
        <v>1.8867924528301886E-2</v>
      </c>
      <c r="AZ506" s="9">
        <v>1.8867924528301886E-2</v>
      </c>
      <c r="BA506" s="9">
        <v>1.8867924528301886E-2</v>
      </c>
      <c r="BB506" s="9">
        <v>1.8867924528301886E-2</v>
      </c>
      <c r="BC506" s="9">
        <v>1.8867924528301886E-2</v>
      </c>
      <c r="BD506" s="9">
        <v>1.8867924528301886E-2</v>
      </c>
      <c r="BE506" s="9">
        <v>1.8867924528301886E-2</v>
      </c>
      <c r="BF506" s="9">
        <v>1.8867924528301886E-2</v>
      </c>
      <c r="BG506" s="9">
        <v>1.8867924528301886E-2</v>
      </c>
      <c r="BH506" s="9">
        <v>1.8867924528301886E-2</v>
      </c>
      <c r="BI506" s="9">
        <v>1.8867924528301886E-2</v>
      </c>
      <c r="BJ506" s="9">
        <v>1.8867924528301886E-2</v>
      </c>
      <c r="BK506" s="9">
        <v>1.8867924528301886E-2</v>
      </c>
      <c r="BL506" s="9">
        <v>1.8867924528301886E-2</v>
      </c>
      <c r="BM506" s="9">
        <v>1.8867924528301886E-2</v>
      </c>
      <c r="BN506" s="9">
        <v>1.8867924528301886E-2</v>
      </c>
      <c r="BO506" s="9">
        <v>1.8867924528301886E-2</v>
      </c>
      <c r="BP506" s="9">
        <v>1.8867924528301886E-2</v>
      </c>
      <c r="BQ506" s="9">
        <v>1.8867924528301886E-2</v>
      </c>
      <c r="BR506" s="9">
        <v>1.8867924528301886E-2</v>
      </c>
      <c r="BS506" s="9">
        <v>1.8867924528301886E-2</v>
      </c>
      <c r="BT506" s="9">
        <v>1.8867924528301886E-2</v>
      </c>
      <c r="BU506" s="9">
        <v>1.8867924528301886E-2</v>
      </c>
      <c r="BV506" s="9">
        <v>1.8867924528301886E-2</v>
      </c>
      <c r="BW506" s="9">
        <v>1.8867924528301886E-2</v>
      </c>
      <c r="BX506" s="9">
        <v>1.8867924528301886E-2</v>
      </c>
    </row>
    <row r="507" spans="1:76">
      <c r="A507" s="3" t="s">
        <v>66</v>
      </c>
      <c r="B507" t="s">
        <v>4497</v>
      </c>
      <c r="D507" t="s">
        <v>4967</v>
      </c>
      <c r="F507" s="91" t="s">
        <v>4973</v>
      </c>
      <c r="H507" s="3" t="s">
        <v>4984</v>
      </c>
      <c r="I507" s="3"/>
      <c r="J507" s="124"/>
      <c r="K507" s="124"/>
      <c r="M507" s="124"/>
      <c r="X507" s="10">
        <v>1.8867924528301886E-2</v>
      </c>
      <c r="Y507" s="9">
        <v>1.8867924528301886E-2</v>
      </c>
      <c r="Z507" s="9">
        <v>1.8867924528301886E-2</v>
      </c>
      <c r="AA507" s="9">
        <v>1.8867924528301886E-2</v>
      </c>
      <c r="AB507" s="9">
        <v>1.8867924528301886E-2</v>
      </c>
      <c r="AC507" s="9">
        <v>1.8867924528301886E-2</v>
      </c>
      <c r="AD507" s="9">
        <v>1.8867924528301886E-2</v>
      </c>
      <c r="AE507" s="9">
        <v>1.8867924528301886E-2</v>
      </c>
      <c r="AF507" s="9">
        <v>1.8867924528301886E-2</v>
      </c>
      <c r="AG507" s="9">
        <v>1.8867924528301886E-2</v>
      </c>
      <c r="AH507" s="9">
        <v>1.8867924528301886E-2</v>
      </c>
      <c r="AI507" s="9">
        <v>1.8867924528301886E-2</v>
      </c>
      <c r="AJ507" s="9">
        <v>1.8867924528301886E-2</v>
      </c>
      <c r="AK507" s="9">
        <v>1.8867924528301886E-2</v>
      </c>
      <c r="AL507" s="9">
        <v>1.8867924528301886E-2</v>
      </c>
      <c r="AM507" s="9">
        <v>1.8867924528301886E-2</v>
      </c>
      <c r="AN507" s="9">
        <v>1.8867924528301886E-2</v>
      </c>
      <c r="AO507" s="9">
        <v>1.8867924528301886E-2</v>
      </c>
      <c r="AP507" s="9">
        <v>1.8867924528301886E-2</v>
      </c>
      <c r="AQ507" s="9">
        <v>1.8867924528301886E-2</v>
      </c>
      <c r="AR507" s="9">
        <v>1.8867924528301886E-2</v>
      </c>
      <c r="AS507" s="9">
        <v>1.8867924528301886E-2</v>
      </c>
      <c r="AT507" s="9">
        <v>1.8867924528301886E-2</v>
      </c>
      <c r="AU507" s="9">
        <v>1.8867924528301886E-2</v>
      </c>
      <c r="AV507" s="9">
        <v>1.8867924528301886E-2</v>
      </c>
      <c r="AW507" s="9">
        <v>1.8867924528301886E-2</v>
      </c>
      <c r="AX507" s="9">
        <v>1.8867924528301886E-2</v>
      </c>
      <c r="AY507" s="9">
        <v>1.8867924528301886E-2</v>
      </c>
      <c r="AZ507" s="9">
        <v>1.8867924528301886E-2</v>
      </c>
      <c r="BA507" s="9">
        <v>1.8867924528301886E-2</v>
      </c>
      <c r="BB507" s="9">
        <v>1.8867924528301886E-2</v>
      </c>
      <c r="BC507" s="9">
        <v>1.8867924528301886E-2</v>
      </c>
      <c r="BD507" s="9">
        <v>1.8867924528301886E-2</v>
      </c>
      <c r="BE507" s="9">
        <v>1.8867924528301886E-2</v>
      </c>
      <c r="BF507" s="9">
        <v>1.8867924528301886E-2</v>
      </c>
      <c r="BG507" s="9">
        <v>1.8867924528301886E-2</v>
      </c>
      <c r="BH507" s="9">
        <v>1.8867924528301886E-2</v>
      </c>
      <c r="BI507" s="9">
        <v>1.8867924528301886E-2</v>
      </c>
      <c r="BJ507" s="9">
        <v>1.8867924528301886E-2</v>
      </c>
      <c r="BK507" s="9">
        <v>1.8867924528301886E-2</v>
      </c>
      <c r="BL507" s="9">
        <v>1.8867924528301886E-2</v>
      </c>
      <c r="BM507" s="9">
        <v>1.8867924528301886E-2</v>
      </c>
      <c r="BN507" s="9">
        <v>1.8867924528301886E-2</v>
      </c>
      <c r="BO507" s="9">
        <v>1.8867924528301886E-2</v>
      </c>
      <c r="BP507" s="9">
        <v>1.8867924528301886E-2</v>
      </c>
      <c r="BQ507" s="9">
        <v>1.8867924528301886E-2</v>
      </c>
      <c r="BR507" s="9">
        <v>1.8867924528301886E-2</v>
      </c>
      <c r="BS507" s="9">
        <v>1.8867924528301886E-2</v>
      </c>
      <c r="BT507" s="9">
        <v>1.8867924528301886E-2</v>
      </c>
      <c r="BU507" s="9">
        <v>1.8867924528301886E-2</v>
      </c>
      <c r="BV507" s="9">
        <v>1.8867924528301886E-2</v>
      </c>
      <c r="BW507" s="9">
        <v>1.8867924528301886E-2</v>
      </c>
      <c r="BX507" s="9">
        <v>1.8867924528301886E-2</v>
      </c>
    </row>
    <row r="508" spans="1:76">
      <c r="A508" s="3" t="s">
        <v>66</v>
      </c>
      <c r="B508" t="s">
        <v>4500</v>
      </c>
      <c r="D508" t="s">
        <v>4967</v>
      </c>
      <c r="F508" s="91" t="s">
        <v>4973</v>
      </c>
      <c r="H508" s="3" t="s">
        <v>4984</v>
      </c>
      <c r="I508" s="3"/>
      <c r="J508" s="124"/>
      <c r="K508" s="124"/>
      <c r="M508" s="124"/>
      <c r="X508" s="10">
        <v>1.8867924528301886E-2</v>
      </c>
      <c r="Y508" s="9">
        <v>1.8867924528301886E-2</v>
      </c>
      <c r="Z508" s="9">
        <v>1.8867924528301886E-2</v>
      </c>
      <c r="AA508" s="9">
        <v>1.8867924528301886E-2</v>
      </c>
      <c r="AB508" s="9">
        <v>1.8867924528301886E-2</v>
      </c>
      <c r="AC508" s="9">
        <v>1.8867924528301886E-2</v>
      </c>
      <c r="AD508" s="9">
        <v>1.8867924528301886E-2</v>
      </c>
      <c r="AE508" s="9">
        <v>1.8867924528301886E-2</v>
      </c>
      <c r="AF508" s="9">
        <v>1.8867924528301886E-2</v>
      </c>
      <c r="AG508" s="9">
        <v>1.8867924528301886E-2</v>
      </c>
      <c r="AH508" s="9">
        <v>1.8867924528301886E-2</v>
      </c>
      <c r="AI508" s="9">
        <v>1.8867924528301886E-2</v>
      </c>
      <c r="AJ508" s="9">
        <v>1.8867924528301886E-2</v>
      </c>
      <c r="AK508" s="9">
        <v>1.8867924528301886E-2</v>
      </c>
      <c r="AL508" s="9">
        <v>1.8867924528301886E-2</v>
      </c>
      <c r="AM508" s="9">
        <v>1.8867924528301886E-2</v>
      </c>
      <c r="AN508" s="9">
        <v>1.8867924528301886E-2</v>
      </c>
      <c r="AO508" s="9">
        <v>1.8867924528301886E-2</v>
      </c>
      <c r="AP508" s="9">
        <v>1.8867924528301886E-2</v>
      </c>
      <c r="AQ508" s="9">
        <v>1.8867924528301886E-2</v>
      </c>
      <c r="AR508" s="9">
        <v>1.8867924528301886E-2</v>
      </c>
      <c r="AS508" s="9">
        <v>1.8867924528301886E-2</v>
      </c>
      <c r="AT508" s="9">
        <v>1.8867924528301886E-2</v>
      </c>
      <c r="AU508" s="9">
        <v>1.8867924528301886E-2</v>
      </c>
      <c r="AV508" s="9">
        <v>1.8867924528301886E-2</v>
      </c>
      <c r="AW508" s="9">
        <v>1.8867924528301886E-2</v>
      </c>
      <c r="AX508" s="9">
        <v>1.8867924528301886E-2</v>
      </c>
      <c r="AY508" s="9">
        <v>1.8867924528301886E-2</v>
      </c>
      <c r="AZ508" s="9">
        <v>1.8867924528301886E-2</v>
      </c>
      <c r="BA508" s="9">
        <v>1.8867924528301886E-2</v>
      </c>
      <c r="BB508" s="9">
        <v>1.8867924528301886E-2</v>
      </c>
      <c r="BC508" s="9">
        <v>1.8867924528301886E-2</v>
      </c>
      <c r="BD508" s="9">
        <v>1.8867924528301886E-2</v>
      </c>
      <c r="BE508" s="9">
        <v>1.8867924528301886E-2</v>
      </c>
      <c r="BF508" s="9">
        <v>1.8867924528301886E-2</v>
      </c>
      <c r="BG508" s="9">
        <v>1.8867924528301886E-2</v>
      </c>
      <c r="BH508" s="9">
        <v>1.8867924528301886E-2</v>
      </c>
      <c r="BI508" s="9">
        <v>1.8867924528301886E-2</v>
      </c>
      <c r="BJ508" s="9">
        <v>1.8867924528301886E-2</v>
      </c>
      <c r="BK508" s="9">
        <v>1.8867924528301886E-2</v>
      </c>
      <c r="BL508" s="9">
        <v>1.8867924528301886E-2</v>
      </c>
      <c r="BM508" s="9">
        <v>1.8867924528301886E-2</v>
      </c>
      <c r="BN508" s="9">
        <v>1.8867924528301886E-2</v>
      </c>
      <c r="BO508" s="9">
        <v>1.8867924528301886E-2</v>
      </c>
      <c r="BP508" s="9">
        <v>1.8867924528301886E-2</v>
      </c>
      <c r="BQ508" s="9">
        <v>1.8867924528301886E-2</v>
      </c>
      <c r="BR508" s="9">
        <v>1.8867924528301886E-2</v>
      </c>
      <c r="BS508" s="9">
        <v>1.8867924528301886E-2</v>
      </c>
      <c r="BT508" s="9">
        <v>1.8867924528301886E-2</v>
      </c>
      <c r="BU508" s="9">
        <v>1.8867924528301886E-2</v>
      </c>
      <c r="BV508" s="9">
        <v>1.8867924528301886E-2</v>
      </c>
      <c r="BW508" s="9">
        <v>1.8867924528301886E-2</v>
      </c>
      <c r="BX508" s="9">
        <v>1.8867924528301886E-2</v>
      </c>
    </row>
    <row r="509" spans="1:76">
      <c r="A509" s="3" t="s">
        <v>66</v>
      </c>
      <c r="B509" t="s">
        <v>4502</v>
      </c>
      <c r="D509" t="s">
        <v>4967</v>
      </c>
      <c r="F509" s="91" t="s">
        <v>4973</v>
      </c>
      <c r="H509" s="3" t="s">
        <v>4984</v>
      </c>
      <c r="I509" s="3"/>
      <c r="J509" s="124"/>
      <c r="K509" s="124"/>
      <c r="M509" s="124"/>
      <c r="X509" s="10">
        <v>1.8867924528301886E-2</v>
      </c>
      <c r="Y509" s="9">
        <v>1.8867924528301886E-2</v>
      </c>
      <c r="Z509" s="9">
        <v>1.8867924528301886E-2</v>
      </c>
      <c r="AA509" s="9">
        <v>1.8867924528301886E-2</v>
      </c>
      <c r="AB509" s="9">
        <v>1.8867924528301886E-2</v>
      </c>
      <c r="AC509" s="9">
        <v>1.8867924528301886E-2</v>
      </c>
      <c r="AD509" s="9">
        <v>1.8867924528301886E-2</v>
      </c>
      <c r="AE509" s="9">
        <v>1.8867924528301886E-2</v>
      </c>
      <c r="AF509" s="9">
        <v>1.8867924528301886E-2</v>
      </c>
      <c r="AG509" s="9">
        <v>1.8867924528301886E-2</v>
      </c>
      <c r="AH509" s="9">
        <v>1.8867924528301886E-2</v>
      </c>
      <c r="AI509" s="9">
        <v>1.8867924528301886E-2</v>
      </c>
      <c r="AJ509" s="9">
        <v>1.8867924528301886E-2</v>
      </c>
      <c r="AK509" s="9">
        <v>1.8867924528301886E-2</v>
      </c>
      <c r="AL509" s="9">
        <v>1.8867924528301886E-2</v>
      </c>
      <c r="AM509" s="9">
        <v>1.8867924528301886E-2</v>
      </c>
      <c r="AN509" s="9">
        <v>1.8867924528301886E-2</v>
      </c>
      <c r="AO509" s="9">
        <v>1.8867924528301886E-2</v>
      </c>
      <c r="AP509" s="9">
        <v>1.8867924528301886E-2</v>
      </c>
      <c r="AQ509" s="9">
        <v>1.8867924528301886E-2</v>
      </c>
      <c r="AR509" s="9">
        <v>1.8867924528301886E-2</v>
      </c>
      <c r="AS509" s="9">
        <v>1.8867924528301886E-2</v>
      </c>
      <c r="AT509" s="9">
        <v>1.8867924528301886E-2</v>
      </c>
      <c r="AU509" s="9">
        <v>1.8867924528301886E-2</v>
      </c>
      <c r="AV509" s="9">
        <v>1.8867924528301886E-2</v>
      </c>
      <c r="AW509" s="9">
        <v>1.8867924528301886E-2</v>
      </c>
      <c r="AX509" s="9">
        <v>1.8867924528301886E-2</v>
      </c>
      <c r="AY509" s="9">
        <v>1.8867924528301886E-2</v>
      </c>
      <c r="AZ509" s="9">
        <v>1.8867924528301886E-2</v>
      </c>
      <c r="BA509" s="9">
        <v>1.8867924528301886E-2</v>
      </c>
      <c r="BB509" s="9">
        <v>1.8867924528301886E-2</v>
      </c>
      <c r="BC509" s="9">
        <v>1.8867924528301886E-2</v>
      </c>
      <c r="BD509" s="9">
        <v>1.8867924528301886E-2</v>
      </c>
      <c r="BE509" s="9">
        <v>1.8867924528301886E-2</v>
      </c>
      <c r="BF509" s="9">
        <v>1.8867924528301886E-2</v>
      </c>
      <c r="BG509" s="9">
        <v>1.8867924528301886E-2</v>
      </c>
      <c r="BH509" s="9">
        <v>1.8867924528301886E-2</v>
      </c>
      <c r="BI509" s="9">
        <v>1.8867924528301886E-2</v>
      </c>
      <c r="BJ509" s="9">
        <v>1.8867924528301886E-2</v>
      </c>
      <c r="BK509" s="9">
        <v>1.8867924528301886E-2</v>
      </c>
      <c r="BL509" s="9">
        <v>1.8867924528301886E-2</v>
      </c>
      <c r="BM509" s="9">
        <v>1.8867924528301886E-2</v>
      </c>
      <c r="BN509" s="9">
        <v>1.8867924528301886E-2</v>
      </c>
      <c r="BO509" s="9">
        <v>1.8867924528301886E-2</v>
      </c>
      <c r="BP509" s="9">
        <v>1.8867924528301886E-2</v>
      </c>
      <c r="BQ509" s="9">
        <v>1.8867924528301886E-2</v>
      </c>
      <c r="BR509" s="9">
        <v>1.8867924528301886E-2</v>
      </c>
      <c r="BS509" s="9">
        <v>1.8867924528301886E-2</v>
      </c>
      <c r="BT509" s="9">
        <v>1.8867924528301886E-2</v>
      </c>
      <c r="BU509" s="9">
        <v>1.8867924528301886E-2</v>
      </c>
      <c r="BV509" s="9">
        <v>1.8867924528301886E-2</v>
      </c>
      <c r="BW509" s="9">
        <v>1.8867924528301886E-2</v>
      </c>
      <c r="BX509" s="9">
        <v>1.8867924528301886E-2</v>
      </c>
    </row>
    <row r="510" spans="1:76">
      <c r="A510" s="3" t="s">
        <v>66</v>
      </c>
      <c r="B510" t="s">
        <v>4504</v>
      </c>
      <c r="D510" t="s">
        <v>4967</v>
      </c>
      <c r="F510" s="91" t="s">
        <v>4973</v>
      </c>
      <c r="H510" s="3" t="s">
        <v>4984</v>
      </c>
      <c r="I510" s="3"/>
      <c r="J510" s="124"/>
      <c r="K510" s="124"/>
      <c r="M510" s="124"/>
      <c r="X510" s="10">
        <v>1.8867924528301886E-2</v>
      </c>
      <c r="Y510" s="9">
        <v>1.8867924528301886E-2</v>
      </c>
      <c r="Z510" s="9">
        <v>1.8867924528301886E-2</v>
      </c>
      <c r="AA510" s="9">
        <v>1.8867924528301886E-2</v>
      </c>
      <c r="AB510" s="9">
        <v>1.8867924528301886E-2</v>
      </c>
      <c r="AC510" s="9">
        <v>1.8867924528301886E-2</v>
      </c>
      <c r="AD510" s="9">
        <v>1.8867924528301886E-2</v>
      </c>
      <c r="AE510" s="9">
        <v>1.8867924528301886E-2</v>
      </c>
      <c r="AF510" s="9">
        <v>1.8867924528301886E-2</v>
      </c>
      <c r="AG510" s="9">
        <v>1.8867924528301886E-2</v>
      </c>
      <c r="AH510" s="9">
        <v>1.8867924528301886E-2</v>
      </c>
      <c r="AI510" s="9">
        <v>1.8867924528301886E-2</v>
      </c>
      <c r="AJ510" s="9">
        <v>1.8867924528301886E-2</v>
      </c>
      <c r="AK510" s="9">
        <v>1.8867924528301886E-2</v>
      </c>
      <c r="AL510" s="9">
        <v>1.8867924528301886E-2</v>
      </c>
      <c r="AM510" s="9">
        <v>1.8867924528301886E-2</v>
      </c>
      <c r="AN510" s="9">
        <v>1.8867924528301886E-2</v>
      </c>
      <c r="AO510" s="9">
        <v>1.8867924528301886E-2</v>
      </c>
      <c r="AP510" s="9">
        <v>1.8867924528301886E-2</v>
      </c>
      <c r="AQ510" s="9">
        <v>1.8867924528301886E-2</v>
      </c>
      <c r="AR510" s="9">
        <v>1.8867924528301886E-2</v>
      </c>
      <c r="AS510" s="9">
        <v>1.8867924528301886E-2</v>
      </c>
      <c r="AT510" s="9">
        <v>1.8867924528301886E-2</v>
      </c>
      <c r="AU510" s="9">
        <v>1.8867924528301886E-2</v>
      </c>
      <c r="AV510" s="9">
        <v>1.8867924528301886E-2</v>
      </c>
      <c r="AW510" s="9">
        <v>1.8867924528301886E-2</v>
      </c>
      <c r="AX510" s="9">
        <v>1.8867924528301886E-2</v>
      </c>
      <c r="AY510" s="9">
        <v>1.8867924528301886E-2</v>
      </c>
      <c r="AZ510" s="9">
        <v>1.8867924528301886E-2</v>
      </c>
      <c r="BA510" s="9">
        <v>1.8867924528301886E-2</v>
      </c>
      <c r="BB510" s="9">
        <v>1.8867924528301886E-2</v>
      </c>
      <c r="BC510" s="9">
        <v>1.8867924528301886E-2</v>
      </c>
      <c r="BD510" s="9">
        <v>1.8867924528301886E-2</v>
      </c>
      <c r="BE510" s="9">
        <v>1.8867924528301886E-2</v>
      </c>
      <c r="BF510" s="9">
        <v>1.8867924528301886E-2</v>
      </c>
      <c r="BG510" s="9">
        <v>1.8867924528301886E-2</v>
      </c>
      <c r="BH510" s="9">
        <v>1.8867924528301886E-2</v>
      </c>
      <c r="BI510" s="9">
        <v>1.8867924528301886E-2</v>
      </c>
      <c r="BJ510" s="9">
        <v>1.8867924528301886E-2</v>
      </c>
      <c r="BK510" s="9">
        <v>1.8867924528301886E-2</v>
      </c>
      <c r="BL510" s="9">
        <v>1.8867924528301886E-2</v>
      </c>
      <c r="BM510" s="9">
        <v>1.8867924528301886E-2</v>
      </c>
      <c r="BN510" s="9">
        <v>1.8867924528301886E-2</v>
      </c>
      <c r="BO510" s="9">
        <v>1.8867924528301886E-2</v>
      </c>
      <c r="BP510" s="9">
        <v>1.8867924528301886E-2</v>
      </c>
      <c r="BQ510" s="9">
        <v>1.8867924528301886E-2</v>
      </c>
      <c r="BR510" s="9">
        <v>1.8867924528301886E-2</v>
      </c>
      <c r="BS510" s="9">
        <v>1.8867924528301886E-2</v>
      </c>
      <c r="BT510" s="9">
        <v>1.8867924528301886E-2</v>
      </c>
      <c r="BU510" s="9">
        <v>1.8867924528301886E-2</v>
      </c>
      <c r="BV510" s="9">
        <v>1.8867924528301886E-2</v>
      </c>
      <c r="BW510" s="9">
        <v>1.8867924528301886E-2</v>
      </c>
      <c r="BX510" s="9">
        <v>1.8867924528301886E-2</v>
      </c>
    </row>
    <row r="511" spans="1:76">
      <c r="A511" s="3" t="s">
        <v>66</v>
      </c>
      <c r="B511" t="s">
        <v>4508</v>
      </c>
      <c r="D511" t="s">
        <v>4967</v>
      </c>
      <c r="F511" s="91" t="s">
        <v>4973</v>
      </c>
      <c r="H511" s="3" t="s">
        <v>4984</v>
      </c>
      <c r="I511" s="3"/>
      <c r="J511" s="124"/>
      <c r="K511" s="124"/>
      <c r="M511" s="124"/>
      <c r="X511" s="10">
        <v>1.8867924528301886E-2</v>
      </c>
      <c r="Y511" s="9">
        <v>1.8867924528301886E-2</v>
      </c>
      <c r="Z511" s="9">
        <v>1.8867924528301886E-2</v>
      </c>
      <c r="AA511" s="9">
        <v>1.8867924528301886E-2</v>
      </c>
      <c r="AB511" s="9">
        <v>1.8867924528301886E-2</v>
      </c>
      <c r="AC511" s="9">
        <v>1.8867924528301886E-2</v>
      </c>
      <c r="AD511" s="9">
        <v>1.8867924528301886E-2</v>
      </c>
      <c r="AE511" s="9">
        <v>1.8867924528301886E-2</v>
      </c>
      <c r="AF511" s="9">
        <v>1.8867924528301886E-2</v>
      </c>
      <c r="AG511" s="9">
        <v>1.8867924528301886E-2</v>
      </c>
      <c r="AH511" s="9">
        <v>1.8867924528301886E-2</v>
      </c>
      <c r="AI511" s="9">
        <v>1.8867924528301886E-2</v>
      </c>
      <c r="AJ511" s="9">
        <v>1.8867924528301886E-2</v>
      </c>
      <c r="AK511" s="9">
        <v>1.8867924528301886E-2</v>
      </c>
      <c r="AL511" s="9">
        <v>1.8867924528301886E-2</v>
      </c>
      <c r="AM511" s="9">
        <v>1.8867924528301886E-2</v>
      </c>
      <c r="AN511" s="9">
        <v>1.8867924528301886E-2</v>
      </c>
      <c r="AO511" s="9">
        <v>1.8867924528301886E-2</v>
      </c>
      <c r="AP511" s="9">
        <v>1.8867924528301886E-2</v>
      </c>
      <c r="AQ511" s="9">
        <v>1.8867924528301886E-2</v>
      </c>
      <c r="AR511" s="9">
        <v>1.8867924528301886E-2</v>
      </c>
      <c r="AS511" s="9">
        <v>1.8867924528301886E-2</v>
      </c>
      <c r="AT511" s="9">
        <v>1.8867924528301886E-2</v>
      </c>
      <c r="AU511" s="9">
        <v>1.8867924528301886E-2</v>
      </c>
      <c r="AV511" s="9">
        <v>1.8867924528301886E-2</v>
      </c>
      <c r="AW511" s="9">
        <v>1.8867924528301886E-2</v>
      </c>
      <c r="AX511" s="9">
        <v>1.8867924528301886E-2</v>
      </c>
      <c r="AY511" s="9">
        <v>1.8867924528301886E-2</v>
      </c>
      <c r="AZ511" s="9">
        <v>1.8867924528301886E-2</v>
      </c>
      <c r="BA511" s="9">
        <v>1.8867924528301886E-2</v>
      </c>
      <c r="BB511" s="9">
        <v>1.8867924528301886E-2</v>
      </c>
      <c r="BC511" s="9">
        <v>1.8867924528301886E-2</v>
      </c>
      <c r="BD511" s="9">
        <v>1.8867924528301886E-2</v>
      </c>
      <c r="BE511" s="9">
        <v>1.8867924528301886E-2</v>
      </c>
      <c r="BF511" s="9">
        <v>1.8867924528301886E-2</v>
      </c>
      <c r="BG511" s="9">
        <v>1.8867924528301886E-2</v>
      </c>
      <c r="BH511" s="9">
        <v>1.8867924528301886E-2</v>
      </c>
      <c r="BI511" s="9">
        <v>1.8867924528301886E-2</v>
      </c>
      <c r="BJ511" s="9">
        <v>1.8867924528301886E-2</v>
      </c>
      <c r="BK511" s="9">
        <v>1.8867924528301886E-2</v>
      </c>
      <c r="BL511" s="9">
        <v>1.8867924528301886E-2</v>
      </c>
      <c r="BM511" s="9">
        <v>1.8867924528301886E-2</v>
      </c>
      <c r="BN511" s="9">
        <v>1.8867924528301886E-2</v>
      </c>
      <c r="BO511" s="9">
        <v>1.8867924528301886E-2</v>
      </c>
      <c r="BP511" s="9">
        <v>1.8867924528301886E-2</v>
      </c>
      <c r="BQ511" s="9">
        <v>1.8867924528301886E-2</v>
      </c>
      <c r="BR511" s="9">
        <v>1.8867924528301886E-2</v>
      </c>
      <c r="BS511" s="9">
        <v>1.8867924528301886E-2</v>
      </c>
      <c r="BT511" s="9">
        <v>1.8867924528301886E-2</v>
      </c>
      <c r="BU511" s="9">
        <v>1.8867924528301886E-2</v>
      </c>
      <c r="BV511" s="9">
        <v>1.8867924528301886E-2</v>
      </c>
      <c r="BW511" s="9">
        <v>1.8867924528301886E-2</v>
      </c>
      <c r="BX511" s="9">
        <v>1.8867924528301886E-2</v>
      </c>
    </row>
    <row r="512" spans="1:76">
      <c r="A512" s="3" t="s">
        <v>66</v>
      </c>
      <c r="B512" t="s">
        <v>4506</v>
      </c>
      <c r="D512" t="s">
        <v>4967</v>
      </c>
      <c r="F512" s="91" t="s">
        <v>4973</v>
      </c>
      <c r="H512" s="3" t="s">
        <v>4984</v>
      </c>
      <c r="I512" s="3"/>
      <c r="J512" s="124"/>
      <c r="K512" s="124"/>
      <c r="M512" s="124"/>
      <c r="X512" s="10">
        <v>1.8867924528301886E-2</v>
      </c>
      <c r="Y512" s="9">
        <v>1.8867924528301886E-2</v>
      </c>
      <c r="Z512" s="9">
        <v>1.8867924528301886E-2</v>
      </c>
      <c r="AA512" s="9">
        <v>1.8867924528301886E-2</v>
      </c>
      <c r="AB512" s="9">
        <v>1.8867924528301886E-2</v>
      </c>
      <c r="AC512" s="9">
        <v>1.8867924528301886E-2</v>
      </c>
      <c r="AD512" s="9">
        <v>1.8867924528301886E-2</v>
      </c>
      <c r="AE512" s="9">
        <v>1.8867924528301886E-2</v>
      </c>
      <c r="AF512" s="9">
        <v>1.8867924528301886E-2</v>
      </c>
      <c r="AG512" s="9">
        <v>1.8867924528301886E-2</v>
      </c>
      <c r="AH512" s="9">
        <v>1.8867924528301886E-2</v>
      </c>
      <c r="AI512" s="9">
        <v>1.8867924528301886E-2</v>
      </c>
      <c r="AJ512" s="9">
        <v>1.8867924528301886E-2</v>
      </c>
      <c r="AK512" s="9">
        <v>1.8867924528301886E-2</v>
      </c>
      <c r="AL512" s="9">
        <v>1.8867924528301886E-2</v>
      </c>
      <c r="AM512" s="9">
        <v>1.8867924528301886E-2</v>
      </c>
      <c r="AN512" s="9">
        <v>1.8867924528301886E-2</v>
      </c>
      <c r="AO512" s="9">
        <v>1.8867924528301886E-2</v>
      </c>
      <c r="AP512" s="9">
        <v>1.8867924528301886E-2</v>
      </c>
      <c r="AQ512" s="9">
        <v>1.8867924528301886E-2</v>
      </c>
      <c r="AR512" s="9">
        <v>1.8867924528301886E-2</v>
      </c>
      <c r="AS512" s="9">
        <v>1.8867924528301886E-2</v>
      </c>
      <c r="AT512" s="9">
        <v>1.8867924528301886E-2</v>
      </c>
      <c r="AU512" s="9">
        <v>1.8867924528301886E-2</v>
      </c>
      <c r="AV512" s="9">
        <v>1.8867924528301886E-2</v>
      </c>
      <c r="AW512" s="9">
        <v>1.8867924528301886E-2</v>
      </c>
      <c r="AX512" s="9">
        <v>1.8867924528301886E-2</v>
      </c>
      <c r="AY512" s="9">
        <v>1.8867924528301886E-2</v>
      </c>
      <c r="AZ512" s="9">
        <v>1.8867924528301886E-2</v>
      </c>
      <c r="BA512" s="9">
        <v>1.8867924528301886E-2</v>
      </c>
      <c r="BB512" s="9">
        <v>1.8867924528301886E-2</v>
      </c>
      <c r="BC512" s="9">
        <v>1.8867924528301886E-2</v>
      </c>
      <c r="BD512" s="9">
        <v>1.8867924528301886E-2</v>
      </c>
      <c r="BE512" s="9">
        <v>1.8867924528301886E-2</v>
      </c>
      <c r="BF512" s="9">
        <v>1.8867924528301886E-2</v>
      </c>
      <c r="BG512" s="9">
        <v>1.8867924528301886E-2</v>
      </c>
      <c r="BH512" s="9">
        <v>1.8867924528301886E-2</v>
      </c>
      <c r="BI512" s="9">
        <v>1.8867924528301886E-2</v>
      </c>
      <c r="BJ512" s="9">
        <v>1.8867924528301886E-2</v>
      </c>
      <c r="BK512" s="9">
        <v>1.8867924528301886E-2</v>
      </c>
      <c r="BL512" s="9">
        <v>1.8867924528301886E-2</v>
      </c>
      <c r="BM512" s="9">
        <v>1.8867924528301886E-2</v>
      </c>
      <c r="BN512" s="9">
        <v>1.8867924528301886E-2</v>
      </c>
      <c r="BO512" s="9">
        <v>1.8867924528301886E-2</v>
      </c>
      <c r="BP512" s="9">
        <v>1.8867924528301886E-2</v>
      </c>
      <c r="BQ512" s="9">
        <v>1.8867924528301886E-2</v>
      </c>
      <c r="BR512" s="9">
        <v>1.8867924528301886E-2</v>
      </c>
      <c r="BS512" s="9">
        <v>1.8867924528301886E-2</v>
      </c>
      <c r="BT512" s="9">
        <v>1.8867924528301886E-2</v>
      </c>
      <c r="BU512" s="9">
        <v>1.8867924528301886E-2</v>
      </c>
      <c r="BV512" s="9">
        <v>1.8867924528301886E-2</v>
      </c>
      <c r="BW512" s="9">
        <v>1.8867924528301886E-2</v>
      </c>
      <c r="BX512" s="9">
        <v>1.8867924528301886E-2</v>
      </c>
    </row>
    <row r="513" spans="1:76">
      <c r="A513" s="3" t="s">
        <v>66</v>
      </c>
      <c r="B513" t="s">
        <v>5271</v>
      </c>
      <c r="D513" t="s">
        <v>4967</v>
      </c>
      <c r="F513" s="91" t="s">
        <v>4973</v>
      </c>
      <c r="H513" s="3" t="s">
        <v>4984</v>
      </c>
      <c r="I513" s="3"/>
      <c r="J513" s="124"/>
      <c r="K513" s="124"/>
      <c r="M513" s="124"/>
      <c r="X513" s="10">
        <v>1.8867924528301886E-2</v>
      </c>
      <c r="Y513" s="9">
        <v>1.8867924528301886E-2</v>
      </c>
      <c r="Z513" s="9">
        <v>1.8867924528301886E-2</v>
      </c>
      <c r="AA513" s="9">
        <v>1.8867924528301886E-2</v>
      </c>
      <c r="AB513" s="9">
        <v>1.8867924528301886E-2</v>
      </c>
      <c r="AC513" s="9">
        <v>1.8867924528301886E-2</v>
      </c>
      <c r="AD513" s="9">
        <v>1.8867924528301886E-2</v>
      </c>
      <c r="AE513" s="9">
        <v>1.8867924528301886E-2</v>
      </c>
      <c r="AF513" s="9">
        <v>1.8867924528301886E-2</v>
      </c>
      <c r="AG513" s="9">
        <v>1.8867924528301886E-2</v>
      </c>
      <c r="AH513" s="9">
        <v>1.8867924528301886E-2</v>
      </c>
      <c r="AI513" s="9">
        <v>1.8867924528301886E-2</v>
      </c>
      <c r="AJ513" s="9">
        <v>1.8867924528301886E-2</v>
      </c>
      <c r="AK513" s="9">
        <v>1.8867924528301886E-2</v>
      </c>
      <c r="AL513" s="9">
        <v>1.8867924528301886E-2</v>
      </c>
      <c r="AM513" s="9">
        <v>1.8867924528301886E-2</v>
      </c>
      <c r="AN513" s="9">
        <v>1.8867924528301886E-2</v>
      </c>
      <c r="AO513" s="9">
        <v>1.8867924528301886E-2</v>
      </c>
      <c r="AP513" s="9">
        <v>1.8867924528301886E-2</v>
      </c>
      <c r="AQ513" s="9">
        <v>1.8867924528301886E-2</v>
      </c>
      <c r="AR513" s="9">
        <v>1.8867924528301886E-2</v>
      </c>
      <c r="AS513" s="9">
        <v>1.8867924528301886E-2</v>
      </c>
      <c r="AT513" s="9">
        <v>1.8867924528301886E-2</v>
      </c>
      <c r="AU513" s="9">
        <v>1.8867924528301886E-2</v>
      </c>
      <c r="AV513" s="9">
        <v>1.8867924528301886E-2</v>
      </c>
      <c r="AW513" s="9">
        <v>1.8867924528301886E-2</v>
      </c>
      <c r="AX513" s="9">
        <v>1.8867924528301886E-2</v>
      </c>
      <c r="AY513" s="9">
        <v>1.8867924528301886E-2</v>
      </c>
      <c r="AZ513" s="9">
        <v>1.8867924528301886E-2</v>
      </c>
      <c r="BA513" s="9">
        <v>1.8867924528301886E-2</v>
      </c>
      <c r="BB513" s="9">
        <v>1.8867924528301886E-2</v>
      </c>
      <c r="BC513" s="9">
        <v>1.8867924528301886E-2</v>
      </c>
      <c r="BD513" s="9">
        <v>1.8867924528301886E-2</v>
      </c>
      <c r="BE513" s="9">
        <v>1.8867924528301886E-2</v>
      </c>
      <c r="BF513" s="9">
        <v>1.8867924528301886E-2</v>
      </c>
      <c r="BG513" s="9">
        <v>1.8867924528301886E-2</v>
      </c>
      <c r="BH513" s="9">
        <v>1.8867924528301886E-2</v>
      </c>
      <c r="BI513" s="9">
        <v>1.8867924528301886E-2</v>
      </c>
      <c r="BJ513" s="9">
        <v>1.8867924528301886E-2</v>
      </c>
      <c r="BK513" s="9">
        <v>1.8867924528301886E-2</v>
      </c>
      <c r="BL513" s="9">
        <v>1.8867924528301886E-2</v>
      </c>
      <c r="BM513" s="9">
        <v>1.8867924528301886E-2</v>
      </c>
      <c r="BN513" s="9">
        <v>1.8867924528301886E-2</v>
      </c>
      <c r="BO513" s="9">
        <v>1.8867924528301886E-2</v>
      </c>
      <c r="BP513" s="9">
        <v>1.8867924528301886E-2</v>
      </c>
      <c r="BQ513" s="9">
        <v>1.8867924528301886E-2</v>
      </c>
      <c r="BR513" s="9">
        <v>1.8867924528301886E-2</v>
      </c>
      <c r="BS513" s="9">
        <v>1.8867924528301886E-2</v>
      </c>
      <c r="BT513" s="9">
        <v>1.8867924528301886E-2</v>
      </c>
      <c r="BU513" s="9">
        <v>1.8867924528301886E-2</v>
      </c>
      <c r="BV513" s="9">
        <v>1.8867924528301886E-2</v>
      </c>
      <c r="BW513" s="9">
        <v>1.8867924528301886E-2</v>
      </c>
      <c r="BX513" s="9">
        <v>1.8867924528301886E-2</v>
      </c>
    </row>
    <row r="514" spans="1:76">
      <c r="A514" s="3" t="s">
        <v>66</v>
      </c>
      <c r="B514" t="s">
        <v>4817</v>
      </c>
      <c r="D514" t="s">
        <v>4967</v>
      </c>
      <c r="F514" s="91" t="s">
        <v>4973</v>
      </c>
      <c r="H514" s="3" t="s">
        <v>4984</v>
      </c>
      <c r="I514" s="3"/>
      <c r="J514" s="124"/>
      <c r="K514" s="124"/>
      <c r="M514" s="124"/>
      <c r="X514" s="10">
        <v>1.8867924528301886E-2</v>
      </c>
      <c r="Y514" s="9">
        <v>1.8867924528301886E-2</v>
      </c>
      <c r="Z514" s="9">
        <v>1.8867924528301886E-2</v>
      </c>
      <c r="AA514" s="9">
        <v>1.8867924528301886E-2</v>
      </c>
      <c r="AB514" s="9">
        <v>1.8867924528301886E-2</v>
      </c>
      <c r="AC514" s="9">
        <v>1.8867924528301886E-2</v>
      </c>
      <c r="AD514" s="9">
        <v>1.8867924528301886E-2</v>
      </c>
      <c r="AE514" s="9">
        <v>1.8867924528301886E-2</v>
      </c>
      <c r="AF514" s="9">
        <v>1.8867924528301886E-2</v>
      </c>
      <c r="AG514" s="9">
        <v>1.8867924528301886E-2</v>
      </c>
      <c r="AH514" s="9">
        <v>1.8867924528301886E-2</v>
      </c>
      <c r="AI514" s="9">
        <v>1.8867924528301886E-2</v>
      </c>
      <c r="AJ514" s="9">
        <v>1.8867924528301886E-2</v>
      </c>
      <c r="AK514" s="9">
        <v>1.8867924528301886E-2</v>
      </c>
      <c r="AL514" s="9">
        <v>1.8867924528301886E-2</v>
      </c>
      <c r="AM514" s="9">
        <v>1.8867924528301886E-2</v>
      </c>
      <c r="AN514" s="9">
        <v>1.8867924528301886E-2</v>
      </c>
      <c r="AO514" s="9">
        <v>1.8867924528301886E-2</v>
      </c>
      <c r="AP514" s="9">
        <v>1.8867924528301886E-2</v>
      </c>
      <c r="AQ514" s="9">
        <v>1.8867924528301886E-2</v>
      </c>
      <c r="AR514" s="9">
        <v>1.8867924528301886E-2</v>
      </c>
      <c r="AS514" s="9">
        <v>1.8867924528301886E-2</v>
      </c>
      <c r="AT514" s="9">
        <v>1.8867924528301886E-2</v>
      </c>
      <c r="AU514" s="9">
        <v>1.8867924528301886E-2</v>
      </c>
      <c r="AV514" s="9">
        <v>1.8867924528301886E-2</v>
      </c>
      <c r="AW514" s="9">
        <v>1.8867924528301886E-2</v>
      </c>
      <c r="AX514" s="9">
        <v>1.8867924528301886E-2</v>
      </c>
      <c r="AY514" s="9">
        <v>1.8867924528301886E-2</v>
      </c>
      <c r="AZ514" s="9">
        <v>1.8867924528301886E-2</v>
      </c>
      <c r="BA514" s="9">
        <v>1.8867924528301886E-2</v>
      </c>
      <c r="BB514" s="9">
        <v>1.8867924528301886E-2</v>
      </c>
      <c r="BC514" s="9">
        <v>1.8867924528301886E-2</v>
      </c>
      <c r="BD514" s="9">
        <v>1.8867924528301886E-2</v>
      </c>
      <c r="BE514" s="9">
        <v>1.8867924528301886E-2</v>
      </c>
      <c r="BF514" s="9">
        <v>1.8867924528301886E-2</v>
      </c>
      <c r="BG514" s="9">
        <v>1.8867924528301886E-2</v>
      </c>
      <c r="BH514" s="9">
        <v>1.8867924528301886E-2</v>
      </c>
      <c r="BI514" s="9">
        <v>1.8867924528301886E-2</v>
      </c>
      <c r="BJ514" s="9">
        <v>1.8867924528301886E-2</v>
      </c>
      <c r="BK514" s="9">
        <v>1.8867924528301886E-2</v>
      </c>
      <c r="BL514" s="9">
        <v>1.8867924528301886E-2</v>
      </c>
      <c r="BM514" s="9">
        <v>1.8867924528301886E-2</v>
      </c>
      <c r="BN514" s="9">
        <v>1.8867924528301886E-2</v>
      </c>
      <c r="BO514" s="9">
        <v>1.8867924528301886E-2</v>
      </c>
      <c r="BP514" s="9">
        <v>1.8867924528301886E-2</v>
      </c>
      <c r="BQ514" s="9">
        <v>1.8867924528301886E-2</v>
      </c>
      <c r="BR514" s="9">
        <v>1.8867924528301886E-2</v>
      </c>
      <c r="BS514" s="9">
        <v>1.8867924528301886E-2</v>
      </c>
      <c r="BT514" s="9">
        <v>1.8867924528301886E-2</v>
      </c>
      <c r="BU514" s="9">
        <v>1.8867924528301886E-2</v>
      </c>
      <c r="BV514" s="9">
        <v>1.8867924528301886E-2</v>
      </c>
      <c r="BW514" s="9">
        <v>1.8867924528301886E-2</v>
      </c>
      <c r="BX514" s="9">
        <v>1.8867924528301886E-2</v>
      </c>
    </row>
    <row r="515" spans="1:76">
      <c r="A515" s="3" t="s">
        <v>66</v>
      </c>
      <c r="B515" t="s">
        <v>4838</v>
      </c>
      <c r="D515" t="s">
        <v>4967</v>
      </c>
      <c r="F515" s="91" t="s">
        <v>4973</v>
      </c>
      <c r="H515" s="3" t="s">
        <v>4984</v>
      </c>
      <c r="I515" s="3"/>
      <c r="J515" s="124"/>
      <c r="K515" s="124"/>
      <c r="M515" s="124"/>
      <c r="X515" s="10">
        <v>1.8867924528301886E-2</v>
      </c>
      <c r="Y515" s="9">
        <v>1.8867924528301886E-2</v>
      </c>
      <c r="Z515" s="9">
        <v>1.8867924528301886E-2</v>
      </c>
      <c r="AA515" s="9">
        <v>1.8867924528301886E-2</v>
      </c>
      <c r="AB515" s="9">
        <v>1.8867924528301886E-2</v>
      </c>
      <c r="AC515" s="9">
        <v>1.8867924528301886E-2</v>
      </c>
      <c r="AD515" s="9">
        <v>1.8867924528301886E-2</v>
      </c>
      <c r="AE515" s="9">
        <v>1.8867924528301886E-2</v>
      </c>
      <c r="AF515" s="9">
        <v>1.8867924528301886E-2</v>
      </c>
      <c r="AG515" s="9">
        <v>1.8867924528301886E-2</v>
      </c>
      <c r="AH515" s="9">
        <v>1.8867924528301886E-2</v>
      </c>
      <c r="AI515" s="9">
        <v>1.8867924528301886E-2</v>
      </c>
      <c r="AJ515" s="9">
        <v>1.8867924528301886E-2</v>
      </c>
      <c r="AK515" s="9">
        <v>1.8867924528301886E-2</v>
      </c>
      <c r="AL515" s="9">
        <v>1.8867924528301886E-2</v>
      </c>
      <c r="AM515" s="9">
        <v>1.8867924528301886E-2</v>
      </c>
      <c r="AN515" s="9">
        <v>1.8867924528301886E-2</v>
      </c>
      <c r="AO515" s="9">
        <v>1.8867924528301886E-2</v>
      </c>
      <c r="AP515" s="9">
        <v>1.8867924528301886E-2</v>
      </c>
      <c r="AQ515" s="9">
        <v>1.8867924528301886E-2</v>
      </c>
      <c r="AR515" s="9">
        <v>1.8867924528301886E-2</v>
      </c>
      <c r="AS515" s="9">
        <v>1.8867924528301886E-2</v>
      </c>
      <c r="AT515" s="9">
        <v>1.8867924528301886E-2</v>
      </c>
      <c r="AU515" s="9">
        <v>1.8867924528301886E-2</v>
      </c>
      <c r="AV515" s="9">
        <v>1.8867924528301886E-2</v>
      </c>
      <c r="AW515" s="9">
        <v>1.8867924528301886E-2</v>
      </c>
      <c r="AX515" s="9">
        <v>1.8867924528301886E-2</v>
      </c>
      <c r="AY515" s="9">
        <v>1.8867924528301886E-2</v>
      </c>
      <c r="AZ515" s="9">
        <v>1.8867924528301886E-2</v>
      </c>
      <c r="BA515" s="9">
        <v>1.8867924528301886E-2</v>
      </c>
      <c r="BB515" s="9">
        <v>1.8867924528301886E-2</v>
      </c>
      <c r="BC515" s="9">
        <v>1.8867924528301886E-2</v>
      </c>
      <c r="BD515" s="9">
        <v>1.8867924528301886E-2</v>
      </c>
      <c r="BE515" s="9">
        <v>1.8867924528301886E-2</v>
      </c>
      <c r="BF515" s="9">
        <v>1.8867924528301886E-2</v>
      </c>
      <c r="BG515" s="9">
        <v>1.8867924528301886E-2</v>
      </c>
      <c r="BH515" s="9">
        <v>1.8867924528301886E-2</v>
      </c>
      <c r="BI515" s="9">
        <v>1.8867924528301886E-2</v>
      </c>
      <c r="BJ515" s="9">
        <v>1.8867924528301886E-2</v>
      </c>
      <c r="BK515" s="9">
        <v>1.8867924528301886E-2</v>
      </c>
      <c r="BL515" s="9">
        <v>1.8867924528301886E-2</v>
      </c>
      <c r="BM515" s="9">
        <v>1.8867924528301886E-2</v>
      </c>
      <c r="BN515" s="9">
        <v>1.8867924528301886E-2</v>
      </c>
      <c r="BO515" s="9">
        <v>1.8867924528301886E-2</v>
      </c>
      <c r="BP515" s="9">
        <v>1.8867924528301886E-2</v>
      </c>
      <c r="BQ515" s="9">
        <v>1.8867924528301886E-2</v>
      </c>
      <c r="BR515" s="9">
        <v>1.8867924528301886E-2</v>
      </c>
      <c r="BS515" s="9">
        <v>1.8867924528301886E-2</v>
      </c>
      <c r="BT515" s="9">
        <v>1.8867924528301886E-2</v>
      </c>
      <c r="BU515" s="9">
        <v>1.8867924528301886E-2</v>
      </c>
      <c r="BV515" s="9">
        <v>1.8867924528301886E-2</v>
      </c>
      <c r="BW515" s="9">
        <v>1.8867924528301886E-2</v>
      </c>
      <c r="BX515" s="9">
        <v>1.8867924528301886E-2</v>
      </c>
    </row>
    <row r="516" spans="1:76">
      <c r="A516" s="3" t="s">
        <v>66</v>
      </c>
      <c r="B516" t="s">
        <v>4840</v>
      </c>
      <c r="D516" t="s">
        <v>4967</v>
      </c>
      <c r="F516" s="91" t="s">
        <v>4973</v>
      </c>
      <c r="H516" s="3" t="s">
        <v>4984</v>
      </c>
      <c r="I516" s="3"/>
      <c r="J516" s="124"/>
      <c r="K516" s="124"/>
      <c r="M516" s="124"/>
      <c r="X516" s="10">
        <v>1.8867924528301886E-2</v>
      </c>
      <c r="Y516" s="9">
        <v>1.8867924528301886E-2</v>
      </c>
      <c r="Z516" s="9">
        <v>1.8867924528301886E-2</v>
      </c>
      <c r="AA516" s="9">
        <v>1.8867924528301886E-2</v>
      </c>
      <c r="AB516" s="9">
        <v>1.8867924528301886E-2</v>
      </c>
      <c r="AC516" s="9">
        <v>1.8867924528301886E-2</v>
      </c>
      <c r="AD516" s="9">
        <v>1.8867924528301886E-2</v>
      </c>
      <c r="AE516" s="9">
        <v>1.8867924528301886E-2</v>
      </c>
      <c r="AF516" s="9">
        <v>1.8867924528301886E-2</v>
      </c>
      <c r="AG516" s="9">
        <v>1.8867924528301886E-2</v>
      </c>
      <c r="AH516" s="9">
        <v>1.8867924528301886E-2</v>
      </c>
      <c r="AI516" s="9">
        <v>1.8867924528301886E-2</v>
      </c>
      <c r="AJ516" s="9">
        <v>1.8867924528301886E-2</v>
      </c>
      <c r="AK516" s="9">
        <v>1.8867924528301886E-2</v>
      </c>
      <c r="AL516" s="9">
        <v>1.8867924528301886E-2</v>
      </c>
      <c r="AM516" s="9">
        <v>1.8867924528301886E-2</v>
      </c>
      <c r="AN516" s="9">
        <v>1.8867924528301886E-2</v>
      </c>
      <c r="AO516" s="9">
        <v>1.8867924528301886E-2</v>
      </c>
      <c r="AP516" s="9">
        <v>1.8867924528301886E-2</v>
      </c>
      <c r="AQ516" s="9">
        <v>1.8867924528301886E-2</v>
      </c>
      <c r="AR516" s="9">
        <v>1.8867924528301886E-2</v>
      </c>
      <c r="AS516" s="9">
        <v>1.8867924528301886E-2</v>
      </c>
      <c r="AT516" s="9">
        <v>1.8867924528301886E-2</v>
      </c>
      <c r="AU516" s="9">
        <v>1.8867924528301886E-2</v>
      </c>
      <c r="AV516" s="9">
        <v>1.8867924528301886E-2</v>
      </c>
      <c r="AW516" s="9">
        <v>1.8867924528301886E-2</v>
      </c>
      <c r="AX516" s="9">
        <v>1.8867924528301886E-2</v>
      </c>
      <c r="AY516" s="9">
        <v>1.8867924528301886E-2</v>
      </c>
      <c r="AZ516" s="9">
        <v>1.8867924528301886E-2</v>
      </c>
      <c r="BA516" s="9">
        <v>1.8867924528301886E-2</v>
      </c>
      <c r="BB516" s="9">
        <v>1.8867924528301886E-2</v>
      </c>
      <c r="BC516" s="9">
        <v>1.8867924528301886E-2</v>
      </c>
      <c r="BD516" s="9">
        <v>1.8867924528301886E-2</v>
      </c>
      <c r="BE516" s="9">
        <v>1.8867924528301886E-2</v>
      </c>
      <c r="BF516" s="9">
        <v>1.8867924528301886E-2</v>
      </c>
      <c r="BG516" s="9">
        <v>1.8867924528301886E-2</v>
      </c>
      <c r="BH516" s="9">
        <v>1.8867924528301886E-2</v>
      </c>
      <c r="BI516" s="9">
        <v>1.8867924528301886E-2</v>
      </c>
      <c r="BJ516" s="9">
        <v>1.8867924528301886E-2</v>
      </c>
      <c r="BK516" s="9">
        <v>1.8867924528301886E-2</v>
      </c>
      <c r="BL516" s="9">
        <v>1.8867924528301886E-2</v>
      </c>
      <c r="BM516" s="9">
        <v>1.8867924528301886E-2</v>
      </c>
      <c r="BN516" s="9">
        <v>1.8867924528301886E-2</v>
      </c>
      <c r="BO516" s="9">
        <v>1.8867924528301886E-2</v>
      </c>
      <c r="BP516" s="9">
        <v>1.8867924528301886E-2</v>
      </c>
      <c r="BQ516" s="9">
        <v>1.8867924528301886E-2</v>
      </c>
      <c r="BR516" s="9">
        <v>1.8867924528301886E-2</v>
      </c>
      <c r="BS516" s="9">
        <v>1.8867924528301886E-2</v>
      </c>
      <c r="BT516" s="9">
        <v>1.8867924528301886E-2</v>
      </c>
      <c r="BU516" s="9">
        <v>1.8867924528301886E-2</v>
      </c>
      <c r="BV516" s="9">
        <v>1.8867924528301886E-2</v>
      </c>
      <c r="BW516" s="9">
        <v>1.8867924528301886E-2</v>
      </c>
      <c r="BX516" s="9">
        <v>1.8867924528301886E-2</v>
      </c>
    </row>
    <row r="517" spans="1:76">
      <c r="A517" s="3" t="s">
        <v>66</v>
      </c>
      <c r="B517" t="s">
        <v>4842</v>
      </c>
      <c r="D517" t="s">
        <v>4967</v>
      </c>
      <c r="F517" s="91" t="s">
        <v>4973</v>
      </c>
      <c r="H517" s="3" t="s">
        <v>4984</v>
      </c>
      <c r="I517" s="3"/>
      <c r="J517" s="124"/>
      <c r="K517" s="124"/>
      <c r="M517" s="124"/>
      <c r="X517" s="10">
        <v>1.8867924528301886E-2</v>
      </c>
      <c r="Y517" s="9">
        <v>1.8867924528301886E-2</v>
      </c>
      <c r="Z517" s="9">
        <v>1.8867924528301886E-2</v>
      </c>
      <c r="AA517" s="9">
        <v>1.8867924528301886E-2</v>
      </c>
      <c r="AB517" s="9">
        <v>1.8867924528301886E-2</v>
      </c>
      <c r="AC517" s="9">
        <v>1.8867924528301886E-2</v>
      </c>
      <c r="AD517" s="9">
        <v>1.8867924528301886E-2</v>
      </c>
      <c r="AE517" s="9">
        <v>1.8867924528301886E-2</v>
      </c>
      <c r="AF517" s="9">
        <v>1.8867924528301886E-2</v>
      </c>
      <c r="AG517" s="9">
        <v>1.8867924528301886E-2</v>
      </c>
      <c r="AH517" s="9">
        <v>1.8867924528301886E-2</v>
      </c>
      <c r="AI517" s="9">
        <v>1.8867924528301886E-2</v>
      </c>
      <c r="AJ517" s="9">
        <v>1.8867924528301886E-2</v>
      </c>
      <c r="AK517" s="9">
        <v>1.8867924528301886E-2</v>
      </c>
      <c r="AL517" s="9">
        <v>1.8867924528301886E-2</v>
      </c>
      <c r="AM517" s="9">
        <v>1.8867924528301886E-2</v>
      </c>
      <c r="AN517" s="9">
        <v>1.8867924528301886E-2</v>
      </c>
      <c r="AO517" s="9">
        <v>1.8867924528301886E-2</v>
      </c>
      <c r="AP517" s="9">
        <v>1.8867924528301886E-2</v>
      </c>
      <c r="AQ517" s="9">
        <v>1.8867924528301886E-2</v>
      </c>
      <c r="AR517" s="9">
        <v>1.8867924528301886E-2</v>
      </c>
      <c r="AS517" s="9">
        <v>1.8867924528301886E-2</v>
      </c>
      <c r="AT517" s="9">
        <v>1.8867924528301886E-2</v>
      </c>
      <c r="AU517" s="9">
        <v>1.8867924528301886E-2</v>
      </c>
      <c r="AV517" s="9">
        <v>1.8867924528301886E-2</v>
      </c>
      <c r="AW517" s="9">
        <v>1.8867924528301886E-2</v>
      </c>
      <c r="AX517" s="9">
        <v>1.8867924528301886E-2</v>
      </c>
      <c r="AY517" s="9">
        <v>1.8867924528301886E-2</v>
      </c>
      <c r="AZ517" s="9">
        <v>1.8867924528301886E-2</v>
      </c>
      <c r="BA517" s="9">
        <v>1.8867924528301886E-2</v>
      </c>
      <c r="BB517" s="9">
        <v>1.8867924528301886E-2</v>
      </c>
      <c r="BC517" s="9">
        <v>1.8867924528301886E-2</v>
      </c>
      <c r="BD517" s="9">
        <v>1.8867924528301886E-2</v>
      </c>
      <c r="BE517" s="9">
        <v>1.8867924528301886E-2</v>
      </c>
      <c r="BF517" s="9">
        <v>1.8867924528301886E-2</v>
      </c>
      <c r="BG517" s="9">
        <v>1.8867924528301886E-2</v>
      </c>
      <c r="BH517" s="9">
        <v>1.8867924528301886E-2</v>
      </c>
      <c r="BI517" s="9">
        <v>1.8867924528301886E-2</v>
      </c>
      <c r="BJ517" s="9">
        <v>1.8867924528301886E-2</v>
      </c>
      <c r="BK517" s="9">
        <v>1.8867924528301886E-2</v>
      </c>
      <c r="BL517" s="9">
        <v>1.8867924528301886E-2</v>
      </c>
      <c r="BM517" s="9">
        <v>1.8867924528301886E-2</v>
      </c>
      <c r="BN517" s="9">
        <v>1.8867924528301886E-2</v>
      </c>
      <c r="BO517" s="9">
        <v>1.8867924528301886E-2</v>
      </c>
      <c r="BP517" s="9">
        <v>1.8867924528301886E-2</v>
      </c>
      <c r="BQ517" s="9">
        <v>1.8867924528301886E-2</v>
      </c>
      <c r="BR517" s="9">
        <v>1.8867924528301886E-2</v>
      </c>
      <c r="BS517" s="9">
        <v>1.8867924528301886E-2</v>
      </c>
      <c r="BT517" s="9">
        <v>1.8867924528301886E-2</v>
      </c>
      <c r="BU517" s="9">
        <v>1.8867924528301886E-2</v>
      </c>
      <c r="BV517" s="9">
        <v>1.8867924528301886E-2</v>
      </c>
      <c r="BW517" s="9">
        <v>1.8867924528301886E-2</v>
      </c>
      <c r="BX517" s="9">
        <v>1.8867924528301886E-2</v>
      </c>
    </row>
    <row r="518" spans="1:76">
      <c r="A518" s="3" t="s">
        <v>66</v>
      </c>
      <c r="B518" t="s">
        <v>4844</v>
      </c>
      <c r="D518" t="s">
        <v>4967</v>
      </c>
      <c r="F518" s="91" t="s">
        <v>4973</v>
      </c>
      <c r="H518" s="3" t="s">
        <v>4984</v>
      </c>
      <c r="I518" s="3"/>
      <c r="J518" s="124"/>
      <c r="K518" s="124"/>
      <c r="M518" s="124"/>
      <c r="X518" s="10">
        <v>1.8867924528301886E-2</v>
      </c>
      <c r="Y518" s="9">
        <v>1.8867924528301886E-2</v>
      </c>
      <c r="Z518" s="9">
        <v>1.8867924528301886E-2</v>
      </c>
      <c r="AA518" s="9">
        <v>1.8867924528301886E-2</v>
      </c>
      <c r="AB518" s="9">
        <v>1.8867924528301886E-2</v>
      </c>
      <c r="AC518" s="9">
        <v>1.8867924528301886E-2</v>
      </c>
      <c r="AD518" s="9">
        <v>1.8867924528301886E-2</v>
      </c>
      <c r="AE518" s="9">
        <v>1.8867924528301886E-2</v>
      </c>
      <c r="AF518" s="9">
        <v>1.8867924528301886E-2</v>
      </c>
      <c r="AG518" s="9">
        <v>1.8867924528301886E-2</v>
      </c>
      <c r="AH518" s="9">
        <v>1.8867924528301886E-2</v>
      </c>
      <c r="AI518" s="9">
        <v>1.8867924528301886E-2</v>
      </c>
      <c r="AJ518" s="9">
        <v>1.8867924528301886E-2</v>
      </c>
      <c r="AK518" s="9">
        <v>1.8867924528301886E-2</v>
      </c>
      <c r="AL518" s="9">
        <v>1.8867924528301886E-2</v>
      </c>
      <c r="AM518" s="9">
        <v>1.8867924528301886E-2</v>
      </c>
      <c r="AN518" s="9">
        <v>1.8867924528301886E-2</v>
      </c>
      <c r="AO518" s="9">
        <v>1.8867924528301886E-2</v>
      </c>
      <c r="AP518" s="9">
        <v>1.8867924528301886E-2</v>
      </c>
      <c r="AQ518" s="9">
        <v>1.8867924528301886E-2</v>
      </c>
      <c r="AR518" s="9">
        <v>1.8867924528301886E-2</v>
      </c>
      <c r="AS518" s="9">
        <v>1.8867924528301886E-2</v>
      </c>
      <c r="AT518" s="9">
        <v>1.8867924528301886E-2</v>
      </c>
      <c r="AU518" s="9">
        <v>1.8867924528301886E-2</v>
      </c>
      <c r="AV518" s="9">
        <v>1.8867924528301886E-2</v>
      </c>
      <c r="AW518" s="9">
        <v>1.8867924528301886E-2</v>
      </c>
      <c r="AX518" s="9">
        <v>1.8867924528301886E-2</v>
      </c>
      <c r="AY518" s="9">
        <v>1.8867924528301886E-2</v>
      </c>
      <c r="AZ518" s="9">
        <v>1.8867924528301886E-2</v>
      </c>
      <c r="BA518" s="9">
        <v>1.8867924528301886E-2</v>
      </c>
      <c r="BB518" s="9">
        <v>1.8867924528301886E-2</v>
      </c>
      <c r="BC518" s="9">
        <v>1.8867924528301886E-2</v>
      </c>
      <c r="BD518" s="9">
        <v>1.8867924528301886E-2</v>
      </c>
      <c r="BE518" s="9">
        <v>1.8867924528301886E-2</v>
      </c>
      <c r="BF518" s="9">
        <v>1.8867924528301886E-2</v>
      </c>
      <c r="BG518" s="9">
        <v>1.8867924528301886E-2</v>
      </c>
      <c r="BH518" s="9">
        <v>1.8867924528301886E-2</v>
      </c>
      <c r="BI518" s="9">
        <v>1.8867924528301886E-2</v>
      </c>
      <c r="BJ518" s="9">
        <v>1.8867924528301886E-2</v>
      </c>
      <c r="BK518" s="9">
        <v>1.8867924528301886E-2</v>
      </c>
      <c r="BL518" s="9">
        <v>1.8867924528301886E-2</v>
      </c>
      <c r="BM518" s="9">
        <v>1.8867924528301886E-2</v>
      </c>
      <c r="BN518" s="9">
        <v>1.8867924528301886E-2</v>
      </c>
      <c r="BO518" s="9">
        <v>1.8867924528301886E-2</v>
      </c>
      <c r="BP518" s="9">
        <v>1.8867924528301886E-2</v>
      </c>
      <c r="BQ518" s="9">
        <v>1.8867924528301886E-2</v>
      </c>
      <c r="BR518" s="9">
        <v>1.8867924528301886E-2</v>
      </c>
      <c r="BS518" s="9">
        <v>1.8867924528301886E-2</v>
      </c>
      <c r="BT518" s="9">
        <v>1.8867924528301886E-2</v>
      </c>
      <c r="BU518" s="9">
        <v>1.8867924528301886E-2</v>
      </c>
      <c r="BV518" s="9">
        <v>1.8867924528301886E-2</v>
      </c>
      <c r="BW518" s="9">
        <v>1.8867924528301886E-2</v>
      </c>
      <c r="BX518" s="9">
        <v>1.8867924528301886E-2</v>
      </c>
    </row>
    <row r="519" spans="1:76">
      <c r="A519" s="3" t="s">
        <v>66</v>
      </c>
      <c r="B519" t="s">
        <v>4846</v>
      </c>
      <c r="D519" t="s">
        <v>4967</v>
      </c>
      <c r="F519" s="91" t="s">
        <v>4973</v>
      </c>
      <c r="H519" s="3" t="s">
        <v>4984</v>
      </c>
      <c r="I519" s="3"/>
      <c r="J519" s="124"/>
      <c r="K519" s="124"/>
      <c r="M519" s="124"/>
      <c r="X519" s="10">
        <v>1.8867924528301886E-2</v>
      </c>
      <c r="Y519" s="9">
        <v>1.8867924528301886E-2</v>
      </c>
      <c r="Z519" s="9">
        <v>1.8867924528301886E-2</v>
      </c>
      <c r="AA519" s="9">
        <v>1.8867924528301886E-2</v>
      </c>
      <c r="AB519" s="9">
        <v>1.8867924528301886E-2</v>
      </c>
      <c r="AC519" s="9">
        <v>1.8867924528301886E-2</v>
      </c>
      <c r="AD519" s="9">
        <v>1.8867924528301886E-2</v>
      </c>
      <c r="AE519" s="9">
        <v>1.8867924528301886E-2</v>
      </c>
      <c r="AF519" s="9">
        <v>1.8867924528301886E-2</v>
      </c>
      <c r="AG519" s="9">
        <v>1.8867924528301886E-2</v>
      </c>
      <c r="AH519" s="9">
        <v>1.8867924528301886E-2</v>
      </c>
      <c r="AI519" s="9">
        <v>1.8867924528301886E-2</v>
      </c>
      <c r="AJ519" s="9">
        <v>1.8867924528301886E-2</v>
      </c>
      <c r="AK519" s="9">
        <v>1.8867924528301886E-2</v>
      </c>
      <c r="AL519" s="9">
        <v>1.8867924528301886E-2</v>
      </c>
      <c r="AM519" s="9">
        <v>1.8867924528301886E-2</v>
      </c>
      <c r="AN519" s="9">
        <v>1.8867924528301886E-2</v>
      </c>
      <c r="AO519" s="9">
        <v>1.8867924528301886E-2</v>
      </c>
      <c r="AP519" s="9">
        <v>1.8867924528301886E-2</v>
      </c>
      <c r="AQ519" s="9">
        <v>1.8867924528301886E-2</v>
      </c>
      <c r="AR519" s="9">
        <v>1.8867924528301886E-2</v>
      </c>
      <c r="AS519" s="9">
        <v>1.8867924528301886E-2</v>
      </c>
      <c r="AT519" s="9">
        <v>1.8867924528301886E-2</v>
      </c>
      <c r="AU519" s="9">
        <v>1.8867924528301886E-2</v>
      </c>
      <c r="AV519" s="9">
        <v>1.8867924528301886E-2</v>
      </c>
      <c r="AW519" s="9">
        <v>1.8867924528301886E-2</v>
      </c>
      <c r="AX519" s="9">
        <v>1.8867924528301886E-2</v>
      </c>
      <c r="AY519" s="9">
        <v>1.8867924528301886E-2</v>
      </c>
      <c r="AZ519" s="9">
        <v>1.8867924528301886E-2</v>
      </c>
      <c r="BA519" s="9">
        <v>1.8867924528301886E-2</v>
      </c>
      <c r="BB519" s="9">
        <v>1.8867924528301886E-2</v>
      </c>
      <c r="BC519" s="9">
        <v>1.8867924528301886E-2</v>
      </c>
      <c r="BD519" s="9">
        <v>1.8867924528301886E-2</v>
      </c>
      <c r="BE519" s="9">
        <v>1.8867924528301886E-2</v>
      </c>
      <c r="BF519" s="9">
        <v>1.8867924528301886E-2</v>
      </c>
      <c r="BG519" s="9">
        <v>1.8867924528301886E-2</v>
      </c>
      <c r="BH519" s="9">
        <v>1.8867924528301886E-2</v>
      </c>
      <c r="BI519" s="9">
        <v>1.8867924528301886E-2</v>
      </c>
      <c r="BJ519" s="9">
        <v>1.8867924528301886E-2</v>
      </c>
      <c r="BK519" s="9">
        <v>1.8867924528301886E-2</v>
      </c>
      <c r="BL519" s="9">
        <v>1.8867924528301886E-2</v>
      </c>
      <c r="BM519" s="9">
        <v>1.8867924528301886E-2</v>
      </c>
      <c r="BN519" s="9">
        <v>1.8867924528301886E-2</v>
      </c>
      <c r="BO519" s="9">
        <v>1.8867924528301886E-2</v>
      </c>
      <c r="BP519" s="9">
        <v>1.8867924528301886E-2</v>
      </c>
      <c r="BQ519" s="9">
        <v>1.8867924528301886E-2</v>
      </c>
      <c r="BR519" s="9">
        <v>1.8867924528301886E-2</v>
      </c>
      <c r="BS519" s="9">
        <v>1.8867924528301886E-2</v>
      </c>
      <c r="BT519" s="9">
        <v>1.8867924528301886E-2</v>
      </c>
      <c r="BU519" s="9">
        <v>1.8867924528301886E-2</v>
      </c>
      <c r="BV519" s="9">
        <v>1.8867924528301886E-2</v>
      </c>
      <c r="BW519" s="9">
        <v>1.8867924528301886E-2</v>
      </c>
      <c r="BX519" s="9">
        <v>1.8867924528301886E-2</v>
      </c>
    </row>
    <row r="520" spans="1:76">
      <c r="A520" s="3" t="s">
        <v>66</v>
      </c>
      <c r="B520" t="s">
        <v>5341</v>
      </c>
      <c r="D520" t="s">
        <v>4967</v>
      </c>
      <c r="F520" s="91" t="s">
        <v>4973</v>
      </c>
      <c r="H520" s="3" t="s">
        <v>4984</v>
      </c>
      <c r="I520" s="3"/>
      <c r="J520" s="124"/>
      <c r="K520" s="124"/>
      <c r="M520" s="124"/>
      <c r="X520" s="10"/>
      <c r="AX520" s="9">
        <v>0.1</v>
      </c>
      <c r="AY520" s="9">
        <v>0.1</v>
      </c>
      <c r="AZ520" s="9">
        <v>0.1</v>
      </c>
      <c r="BA520" s="9">
        <v>0.1</v>
      </c>
      <c r="BB520" s="9">
        <v>0.1</v>
      </c>
      <c r="BC520" s="9">
        <v>0.1</v>
      </c>
      <c r="BD520" s="9">
        <v>0.1</v>
      </c>
      <c r="BE520" s="9">
        <v>0.1</v>
      </c>
      <c r="BF520" s="9">
        <v>0.1</v>
      </c>
      <c r="BG520" s="9">
        <v>0.1</v>
      </c>
    </row>
    <row r="521" spans="1:76">
      <c r="A521" s="3"/>
      <c r="H521" s="3"/>
      <c r="I521" s="3"/>
      <c r="J521" s="124"/>
      <c r="K521" s="124"/>
      <c r="M521" s="124"/>
      <c r="X521" s="10"/>
    </row>
    <row r="522" spans="1:76">
      <c r="A522" s="3"/>
      <c r="H522" s="3"/>
      <c r="I522" s="3"/>
      <c r="J522" s="124"/>
      <c r="K522" s="124"/>
      <c r="M522" s="124"/>
      <c r="X522" s="10"/>
    </row>
    <row r="523" spans="1:76">
      <c r="A523" s="3"/>
      <c r="H523" s="3"/>
      <c r="I523" s="3"/>
      <c r="J523" s="124"/>
      <c r="K523" s="124"/>
      <c r="M523" s="124"/>
      <c r="X523" s="10"/>
    </row>
    <row r="524" spans="1:76">
      <c r="A524" s="3"/>
      <c r="H524" s="3"/>
      <c r="I524" s="3"/>
      <c r="J524" s="124"/>
      <c r="K524" s="124"/>
      <c r="M524" s="124"/>
      <c r="X524" s="10"/>
    </row>
    <row r="525" spans="1:76">
      <c r="A525" s="3"/>
      <c r="H525" s="3"/>
      <c r="I525" s="3"/>
      <c r="J525" s="124"/>
      <c r="K525" s="124"/>
      <c r="M525" s="124"/>
      <c r="X525" s="10"/>
    </row>
    <row r="526" spans="1:76">
      <c r="A526" s="3"/>
      <c r="H526" s="3"/>
      <c r="I526" s="3"/>
      <c r="J526" s="124"/>
      <c r="K526" s="124"/>
      <c r="M526" s="124"/>
      <c r="X526" s="10"/>
    </row>
    <row r="527" spans="1:76">
      <c r="A527" s="3"/>
      <c r="H527" s="3"/>
      <c r="I527" s="3"/>
      <c r="J527" s="124"/>
      <c r="K527" s="124"/>
      <c r="M527" s="124"/>
      <c r="X527" s="10"/>
    </row>
    <row r="528" spans="1:76">
      <c r="A528" s="3"/>
      <c r="H528" s="3"/>
      <c r="I528" s="3"/>
      <c r="J528" s="124"/>
      <c r="K528" s="124"/>
      <c r="M528" s="124"/>
      <c r="X528" s="10"/>
    </row>
    <row r="529" spans="1:24">
      <c r="A529" s="3"/>
      <c r="H529" s="3"/>
      <c r="I529" s="3"/>
      <c r="J529" s="124"/>
      <c r="K529" s="124"/>
      <c r="M529" s="124"/>
      <c r="X529" s="10"/>
    </row>
    <row r="530" spans="1:24">
      <c r="A530" s="3"/>
      <c r="H530" s="3"/>
      <c r="I530" s="3"/>
      <c r="J530" s="124"/>
      <c r="K530" s="124"/>
      <c r="M530" s="124"/>
      <c r="X530" s="10"/>
    </row>
    <row r="531" spans="1:24">
      <c r="A531" s="3"/>
      <c r="H531" s="3"/>
      <c r="I531" s="3"/>
      <c r="J531" s="124"/>
      <c r="K531" s="124"/>
      <c r="M531" s="124"/>
      <c r="X531" s="10"/>
    </row>
    <row r="532" spans="1:24">
      <c r="A532" s="3"/>
      <c r="H532" s="3"/>
      <c r="I532" s="3"/>
      <c r="J532" s="124"/>
      <c r="K532" s="124"/>
      <c r="M532" s="124"/>
      <c r="X532" s="10"/>
    </row>
    <row r="533" spans="1:24">
      <c r="A533" s="3"/>
      <c r="H533" s="3"/>
      <c r="I533" s="3"/>
      <c r="J533" s="124"/>
      <c r="K533" s="124"/>
      <c r="M533" s="124"/>
      <c r="X533" s="10"/>
    </row>
    <row r="534" spans="1:24">
      <c r="A534" s="3"/>
      <c r="H534" s="3"/>
      <c r="I534" s="3"/>
      <c r="J534" s="124"/>
      <c r="K534" s="124"/>
      <c r="M534" s="124"/>
      <c r="X534" s="10"/>
    </row>
    <row r="535" spans="1:24">
      <c r="A535" s="3"/>
      <c r="H535" s="3"/>
      <c r="I535" s="3"/>
      <c r="J535" s="124"/>
      <c r="K535" s="124"/>
      <c r="M535" s="124"/>
      <c r="X535" s="10"/>
    </row>
    <row r="536" spans="1:24">
      <c r="A536" s="3"/>
      <c r="H536" s="3"/>
      <c r="I536" s="3"/>
      <c r="J536" s="124"/>
      <c r="K536" s="124"/>
      <c r="M536" s="124"/>
      <c r="X536" s="10"/>
    </row>
  </sheetData>
  <phoneticPr fontId="4" type="noConversion"/>
  <pageMargins left="0.7" right="0.7" top="0.75" bottom="0.75" header="0.3" footer="0.3"/>
  <headerFooter>
    <oddFooter>&amp;L_x000D_&amp;1#&amp;"#0000FF"&amp;8&amp;K000000 Bu dokümanda HASSAS bilgi bulunmamaktadır. / This document does not contain SENSITIVE information.</oddFooter>
  </headerFooter>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9C61-00CE-4BEE-89F7-75B8219090AE}">
  <sheetPr codeName="Sheet10">
    <tabColor theme="2" tint="-9.9978637043366805E-2"/>
  </sheetPr>
  <dimension ref="A1:BX20"/>
  <sheetViews>
    <sheetView workbookViewId="0">
      <selection activeCell="W1" sqref="A1:W1048576"/>
    </sheetView>
  </sheetViews>
  <sheetFormatPr defaultRowHeight="14.5"/>
  <cols>
    <col min="1" max="1" width="9.26953125" bestFit="1" customWidth="1"/>
    <col min="2" max="2" width="18.54296875" bestFit="1" customWidth="1"/>
    <col min="3" max="3" width="37.36328125" bestFit="1" customWidth="1"/>
    <col min="4" max="4" width="12.54296875" bestFit="1" customWidth="1"/>
    <col min="5" max="5" width="15.90625" bestFit="1" customWidth="1"/>
    <col min="6" max="6" width="6.7265625" bestFit="1" customWidth="1"/>
    <col min="7" max="7" width="13.453125" bestFit="1" customWidth="1"/>
    <col min="8" max="8" width="6.81640625" bestFit="1" customWidth="1"/>
    <col min="9" max="9" width="15.54296875" bestFit="1" customWidth="1"/>
    <col min="10" max="10" width="13.36328125" bestFit="1" customWidth="1"/>
    <col min="11" max="11" width="10.26953125" bestFit="1" customWidth="1"/>
    <col min="12" max="12" width="14.7265625" bestFit="1" customWidth="1"/>
    <col min="13" max="13" width="11.81640625" bestFit="1" customWidth="1"/>
    <col min="14" max="14" width="7.90625" bestFit="1" customWidth="1"/>
    <col min="15" max="15" width="7.6328125" bestFit="1" customWidth="1"/>
    <col min="16" max="17" width="7.90625" bestFit="1" customWidth="1"/>
    <col min="18" max="18" width="8.81640625" bestFit="1" customWidth="1"/>
    <col min="19" max="22" width="8.1796875" bestFit="1" customWidth="1"/>
    <col min="23" max="23" width="8.81640625" bestFit="1" customWidth="1"/>
    <col min="24" max="25" width="8.1796875" bestFit="1" customWidth="1"/>
    <col min="26" max="26" width="7.90625" bestFit="1" customWidth="1"/>
    <col min="27" max="27" width="7.81640625" bestFit="1" customWidth="1"/>
    <col min="28" max="29" width="7.90625" bestFit="1" customWidth="1"/>
    <col min="30" max="34" width="8.1796875" bestFit="1" customWidth="1"/>
    <col min="35" max="35" width="8" bestFit="1" customWidth="1"/>
    <col min="36" max="37" width="8.1796875" bestFit="1" customWidth="1"/>
    <col min="38" max="38" width="7.90625" bestFit="1" customWidth="1"/>
    <col min="39" max="39" width="7.81640625" bestFit="1" customWidth="1"/>
    <col min="40" max="41" width="7.90625" bestFit="1" customWidth="1"/>
    <col min="42" max="46" width="8.1796875" bestFit="1" customWidth="1"/>
    <col min="47" max="47" width="8" bestFit="1" customWidth="1"/>
    <col min="48" max="49" width="8.1796875" bestFit="1" customWidth="1"/>
    <col min="50" max="50" width="7.90625" bestFit="1" customWidth="1"/>
    <col min="51" max="51" width="7.6328125" bestFit="1" customWidth="1"/>
    <col min="52" max="52" width="7.90625" bestFit="1" customWidth="1"/>
    <col min="53" max="53" width="7.7265625" bestFit="1" customWidth="1"/>
    <col min="54" max="58" width="8" bestFit="1" customWidth="1"/>
    <col min="59" max="59" width="7.90625" bestFit="1" customWidth="1"/>
    <col min="60" max="61" width="8" bestFit="1" customWidth="1"/>
    <col min="62" max="62" width="7.7265625" bestFit="1" customWidth="1"/>
    <col min="63" max="63" width="7.453125" bestFit="1" customWidth="1"/>
    <col min="64" max="64" width="7.7265625" bestFit="1" customWidth="1"/>
    <col min="65" max="65" width="7.90625" bestFit="1" customWidth="1"/>
    <col min="66" max="70" width="8.1796875" bestFit="1" customWidth="1"/>
    <col min="71" max="71" width="8" bestFit="1" customWidth="1"/>
    <col min="72" max="73" width="8.1796875" bestFit="1" customWidth="1"/>
    <col min="74" max="74" width="7.90625" bestFit="1" customWidth="1"/>
    <col min="75" max="75" width="7.6328125" bestFit="1" customWidth="1"/>
    <col min="76" max="76" width="7.90625" bestFit="1" customWidth="1"/>
  </cols>
  <sheetData>
    <row r="1" spans="1:76">
      <c r="A1" s="127" t="s">
        <v>0</v>
      </c>
      <c r="B1" s="127" t="s">
        <v>1</v>
      </c>
      <c r="C1" s="127" t="s">
        <v>4966</v>
      </c>
      <c r="D1" s="127" t="s">
        <v>3</v>
      </c>
      <c r="E1" s="127" t="s">
        <v>5162</v>
      </c>
      <c r="F1" s="128" t="s">
        <v>4</v>
      </c>
      <c r="G1" s="127" t="s">
        <v>5163</v>
      </c>
      <c r="H1" s="127" t="s">
        <v>31</v>
      </c>
      <c r="I1" s="127" t="s">
        <v>65</v>
      </c>
      <c r="J1" s="129" t="s">
        <v>35</v>
      </c>
      <c r="K1" s="129" t="s">
        <v>36</v>
      </c>
      <c r="L1" s="129" t="s">
        <v>67</v>
      </c>
      <c r="M1" s="129" t="s">
        <v>37</v>
      </c>
      <c r="N1" s="130" t="s">
        <v>5273</v>
      </c>
      <c r="O1" s="130" t="s">
        <v>5274</v>
      </c>
      <c r="P1" s="130" t="s">
        <v>5275</v>
      </c>
      <c r="Q1" s="130" t="s">
        <v>5276</v>
      </c>
      <c r="R1" s="130" t="s">
        <v>5277</v>
      </c>
      <c r="S1" s="130" t="s">
        <v>5278</v>
      </c>
      <c r="T1" s="130" t="s">
        <v>5279</v>
      </c>
      <c r="U1" s="130" t="s">
        <v>5280</v>
      </c>
      <c r="V1" s="130" t="s">
        <v>5281</v>
      </c>
      <c r="W1" s="131" t="s">
        <v>5282</v>
      </c>
      <c r="X1" s="132" t="s">
        <v>5283</v>
      </c>
      <c r="Y1" s="130" t="s">
        <v>5284</v>
      </c>
      <c r="Z1" s="130" t="s">
        <v>5285</v>
      </c>
      <c r="AA1" s="130" t="s">
        <v>5286</v>
      </c>
      <c r="AB1" s="130" t="s">
        <v>5287</v>
      </c>
      <c r="AC1" s="130" t="s">
        <v>5288</v>
      </c>
      <c r="AD1" s="130" t="s">
        <v>5289</v>
      </c>
      <c r="AE1" s="130" t="s">
        <v>5290</v>
      </c>
      <c r="AF1" s="130" t="s">
        <v>5291</v>
      </c>
      <c r="AG1" s="130" t="s">
        <v>5292</v>
      </c>
      <c r="AH1" s="130" t="s">
        <v>5293</v>
      </c>
      <c r="AI1" s="130" t="s">
        <v>5294</v>
      </c>
      <c r="AJ1" s="130" t="s">
        <v>5295</v>
      </c>
      <c r="AK1" s="130" t="s">
        <v>5296</v>
      </c>
      <c r="AL1" s="130" t="s">
        <v>5297</v>
      </c>
      <c r="AM1" s="130" t="s">
        <v>5298</v>
      </c>
      <c r="AN1" s="130" t="s">
        <v>5299</v>
      </c>
      <c r="AO1" s="130" t="s">
        <v>5300</v>
      </c>
      <c r="AP1" s="130" t="s">
        <v>5301</v>
      </c>
      <c r="AQ1" s="130" t="s">
        <v>5302</v>
      </c>
      <c r="AR1" s="130" t="s">
        <v>5303</v>
      </c>
      <c r="AS1" s="130" t="s">
        <v>5304</v>
      </c>
      <c r="AT1" s="130" t="s">
        <v>5305</v>
      </c>
      <c r="AU1" s="130" t="s">
        <v>5306</v>
      </c>
      <c r="AV1" s="130" t="s">
        <v>5307</v>
      </c>
      <c r="AW1" s="130" t="s">
        <v>5308</v>
      </c>
      <c r="AX1" s="130" t="s">
        <v>5309</v>
      </c>
      <c r="AY1" s="130" t="s">
        <v>5310</v>
      </c>
      <c r="AZ1" s="130" t="s">
        <v>5311</v>
      </c>
      <c r="BA1" s="130" t="s">
        <v>5312</v>
      </c>
      <c r="BB1" s="130" t="s">
        <v>5313</v>
      </c>
      <c r="BC1" s="130" t="s">
        <v>5314</v>
      </c>
      <c r="BD1" s="130" t="s">
        <v>5315</v>
      </c>
      <c r="BE1" s="130" t="s">
        <v>5316</v>
      </c>
      <c r="BF1" s="130" t="s">
        <v>5317</v>
      </c>
      <c r="BG1" s="130" t="s">
        <v>5318</v>
      </c>
      <c r="BH1" s="130" t="s">
        <v>5319</v>
      </c>
      <c r="BI1" s="130" t="s">
        <v>5320</v>
      </c>
      <c r="BJ1" s="130" t="s">
        <v>5321</v>
      </c>
      <c r="BK1" s="130" t="s">
        <v>5322</v>
      </c>
      <c r="BL1" s="130" t="s">
        <v>5323</v>
      </c>
      <c r="BM1" s="130" t="s">
        <v>5324</v>
      </c>
      <c r="BN1" s="130" t="s">
        <v>5325</v>
      </c>
      <c r="BO1" s="130" t="s">
        <v>5326</v>
      </c>
      <c r="BP1" s="130" t="s">
        <v>5327</v>
      </c>
      <c r="BQ1" s="130" t="s">
        <v>5328</v>
      </c>
      <c r="BR1" s="130" t="s">
        <v>5329</v>
      </c>
      <c r="BS1" s="130" t="s">
        <v>5330</v>
      </c>
      <c r="BT1" s="130" t="s">
        <v>5331</v>
      </c>
      <c r="BU1" s="130" t="s">
        <v>5332</v>
      </c>
      <c r="BV1" s="130" t="s">
        <v>5333</v>
      </c>
      <c r="BW1" s="130" t="s">
        <v>5334</v>
      </c>
      <c r="BX1" s="130" t="s">
        <v>5335</v>
      </c>
    </row>
    <row r="2" spans="1:76">
      <c r="A2" s="3" t="s">
        <v>66</v>
      </c>
      <c r="B2" t="s">
        <v>6</v>
      </c>
      <c r="C2" t="s">
        <v>152</v>
      </c>
      <c r="D2" t="s">
        <v>71</v>
      </c>
      <c r="E2" t="s">
        <v>4974</v>
      </c>
      <c r="F2" s="91" t="s">
        <v>30</v>
      </c>
      <c r="G2" t="s">
        <v>34</v>
      </c>
      <c r="H2" s="3" t="s">
        <v>32</v>
      </c>
      <c r="I2" s="3"/>
      <c r="J2" s="124"/>
      <c r="K2" s="124"/>
      <c r="L2" s="6"/>
      <c r="M2" s="124">
        <v>1.2</v>
      </c>
      <c r="N2" s="9">
        <v>0</v>
      </c>
      <c r="O2" s="9">
        <v>0</v>
      </c>
      <c r="P2" s="9">
        <v>0</v>
      </c>
      <c r="Q2" s="9">
        <v>0</v>
      </c>
      <c r="R2" s="9">
        <v>0</v>
      </c>
      <c r="S2" s="9">
        <v>0</v>
      </c>
      <c r="T2" s="9">
        <v>0</v>
      </c>
      <c r="U2" s="9">
        <v>0</v>
      </c>
      <c r="V2" s="9">
        <v>0</v>
      </c>
      <c r="W2" s="9">
        <v>0</v>
      </c>
      <c r="X2" s="10">
        <v>31.129347379205175</v>
      </c>
      <c r="Y2" s="9">
        <v>40.505114509019023</v>
      </c>
      <c r="Z2" s="9">
        <v>74.011848152950108</v>
      </c>
      <c r="AA2" s="9">
        <v>85.516062170229247</v>
      </c>
      <c r="AB2" s="9">
        <v>78.668708715386231</v>
      </c>
      <c r="AC2" s="9">
        <v>110.19299105876041</v>
      </c>
      <c r="AD2" s="9">
        <v>164.20406372937191</v>
      </c>
      <c r="AE2" s="9">
        <v>106.29302283419213</v>
      </c>
      <c r="AF2" s="9">
        <v>103.76460915922156</v>
      </c>
      <c r="AG2" s="9">
        <v>140.19231508663623</v>
      </c>
      <c r="AH2" s="9">
        <v>180.10131536870503</v>
      </c>
      <c r="AI2" s="9">
        <v>177.57290169373451</v>
      </c>
      <c r="AJ2" s="9">
        <v>177.57290169373451</v>
      </c>
      <c r="AK2" s="9">
        <v>156.20463910723646</v>
      </c>
      <c r="AL2" s="9">
        <v>117.39482739225826</v>
      </c>
      <c r="AM2" s="9">
        <v>88.355028084318732</v>
      </c>
      <c r="AN2" s="9">
        <v>78.125555961503764</v>
      </c>
      <c r="AO2" s="9">
        <v>81.137387898709648</v>
      </c>
      <c r="AP2" s="9">
        <v>97.360508483366516</v>
      </c>
      <c r="AQ2" s="9">
        <v>99.888922158337081</v>
      </c>
      <c r="AR2" s="9">
        <v>99.888922158337081</v>
      </c>
      <c r="AS2" s="9">
        <v>99.888922158337081</v>
      </c>
      <c r="AT2" s="9">
        <v>97.360508483366516</v>
      </c>
      <c r="AU2" s="9">
        <v>94.832094808395667</v>
      </c>
      <c r="AV2" s="9">
        <v>94.832094808395667</v>
      </c>
      <c r="AW2" s="9">
        <v>27.389413819372326</v>
      </c>
      <c r="AX2" s="9">
        <v>30.413279653773522</v>
      </c>
      <c r="AY2" s="9">
        <v>30.413279653773522</v>
      </c>
      <c r="AZ2" s="9">
        <v>27.389413819372326</v>
      </c>
      <c r="BA2" s="9">
        <v>0</v>
      </c>
      <c r="BB2" s="9">
        <v>0</v>
      </c>
      <c r="BC2" s="9">
        <v>0</v>
      </c>
      <c r="BD2" s="9">
        <v>0</v>
      </c>
      <c r="BE2" s="9">
        <v>0</v>
      </c>
      <c r="BF2" s="9">
        <v>0</v>
      </c>
      <c r="BG2" s="9">
        <v>0</v>
      </c>
      <c r="BH2" s="9">
        <v>0</v>
      </c>
      <c r="BI2" s="9">
        <v>0</v>
      </c>
      <c r="BJ2" s="9">
        <v>0</v>
      </c>
      <c r="BK2" s="9">
        <v>0</v>
      </c>
      <c r="BL2" s="9">
        <v>0</v>
      </c>
      <c r="BM2" s="9">
        <v>0</v>
      </c>
      <c r="BN2" s="9">
        <v>0</v>
      </c>
      <c r="BO2" s="9">
        <v>0</v>
      </c>
      <c r="BP2" s="9">
        <v>0</v>
      </c>
      <c r="BQ2" s="9">
        <v>0</v>
      </c>
      <c r="BR2" s="9">
        <v>0</v>
      </c>
      <c r="BS2" s="9">
        <v>0</v>
      </c>
      <c r="BT2" s="9">
        <v>0</v>
      </c>
      <c r="BU2" s="9">
        <v>0</v>
      </c>
      <c r="BV2" s="9">
        <v>0</v>
      </c>
      <c r="BW2" s="9">
        <v>0</v>
      </c>
      <c r="BX2" s="9">
        <v>0</v>
      </c>
    </row>
    <row r="3" spans="1:76">
      <c r="A3" s="3" t="s">
        <v>66</v>
      </c>
      <c r="B3" t="s">
        <v>6</v>
      </c>
      <c r="C3" t="s">
        <v>152</v>
      </c>
      <c r="D3" t="s">
        <v>73</v>
      </c>
      <c r="E3" t="s">
        <v>4975</v>
      </c>
      <c r="F3" s="91" t="s">
        <v>68</v>
      </c>
      <c r="G3" t="s">
        <v>4976</v>
      </c>
      <c r="H3" s="3" t="s">
        <v>69</v>
      </c>
      <c r="I3" s="3"/>
      <c r="J3" s="124"/>
      <c r="K3" s="124"/>
      <c r="L3" s="6"/>
      <c r="M3" s="124">
        <v>1.2</v>
      </c>
      <c r="N3" s="9">
        <v>0</v>
      </c>
      <c r="O3" s="9">
        <v>0</v>
      </c>
      <c r="P3" s="9">
        <v>0</v>
      </c>
      <c r="Q3" s="9">
        <v>0</v>
      </c>
      <c r="R3" s="9">
        <v>0</v>
      </c>
      <c r="S3" s="9">
        <v>0</v>
      </c>
      <c r="T3" s="9">
        <v>0</v>
      </c>
      <c r="U3" s="9">
        <v>0</v>
      </c>
      <c r="V3" s="9">
        <v>0</v>
      </c>
      <c r="W3" s="9">
        <v>0</v>
      </c>
      <c r="X3" s="10">
        <v>8.6956026908328035</v>
      </c>
      <c r="Y3" s="9">
        <v>11.314608636877557</v>
      </c>
      <c r="Z3" s="9">
        <v>20.674305121546507</v>
      </c>
      <c r="AA3" s="9">
        <v>23.887866689219916</v>
      </c>
      <c r="AB3" s="9">
        <v>21.975142198028337</v>
      </c>
      <c r="AC3" s="9">
        <v>30.781065143741461</v>
      </c>
      <c r="AD3" s="9">
        <v>45.86839810733175</v>
      </c>
      <c r="AE3" s="9">
        <v>29.691656690213378</v>
      </c>
      <c r="AF3" s="9">
        <v>28.98537523536028</v>
      </c>
      <c r="AG3" s="9">
        <v>39.161009623856764</v>
      </c>
      <c r="AH3" s="9">
        <v>50.30910103784597</v>
      </c>
      <c r="AI3" s="9">
        <v>49.602819582992872</v>
      </c>
      <c r="AJ3" s="9">
        <v>49.602819582992872</v>
      </c>
      <c r="AK3" s="9">
        <v>43.633856617527755</v>
      </c>
      <c r="AL3" s="9">
        <v>32.792810094178016</v>
      </c>
      <c r="AM3" s="9">
        <v>24.680897116135647</v>
      </c>
      <c r="AN3" s="9">
        <v>21.823419115283961</v>
      </c>
      <c r="AO3" s="9">
        <v>22.664737552785116</v>
      </c>
      <c r="AP3" s="9">
        <v>27.196467990021457</v>
      </c>
      <c r="AQ3" s="9">
        <v>27.902749444874555</v>
      </c>
      <c r="AR3" s="9">
        <v>27.902749444874555</v>
      </c>
      <c r="AS3" s="9">
        <v>27.902749444874555</v>
      </c>
      <c r="AT3" s="9">
        <v>27.196467990021457</v>
      </c>
      <c r="AU3" s="9">
        <v>26.490186535168277</v>
      </c>
      <c r="AV3" s="9">
        <v>26.490186535168277</v>
      </c>
      <c r="AW3" s="9">
        <v>7.6508979647663997</v>
      </c>
      <c r="AX3" s="9">
        <v>8.4955779243566028</v>
      </c>
      <c r="AY3" s="9">
        <v>8.4955779243566028</v>
      </c>
      <c r="AZ3" s="9">
        <v>7.6508979647663997</v>
      </c>
      <c r="BA3" s="9">
        <v>0</v>
      </c>
      <c r="BB3" s="9">
        <v>0</v>
      </c>
      <c r="BC3" s="9">
        <v>0</v>
      </c>
      <c r="BD3" s="9">
        <v>0</v>
      </c>
      <c r="BE3" s="9">
        <v>0</v>
      </c>
      <c r="BF3" s="9">
        <v>0</v>
      </c>
      <c r="BG3" s="9">
        <v>0</v>
      </c>
      <c r="BH3" s="9">
        <v>0</v>
      </c>
      <c r="BI3" s="9">
        <v>0</v>
      </c>
      <c r="BJ3" s="9">
        <v>0</v>
      </c>
      <c r="BK3" s="9">
        <v>0</v>
      </c>
      <c r="BL3" s="9">
        <v>0</v>
      </c>
      <c r="BM3" s="9">
        <v>0</v>
      </c>
      <c r="BN3" s="9">
        <v>0</v>
      </c>
      <c r="BO3" s="9">
        <v>0</v>
      </c>
      <c r="BP3" s="9">
        <v>0</v>
      </c>
      <c r="BQ3" s="9">
        <v>0</v>
      </c>
      <c r="BR3" s="9">
        <v>0</v>
      </c>
      <c r="BS3" s="9">
        <v>0</v>
      </c>
      <c r="BT3" s="9">
        <v>0</v>
      </c>
      <c r="BU3" s="9">
        <v>0</v>
      </c>
      <c r="BV3" s="9">
        <v>0</v>
      </c>
      <c r="BW3" s="9">
        <v>0</v>
      </c>
      <c r="BX3" s="9">
        <v>0</v>
      </c>
    </row>
    <row r="4" spans="1:76">
      <c r="A4" t="s">
        <v>66</v>
      </c>
      <c r="B4" t="s">
        <v>6</v>
      </c>
      <c r="C4" t="s">
        <v>152</v>
      </c>
      <c r="D4" t="s">
        <v>5183</v>
      </c>
      <c r="E4" t="s">
        <v>5185</v>
      </c>
      <c r="F4" t="s">
        <v>4971</v>
      </c>
      <c r="G4" t="s">
        <v>4998</v>
      </c>
      <c r="H4" t="s">
        <v>5187</v>
      </c>
      <c r="M4">
        <v>1.2</v>
      </c>
      <c r="N4">
        <v>0</v>
      </c>
      <c r="O4">
        <v>0</v>
      </c>
      <c r="P4">
        <v>0</v>
      </c>
      <c r="Q4">
        <v>0</v>
      </c>
      <c r="R4">
        <v>0</v>
      </c>
      <c r="S4">
        <v>0</v>
      </c>
      <c r="T4">
        <v>0</v>
      </c>
      <c r="U4">
        <v>0</v>
      </c>
      <c r="V4">
        <v>0</v>
      </c>
      <c r="W4">
        <v>0</v>
      </c>
      <c r="X4" s="140">
        <v>11.714879194605858</v>
      </c>
      <c r="Y4">
        <v>27.53540516182478</v>
      </c>
      <c r="Z4">
        <v>18.795915552136108</v>
      </c>
      <c r="AA4">
        <v>29.287917292917843</v>
      </c>
      <c r="AB4">
        <v>20.548427683229171</v>
      </c>
      <c r="AC4">
        <v>26.267471785754427</v>
      </c>
      <c r="AD4">
        <v>56.605563117086504</v>
      </c>
      <c r="AE4">
        <v>49.998370545887205</v>
      </c>
      <c r="AF4">
        <v>42.917334188356939</v>
      </c>
      <c r="AG4">
        <v>48.245858414794263</v>
      </c>
      <c r="AH4">
        <v>48.245858414794263</v>
      </c>
      <c r="AI4">
        <v>41.164822057263883</v>
      </c>
      <c r="AJ4">
        <v>41.164822057263883</v>
      </c>
      <c r="AK4">
        <v>38.845891627588536</v>
      </c>
      <c r="AL4">
        <v>38.845891627588536</v>
      </c>
      <c r="AM4">
        <v>36.699618859446183</v>
      </c>
      <c r="AN4">
        <v>27.960129249757397</v>
      </c>
      <c r="AO4">
        <v>29.101044595091167</v>
      </c>
      <c r="AP4">
        <v>53.66106017199877</v>
      </c>
      <c r="AQ4">
        <v>60.742096529529036</v>
      </c>
      <c r="AR4">
        <v>60.742096529529036</v>
      </c>
      <c r="AS4">
        <v>60.742096529529036</v>
      </c>
      <c r="AT4">
        <v>53.66106017199877</v>
      </c>
      <c r="AU4">
        <v>46.580023814468511</v>
      </c>
      <c r="AV4">
        <v>46.580023814468511</v>
      </c>
      <c r="AW4">
        <v>34.95795843875468</v>
      </c>
      <c r="AX4">
        <v>43.455202067791042</v>
      </c>
      <c r="AY4">
        <v>43.455202067791042</v>
      </c>
      <c r="AZ4">
        <v>34.95795843875468</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row>
    <row r="5" spans="1:76">
      <c r="A5" t="s">
        <v>66</v>
      </c>
      <c r="B5" t="s">
        <v>6</v>
      </c>
      <c r="C5" t="s">
        <v>152</v>
      </c>
      <c r="D5" t="s">
        <v>4967</v>
      </c>
      <c r="E5" t="s">
        <v>4968</v>
      </c>
      <c r="F5" t="s">
        <v>4973</v>
      </c>
      <c r="G5" t="s">
        <v>4983</v>
      </c>
      <c r="H5" t="s">
        <v>4984</v>
      </c>
      <c r="M5">
        <v>1.2</v>
      </c>
      <c r="N5">
        <v>0</v>
      </c>
      <c r="O5">
        <v>0</v>
      </c>
      <c r="P5">
        <v>0</v>
      </c>
      <c r="Q5">
        <v>0</v>
      </c>
      <c r="R5">
        <v>96.313717501683527</v>
      </c>
      <c r="S5">
        <v>113.38029656818192</v>
      </c>
      <c r="T5">
        <v>128.99158593013453</v>
      </c>
      <c r="U5">
        <v>1.0560000000000627</v>
      </c>
      <c r="V5">
        <v>82.486799999999974</v>
      </c>
      <c r="W5">
        <v>1.7171999999999799</v>
      </c>
      <c r="X5">
        <v>158.75488894838603</v>
      </c>
      <c r="Y5">
        <v>194.27770883780718</v>
      </c>
      <c r="Z5">
        <v>386.50595090767473</v>
      </c>
      <c r="AA5">
        <v>439.01304363242735</v>
      </c>
      <c r="AB5">
        <v>410.25522430013808</v>
      </c>
      <c r="AC5">
        <v>577.16868149891059</v>
      </c>
      <c r="AD5">
        <v>842.60470078911851</v>
      </c>
      <c r="AE5">
        <v>532.08087246023808</v>
      </c>
      <c r="AF5">
        <v>525.3158719031062</v>
      </c>
      <c r="AG5">
        <v>719.47185686929276</v>
      </c>
      <c r="AH5">
        <v>938.02054476910951</v>
      </c>
      <c r="AI5">
        <v>931.25554421197739</v>
      </c>
      <c r="AJ5">
        <v>931.25554421197739</v>
      </c>
      <c r="AK5">
        <v>816.55811948438998</v>
      </c>
      <c r="AL5">
        <v>604.02878103944101</v>
      </c>
      <c r="AM5">
        <v>447.14801753086425</v>
      </c>
      <c r="AN5">
        <v>399.86912295282747</v>
      </c>
      <c r="AO5">
        <v>415.22152774578018</v>
      </c>
      <c r="AP5">
        <v>479.50216696749095</v>
      </c>
      <c r="AQ5">
        <v>486.26716752462295</v>
      </c>
      <c r="AR5">
        <v>486.26716752462295</v>
      </c>
      <c r="AS5">
        <v>486.26716752462295</v>
      </c>
      <c r="AT5">
        <v>479.50216696749095</v>
      </c>
      <c r="AU5">
        <v>472.73716641035912</v>
      </c>
      <c r="AV5">
        <v>472.73716641035912</v>
      </c>
      <c r="AW5">
        <v>115.03127732915755</v>
      </c>
      <c r="AX5">
        <v>123.09325357089361</v>
      </c>
      <c r="AY5">
        <v>123.09325357089361</v>
      </c>
      <c r="AZ5">
        <v>115.03127732915755</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row>
    <row r="6" spans="1:76">
      <c r="A6" s="3" t="s">
        <v>66</v>
      </c>
      <c r="B6" t="s">
        <v>7</v>
      </c>
      <c r="C6" t="s">
        <v>156</v>
      </c>
      <c r="D6" t="s">
        <v>71</v>
      </c>
      <c r="E6" t="s">
        <v>4974</v>
      </c>
      <c r="F6" s="91" t="s">
        <v>30</v>
      </c>
      <c r="G6" t="s">
        <v>34</v>
      </c>
      <c r="H6" s="3" t="s">
        <v>32</v>
      </c>
      <c r="I6" s="3"/>
      <c r="J6" s="124"/>
      <c r="K6" s="124"/>
      <c r="L6" s="6"/>
      <c r="M6" s="124">
        <v>1.1000000000000001</v>
      </c>
      <c r="N6" s="9">
        <v>0</v>
      </c>
      <c r="O6" s="9">
        <v>0</v>
      </c>
      <c r="P6" s="9">
        <v>0</v>
      </c>
      <c r="Q6" s="9">
        <v>0</v>
      </c>
      <c r="R6" s="9">
        <v>25.3</v>
      </c>
      <c r="S6" s="9">
        <v>129.76150000000001</v>
      </c>
      <c r="T6" s="9">
        <v>60.500000000000007</v>
      </c>
      <c r="U6" s="9">
        <v>-2.8709999983789203E-5</v>
      </c>
      <c r="V6" s="9">
        <v>56.142900000000019</v>
      </c>
      <c r="W6" s="9">
        <v>0</v>
      </c>
      <c r="X6" s="9">
        <v>0</v>
      </c>
      <c r="Y6" s="9">
        <v>0</v>
      </c>
      <c r="Z6" s="9">
        <v>9.501637398329283</v>
      </c>
      <c r="AA6" s="9">
        <v>9.501637398329283</v>
      </c>
      <c r="AB6" s="9">
        <v>9.501637398329283</v>
      </c>
      <c r="AC6" s="9">
        <v>9.501637398329283</v>
      </c>
      <c r="AD6" s="9">
        <v>18.639664917340035</v>
      </c>
      <c r="AE6" s="9">
        <v>9.1380275190107518</v>
      </c>
      <c r="AF6" s="9">
        <v>9.1380275190107518</v>
      </c>
      <c r="AG6" s="9">
        <v>18.216329367962608</v>
      </c>
      <c r="AH6" s="9">
        <v>27.613168123895232</v>
      </c>
      <c r="AI6" s="9">
        <v>27.613168123895232</v>
      </c>
      <c r="AJ6" s="9">
        <v>27.613168123895232</v>
      </c>
      <c r="AK6" s="9">
        <v>24.029627920361598</v>
      </c>
      <c r="AL6" s="9">
        <v>14.891600401350846</v>
      </c>
      <c r="AM6" s="9">
        <v>9.3968387559326203</v>
      </c>
      <c r="AN6" s="9">
        <v>8.6004964884807062</v>
      </c>
      <c r="AO6" s="9">
        <v>8.6004964884807062</v>
      </c>
      <c r="AP6" s="9">
        <v>8.6004964884807062</v>
      </c>
      <c r="AQ6" s="9">
        <v>8.6004964884807062</v>
      </c>
      <c r="AR6" s="9">
        <v>8.6004964884807062</v>
      </c>
      <c r="AS6" s="9">
        <v>8.6004964884807062</v>
      </c>
      <c r="AT6" s="9">
        <v>8.6004964884807062</v>
      </c>
      <c r="AU6" s="9">
        <v>8.6004964884807062</v>
      </c>
      <c r="AV6" s="9">
        <v>8.6004964884807062</v>
      </c>
      <c r="AW6" s="9">
        <v>0</v>
      </c>
      <c r="AX6" s="9">
        <v>0</v>
      </c>
      <c r="AY6" s="9">
        <v>0</v>
      </c>
      <c r="AZ6" s="9">
        <v>0</v>
      </c>
      <c r="BA6" s="9">
        <v>0</v>
      </c>
      <c r="BB6" s="9">
        <v>0</v>
      </c>
      <c r="BC6" s="9">
        <v>0</v>
      </c>
      <c r="BD6" s="9">
        <v>0</v>
      </c>
      <c r="BE6" s="9">
        <v>0</v>
      </c>
      <c r="BF6" s="9">
        <v>0</v>
      </c>
      <c r="BG6" s="9">
        <v>0</v>
      </c>
      <c r="BH6" s="9">
        <v>0</v>
      </c>
      <c r="BI6" s="9">
        <v>0</v>
      </c>
      <c r="BJ6" s="9">
        <v>0</v>
      </c>
      <c r="BK6" s="9">
        <v>0</v>
      </c>
      <c r="BL6" s="9">
        <v>0</v>
      </c>
      <c r="BM6" s="9">
        <v>0</v>
      </c>
      <c r="BN6" s="9">
        <v>0</v>
      </c>
      <c r="BO6" s="9">
        <v>0</v>
      </c>
      <c r="BP6" s="9">
        <v>0</v>
      </c>
      <c r="BQ6" s="9">
        <v>0</v>
      </c>
      <c r="BR6" s="9">
        <v>0</v>
      </c>
      <c r="BS6" s="9">
        <v>0</v>
      </c>
      <c r="BT6" s="9">
        <v>0</v>
      </c>
      <c r="BU6" s="9">
        <v>0</v>
      </c>
      <c r="BV6" s="9">
        <v>0</v>
      </c>
      <c r="BW6" s="9">
        <v>0</v>
      </c>
      <c r="BX6" s="9">
        <v>0</v>
      </c>
    </row>
    <row r="7" spans="1:76">
      <c r="A7" t="s">
        <v>66</v>
      </c>
      <c r="B7" t="s">
        <v>7</v>
      </c>
      <c r="C7" t="s">
        <v>156</v>
      </c>
      <c r="D7" t="s">
        <v>73</v>
      </c>
      <c r="E7" t="s">
        <v>4975</v>
      </c>
      <c r="F7" t="s">
        <v>68</v>
      </c>
      <c r="G7" t="s">
        <v>4976</v>
      </c>
      <c r="H7" t="s">
        <v>69</v>
      </c>
      <c r="M7">
        <v>1.1000000000000001</v>
      </c>
      <c r="N7">
        <v>0</v>
      </c>
      <c r="O7">
        <v>0</v>
      </c>
      <c r="P7">
        <v>0</v>
      </c>
      <c r="Q7">
        <v>0</v>
      </c>
      <c r="R7">
        <v>83.457000000000008</v>
      </c>
      <c r="S7">
        <v>167.816</v>
      </c>
      <c r="T7">
        <v>0</v>
      </c>
      <c r="U7">
        <v>0.18700000000000003</v>
      </c>
      <c r="V7">
        <v>28.193000000000001</v>
      </c>
      <c r="W7">
        <v>0</v>
      </c>
      <c r="X7">
        <v>0</v>
      </c>
      <c r="Y7">
        <v>0</v>
      </c>
      <c r="Z7">
        <v>251.70169505034306</v>
      </c>
      <c r="AA7">
        <v>251.70169505034306</v>
      </c>
      <c r="AB7">
        <v>251.70169505034306</v>
      </c>
      <c r="AC7">
        <v>251.70169505034306</v>
      </c>
      <c r="AD7">
        <v>493.77123733324652</v>
      </c>
      <c r="AE7">
        <v>242.06954228290343</v>
      </c>
      <c r="AF7">
        <v>242.06954228290343</v>
      </c>
      <c r="AG7">
        <v>482.55693069467674</v>
      </c>
      <c r="AH7">
        <v>731.48247308581051</v>
      </c>
      <c r="AI7">
        <v>731.48247308581051</v>
      </c>
      <c r="AJ7">
        <v>731.48247308581051</v>
      </c>
      <c r="AK7">
        <v>636.55324081800507</v>
      </c>
      <c r="AL7">
        <v>394.48369853510167</v>
      </c>
      <c r="AM7">
        <v>248.92554239113372</v>
      </c>
      <c r="AN7">
        <v>227.83015744273263</v>
      </c>
      <c r="AO7">
        <v>227.83015744273263</v>
      </c>
      <c r="AP7">
        <v>227.83015744273263</v>
      </c>
      <c r="AQ7">
        <v>227.83015744273263</v>
      </c>
      <c r="AR7">
        <v>227.83015744273263</v>
      </c>
      <c r="AS7">
        <v>227.83015744273263</v>
      </c>
      <c r="AT7">
        <v>227.83015744273263</v>
      </c>
      <c r="AU7">
        <v>227.83015744273263</v>
      </c>
      <c r="AV7">
        <v>227.83015744273263</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row>
    <row r="8" spans="1:76">
      <c r="A8" t="s">
        <v>66</v>
      </c>
      <c r="B8" t="s">
        <v>7</v>
      </c>
      <c r="C8" t="s">
        <v>156</v>
      </c>
      <c r="D8" t="s">
        <v>76</v>
      </c>
      <c r="E8" t="s">
        <v>5186</v>
      </c>
      <c r="F8" t="s">
        <v>77</v>
      </c>
      <c r="G8" t="s">
        <v>4992</v>
      </c>
      <c r="H8" t="s">
        <v>5171</v>
      </c>
      <c r="M8">
        <v>1.1000000000000001</v>
      </c>
      <c r="N8">
        <v>0</v>
      </c>
      <c r="O8">
        <v>0</v>
      </c>
      <c r="P8">
        <v>0</v>
      </c>
      <c r="Q8">
        <v>0</v>
      </c>
      <c r="R8">
        <v>0</v>
      </c>
      <c r="S8">
        <v>0</v>
      </c>
      <c r="T8">
        <v>175.49680610000001</v>
      </c>
      <c r="U8">
        <v>0</v>
      </c>
      <c r="V8">
        <v>1.6268999999999836</v>
      </c>
      <c r="W8">
        <v>0</v>
      </c>
      <c r="X8">
        <v>0</v>
      </c>
      <c r="Y8">
        <v>0</v>
      </c>
      <c r="Z8">
        <v>11.259578982772654</v>
      </c>
      <c r="AA8">
        <v>11.259578982772654</v>
      </c>
      <c r="AB8">
        <v>11.259578982772654</v>
      </c>
      <c r="AC8">
        <v>11.259578982772654</v>
      </c>
      <c r="AD8">
        <v>22.08827495207403</v>
      </c>
      <c r="AE8">
        <v>10.828695969301382</v>
      </c>
      <c r="AF8">
        <v>10.828695969301382</v>
      </c>
      <c r="AG8">
        <v>21.586616147953734</v>
      </c>
      <c r="AH8">
        <v>32.722007210067567</v>
      </c>
      <c r="AI8">
        <v>32.722007210067567</v>
      </c>
      <c r="AJ8">
        <v>32.722007210067567</v>
      </c>
      <c r="AK8">
        <v>28.475459771125848</v>
      </c>
      <c r="AL8">
        <v>17.646763801824463</v>
      </c>
      <c r="AM8">
        <v>11.135391062113834</v>
      </c>
      <c r="AN8">
        <v>10.191713853460124</v>
      </c>
      <c r="AO8">
        <v>10.191713853460124</v>
      </c>
      <c r="AP8">
        <v>10.191713853460124</v>
      </c>
      <c r="AQ8">
        <v>10.191713853460124</v>
      </c>
      <c r="AR8">
        <v>10.191713853460124</v>
      </c>
      <c r="AS8">
        <v>10.191713853460124</v>
      </c>
      <c r="AT8">
        <v>10.191713853460124</v>
      </c>
      <c r="AU8">
        <v>10.191713853460124</v>
      </c>
      <c r="AV8">
        <v>10.191713853460124</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row>
    <row r="9" spans="1:76">
      <c r="A9" t="s">
        <v>66</v>
      </c>
      <c r="B9" t="s">
        <v>7</v>
      </c>
      <c r="C9" t="s">
        <v>156</v>
      </c>
      <c r="D9" t="s">
        <v>5183</v>
      </c>
      <c r="E9" t="s">
        <v>5185</v>
      </c>
      <c r="F9" t="s">
        <v>4971</v>
      </c>
      <c r="G9" t="s">
        <v>4998</v>
      </c>
      <c r="H9" t="s">
        <v>5187</v>
      </c>
      <c r="M9">
        <v>1.1000000000000001</v>
      </c>
      <c r="N9">
        <v>0</v>
      </c>
      <c r="O9">
        <v>0</v>
      </c>
      <c r="P9">
        <v>355.322</v>
      </c>
      <c r="Q9">
        <v>398.81600000000009</v>
      </c>
      <c r="R9">
        <v>222.39799999999997</v>
      </c>
      <c r="S9">
        <v>0</v>
      </c>
      <c r="T9">
        <v>62.575538299999977</v>
      </c>
      <c r="U9">
        <v>1.6169999996691332E-4</v>
      </c>
      <c r="V9">
        <v>382.84290000000027</v>
      </c>
      <c r="W9">
        <v>0</v>
      </c>
      <c r="X9">
        <v>22.310057582799914</v>
      </c>
      <c r="Y9">
        <v>52.438993567163728</v>
      </c>
      <c r="Z9">
        <v>35.795329283693015</v>
      </c>
      <c r="AA9">
        <v>55.776513818951273</v>
      </c>
      <c r="AB9">
        <v>39.13284953548056</v>
      </c>
      <c r="AC9">
        <v>50.024315091921011</v>
      </c>
      <c r="AD9">
        <v>107.80080201172777</v>
      </c>
      <c r="AE9">
        <v>95.217928191571076</v>
      </c>
      <c r="AF9">
        <v>81.732656490677954</v>
      </c>
      <c r="AG9">
        <v>91.880407939783765</v>
      </c>
      <c r="AH9">
        <v>91.880407939783765</v>
      </c>
      <c r="AI9">
        <v>78.39513623889043</v>
      </c>
      <c r="AJ9">
        <v>78.39513623889043</v>
      </c>
      <c r="AK9">
        <v>73.9789172956865</v>
      </c>
      <c r="AL9">
        <v>73.9789172956865</v>
      </c>
      <c r="AM9">
        <v>69.891511164541825</v>
      </c>
      <c r="AN9">
        <v>53.247846881070878</v>
      </c>
      <c r="AO9">
        <v>55.420629598558634</v>
      </c>
      <c r="AP9">
        <v>102.1932298663932</v>
      </c>
      <c r="AQ9">
        <v>115.6785015672863</v>
      </c>
      <c r="AR9">
        <v>115.6785015672863</v>
      </c>
      <c r="AS9">
        <v>115.6785015672863</v>
      </c>
      <c r="AT9">
        <v>102.1932298663932</v>
      </c>
      <c r="AU9">
        <v>88.707958165500088</v>
      </c>
      <c r="AV9">
        <v>88.707958165500088</v>
      </c>
      <c r="AW9">
        <v>66.574657133882894</v>
      </c>
      <c r="AX9">
        <v>82.756983174954726</v>
      </c>
      <c r="AY9">
        <v>82.756983174954726</v>
      </c>
      <c r="AZ9">
        <v>66.574657133882894</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row>
    <row r="10" spans="1:76">
      <c r="A10" t="s">
        <v>66</v>
      </c>
      <c r="B10" t="s">
        <v>7</v>
      </c>
      <c r="C10" t="s">
        <v>156</v>
      </c>
      <c r="D10" t="s">
        <v>4967</v>
      </c>
      <c r="E10" t="s">
        <v>4968</v>
      </c>
      <c r="F10" t="s">
        <v>4973</v>
      </c>
      <c r="G10" t="s">
        <v>4983</v>
      </c>
      <c r="H10" t="s">
        <v>4984</v>
      </c>
      <c r="M10">
        <v>1.1000000000000001</v>
      </c>
      <c r="N10">
        <v>0</v>
      </c>
      <c r="O10">
        <v>0</v>
      </c>
      <c r="P10">
        <v>0</v>
      </c>
      <c r="Q10">
        <v>0</v>
      </c>
      <c r="R10">
        <v>117.39560250784062</v>
      </c>
      <c r="S10">
        <v>230.45528346396179</v>
      </c>
      <c r="T10">
        <v>302.16506962819773</v>
      </c>
      <c r="U10">
        <v>0</v>
      </c>
      <c r="V10">
        <v>190.76310000000007</v>
      </c>
      <c r="W10">
        <v>202.24489999999994</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row>
    <row r="11" spans="1:76">
      <c r="A11" t="s">
        <v>66</v>
      </c>
      <c r="B11" t="s">
        <v>5193</v>
      </c>
      <c r="C11" t="s">
        <v>5194</v>
      </c>
      <c r="D11" t="s">
        <v>4967</v>
      </c>
      <c r="E11" t="s">
        <v>4968</v>
      </c>
      <c r="F11" t="s">
        <v>4973</v>
      </c>
      <c r="G11" t="s">
        <v>4983</v>
      </c>
      <c r="H11" t="s">
        <v>4984</v>
      </c>
      <c r="M11">
        <v>1.05</v>
      </c>
      <c r="N11">
        <v>0</v>
      </c>
      <c r="O11">
        <v>0</v>
      </c>
      <c r="P11">
        <v>0</v>
      </c>
      <c r="Q11">
        <v>0</v>
      </c>
      <c r="R11">
        <v>5.8154118751016517</v>
      </c>
      <c r="S11">
        <v>6.8458900784680727</v>
      </c>
      <c r="T11">
        <v>7.7884980464302744</v>
      </c>
      <c r="U11">
        <v>356.60415000000006</v>
      </c>
      <c r="V11">
        <v>4.6462500000000118</v>
      </c>
      <c r="W11">
        <v>225.62715</v>
      </c>
      <c r="X11">
        <v>3020.4274437712088</v>
      </c>
      <c r="Y11">
        <v>4947.4713705057984</v>
      </c>
      <c r="Z11">
        <v>8867.568423715391</v>
      </c>
      <c r="AA11">
        <v>9373.9623904690943</v>
      </c>
      <c r="AB11">
        <v>8066.8549086894191</v>
      </c>
      <c r="AC11">
        <v>11045.861781402529</v>
      </c>
      <c r="AD11">
        <v>17548.63821232086</v>
      </c>
      <c r="AE11">
        <v>12209.252599653049</v>
      </c>
      <c r="AF11">
        <v>10510.328584753865</v>
      </c>
      <c r="AG11">
        <v>14815.388457233146</v>
      </c>
      <c r="AH11">
        <v>19996.840087951412</v>
      </c>
      <c r="AI11">
        <v>18297.916073052216</v>
      </c>
      <c r="AJ11">
        <v>18297.916073052216</v>
      </c>
      <c r="AK11">
        <v>16033.531004006052</v>
      </c>
      <c r="AL11">
        <v>12044.058538126259</v>
      </c>
      <c r="AM11">
        <v>9304.3624060458296</v>
      </c>
      <c r="AN11">
        <v>8189.0822634099877</v>
      </c>
      <c r="AO11">
        <v>8505.4867326420554</v>
      </c>
      <c r="AP11">
        <v>10660.650571212051</v>
      </c>
      <c r="AQ11">
        <v>11280.587016166968</v>
      </c>
      <c r="AR11">
        <v>11280.587016166968</v>
      </c>
      <c r="AS11">
        <v>11280.587016166968</v>
      </c>
      <c r="AT11">
        <v>10660.650571212051</v>
      </c>
      <c r="AU11">
        <v>10040.714126257137</v>
      </c>
      <c r="AV11">
        <v>10040.714126257137</v>
      </c>
      <c r="AW11">
        <v>3070.4547872301541</v>
      </c>
      <c r="AX11">
        <v>3878.2045648098938</v>
      </c>
      <c r="AY11">
        <v>3878.2045648098938</v>
      </c>
      <c r="AZ11">
        <v>3070.4547872301541</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row>
    <row r="12" spans="1:76">
      <c r="A12" t="s">
        <v>66</v>
      </c>
      <c r="B12" t="s">
        <v>2624</v>
      </c>
      <c r="C12" t="s">
        <v>184</v>
      </c>
      <c r="D12" t="s">
        <v>4967</v>
      </c>
      <c r="E12" t="s">
        <v>4968</v>
      </c>
      <c r="F12" t="s">
        <v>4973</v>
      </c>
      <c r="G12" t="s">
        <v>4983</v>
      </c>
      <c r="H12" t="s">
        <v>4984</v>
      </c>
      <c r="M12">
        <v>1.1000000000000001</v>
      </c>
      <c r="N12">
        <v>0</v>
      </c>
      <c r="O12">
        <v>0</v>
      </c>
      <c r="P12">
        <v>0</v>
      </c>
      <c r="Q12">
        <v>0</v>
      </c>
      <c r="R12">
        <v>0</v>
      </c>
      <c r="S12">
        <v>0</v>
      </c>
      <c r="T12">
        <v>0</v>
      </c>
      <c r="U12">
        <v>0</v>
      </c>
      <c r="V12">
        <v>0</v>
      </c>
      <c r="W12">
        <v>0</v>
      </c>
      <c r="X12">
        <v>0</v>
      </c>
      <c r="Y12">
        <v>0</v>
      </c>
      <c r="Z12">
        <v>0</v>
      </c>
      <c r="AA12">
        <v>0</v>
      </c>
      <c r="AB12">
        <v>0</v>
      </c>
      <c r="AC12">
        <v>0</v>
      </c>
      <c r="AD12">
        <v>0</v>
      </c>
      <c r="AE12">
        <v>190.46912500000002</v>
      </c>
      <c r="AF12">
        <v>190.46912500000002</v>
      </c>
      <c r="AG12">
        <v>190.46912500000002</v>
      </c>
      <c r="AH12">
        <v>190.46912500000002</v>
      </c>
      <c r="AI12">
        <v>190.46912500000002</v>
      </c>
      <c r="AJ12">
        <v>190.46912500000002</v>
      </c>
      <c r="AK12">
        <v>190.46912500000002</v>
      </c>
      <c r="AL12">
        <v>190.46912500000002</v>
      </c>
      <c r="AM12">
        <v>0</v>
      </c>
      <c r="AN12">
        <v>0</v>
      </c>
      <c r="AO12">
        <v>0</v>
      </c>
      <c r="AP12">
        <v>0</v>
      </c>
      <c r="AQ12">
        <v>190.46912500000002</v>
      </c>
      <c r="AR12">
        <v>190.46912500000002</v>
      </c>
      <c r="AS12">
        <v>190.46912500000002</v>
      </c>
      <c r="AT12">
        <v>190.46912500000002</v>
      </c>
      <c r="AU12">
        <v>190.46912500000002</v>
      </c>
      <c r="AV12">
        <v>190.46912500000002</v>
      </c>
      <c r="AW12">
        <v>190.46912500000002</v>
      </c>
      <c r="AX12">
        <v>190.46912500000002</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row>
    <row r="13" spans="1:76">
      <c r="A13" t="s">
        <v>66</v>
      </c>
      <c r="B13" t="s">
        <v>2626</v>
      </c>
      <c r="C13" t="s">
        <v>205</v>
      </c>
      <c r="D13" t="s">
        <v>4967</v>
      </c>
      <c r="E13" t="s">
        <v>4968</v>
      </c>
      <c r="F13" t="s">
        <v>4973</v>
      </c>
      <c r="G13" t="s">
        <v>4983</v>
      </c>
      <c r="H13" t="s">
        <v>4984</v>
      </c>
      <c r="M13">
        <v>1.3559999999999999</v>
      </c>
      <c r="N13">
        <v>0</v>
      </c>
      <c r="O13">
        <v>0</v>
      </c>
      <c r="P13">
        <v>0</v>
      </c>
      <c r="Q13">
        <v>0</v>
      </c>
      <c r="R13">
        <v>0</v>
      </c>
      <c r="S13">
        <v>0</v>
      </c>
      <c r="T13">
        <v>0</v>
      </c>
      <c r="U13">
        <v>0</v>
      </c>
      <c r="V13">
        <v>0</v>
      </c>
      <c r="W13">
        <v>0</v>
      </c>
      <c r="X13">
        <v>0</v>
      </c>
      <c r="Y13">
        <v>0</v>
      </c>
      <c r="Z13">
        <v>0</v>
      </c>
      <c r="AA13">
        <v>0</v>
      </c>
      <c r="AB13">
        <v>0</v>
      </c>
      <c r="AC13">
        <v>0</v>
      </c>
      <c r="AD13">
        <v>0</v>
      </c>
      <c r="AE13">
        <v>2542.4999999999995</v>
      </c>
      <c r="AF13">
        <v>2542.4999999999995</v>
      </c>
      <c r="AG13">
        <v>2542.4999999999995</v>
      </c>
      <c r="AH13">
        <v>2542.4999999999995</v>
      </c>
      <c r="AI13">
        <v>2542.4999999999995</v>
      </c>
      <c r="AJ13">
        <v>2542.4999999999995</v>
      </c>
      <c r="AK13">
        <v>2542.4999999999995</v>
      </c>
      <c r="AL13">
        <v>2542.4999999999995</v>
      </c>
      <c r="AM13">
        <v>0</v>
      </c>
      <c r="AN13">
        <v>0</v>
      </c>
      <c r="AO13">
        <v>0</v>
      </c>
      <c r="AP13">
        <v>0</v>
      </c>
      <c r="AQ13">
        <v>2542.4999999999995</v>
      </c>
      <c r="AR13">
        <v>2542.4999999999995</v>
      </c>
      <c r="AS13">
        <v>2542.4999999999995</v>
      </c>
      <c r="AT13">
        <v>2542.4999999999995</v>
      </c>
      <c r="AU13">
        <v>2542.4999999999995</v>
      </c>
      <c r="AV13">
        <v>2542.4999999999995</v>
      </c>
      <c r="AW13">
        <v>2542.4999999999995</v>
      </c>
      <c r="AX13">
        <v>2542.4999999999995</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row>
    <row r="14" spans="1:76">
      <c r="A14" t="s">
        <v>66</v>
      </c>
      <c r="B14" t="s">
        <v>2640</v>
      </c>
      <c r="C14" t="s">
        <v>252</v>
      </c>
      <c r="D14" t="s">
        <v>4967</v>
      </c>
      <c r="E14" t="s">
        <v>4968</v>
      </c>
      <c r="F14" t="s">
        <v>4973</v>
      </c>
      <c r="G14" t="s">
        <v>4983</v>
      </c>
      <c r="H14" t="s">
        <v>4984</v>
      </c>
      <c r="M14">
        <v>1.3559999999999999</v>
      </c>
      <c r="N14">
        <v>0</v>
      </c>
      <c r="O14">
        <v>0</v>
      </c>
      <c r="P14">
        <v>0</v>
      </c>
      <c r="Q14">
        <v>0</v>
      </c>
      <c r="R14">
        <v>0</v>
      </c>
      <c r="S14">
        <v>0</v>
      </c>
      <c r="T14">
        <v>0</v>
      </c>
      <c r="U14">
        <v>0</v>
      </c>
      <c r="V14">
        <v>0</v>
      </c>
      <c r="W14">
        <v>0</v>
      </c>
      <c r="X14">
        <v>160.5504</v>
      </c>
      <c r="Y14">
        <v>443.6261052631578</v>
      </c>
      <c r="Z14">
        <v>955.26314385964895</v>
      </c>
      <c r="AA14">
        <v>902.45051228070167</v>
      </c>
      <c r="AB14">
        <v>902.45051228070167</v>
      </c>
      <c r="AC14">
        <v>741.90011228070171</v>
      </c>
      <c r="AD14">
        <v>511.63703859649115</v>
      </c>
      <c r="AE14">
        <v>472.11558596491221</v>
      </c>
      <c r="AF14">
        <v>632.34911017543857</v>
      </c>
      <c r="AG14">
        <v>535.96605754385962</v>
      </c>
      <c r="AH14">
        <v>588.7786891228069</v>
      </c>
      <c r="AI14">
        <v>655.67468912280697</v>
      </c>
      <c r="AJ14">
        <v>532.44521543859651</v>
      </c>
      <c r="AK14">
        <v>266.41038596491228</v>
      </c>
      <c r="AL14">
        <v>266.41038596491228</v>
      </c>
      <c r="AM14">
        <v>266.41038596491228</v>
      </c>
      <c r="AN14">
        <v>266.41038596491228</v>
      </c>
      <c r="AO14">
        <v>458.29628070175437</v>
      </c>
      <c r="AP14">
        <v>458.29628070175437</v>
      </c>
      <c r="AQ14">
        <v>511.10891228070165</v>
      </c>
      <c r="AR14">
        <v>616.73417543859637</v>
      </c>
      <c r="AS14">
        <v>616.73417543859648</v>
      </c>
      <c r="AT14">
        <v>616.73417543859637</v>
      </c>
      <c r="AU14">
        <v>616.73417543859648</v>
      </c>
      <c r="AV14">
        <v>511.10891228070165</v>
      </c>
      <c r="AW14">
        <v>458.29628070175437</v>
      </c>
      <c r="AX14">
        <v>458.29628070175437</v>
      </c>
      <c r="AY14">
        <v>458.29628070175437</v>
      </c>
      <c r="AZ14">
        <v>458.29628070175437</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row>
    <row r="15" spans="1:76">
      <c r="A15" t="s">
        <v>66</v>
      </c>
      <c r="B15" t="s">
        <v>2641</v>
      </c>
      <c r="C15" t="s">
        <v>256</v>
      </c>
      <c r="D15" t="s">
        <v>4967</v>
      </c>
      <c r="E15" t="s">
        <v>4968</v>
      </c>
      <c r="F15" t="s">
        <v>4973</v>
      </c>
      <c r="G15" t="s">
        <v>4983</v>
      </c>
      <c r="H15" t="s">
        <v>4984</v>
      </c>
      <c r="M15">
        <v>1.2</v>
      </c>
      <c r="N15">
        <v>0</v>
      </c>
      <c r="O15">
        <v>0</v>
      </c>
      <c r="P15">
        <v>0</v>
      </c>
      <c r="Q15">
        <v>0</v>
      </c>
      <c r="R15">
        <v>0</v>
      </c>
      <c r="S15">
        <v>0</v>
      </c>
      <c r="T15">
        <v>0</v>
      </c>
      <c r="U15">
        <v>0</v>
      </c>
      <c r="V15">
        <v>0</v>
      </c>
      <c r="W15">
        <v>0</v>
      </c>
      <c r="X15">
        <v>70.079331157838723</v>
      </c>
      <c r="Y15">
        <v>193.64025714665965</v>
      </c>
      <c r="Z15">
        <v>612.55294763101494</v>
      </c>
      <c r="AA15">
        <v>589.50053606593633</v>
      </c>
      <c r="AB15">
        <v>589.50053606593633</v>
      </c>
      <c r="AC15">
        <v>519.42120490809759</v>
      </c>
      <c r="AD15">
        <v>418.91269048435521</v>
      </c>
      <c r="AE15">
        <v>398.69837749648821</v>
      </c>
      <c r="AF15">
        <v>661.26201918493632</v>
      </c>
      <c r="AG15">
        <v>619.19136807866801</v>
      </c>
      <c r="AH15">
        <v>642.24377964374651</v>
      </c>
      <c r="AI15">
        <v>671.44350095951256</v>
      </c>
      <c r="AJ15">
        <v>521.34322814099608</v>
      </c>
      <c r="AK15">
        <v>308.9092344505072</v>
      </c>
      <c r="AL15">
        <v>212.59792195050721</v>
      </c>
      <c r="AM15">
        <v>116.28660945050726</v>
      </c>
      <c r="AN15">
        <v>116.28660945050726</v>
      </c>
      <c r="AO15">
        <v>200.0437048036259</v>
      </c>
      <c r="AP15">
        <v>200.0437048036259</v>
      </c>
      <c r="AQ15">
        <v>417.88204161870442</v>
      </c>
      <c r="AR15">
        <v>658.77278999886141</v>
      </c>
      <c r="AS15">
        <v>658.77278999886141</v>
      </c>
      <c r="AT15">
        <v>658.77278999886141</v>
      </c>
      <c r="AU15">
        <v>658.77278999886141</v>
      </c>
      <c r="AV15">
        <v>417.88204161870442</v>
      </c>
      <c r="AW15">
        <v>200.0437048036259</v>
      </c>
      <c r="AX15">
        <v>200.0437048036259</v>
      </c>
      <c r="AY15">
        <v>200.0437048036259</v>
      </c>
      <c r="AZ15">
        <v>200.0437048036259</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row>
    <row r="16" spans="1:76">
      <c r="A16" t="s">
        <v>66</v>
      </c>
      <c r="B16" t="s">
        <v>2642</v>
      </c>
      <c r="C16" t="s">
        <v>261</v>
      </c>
      <c r="D16" t="s">
        <v>4967</v>
      </c>
      <c r="E16" t="s">
        <v>4968</v>
      </c>
      <c r="F16" t="s">
        <v>4973</v>
      </c>
      <c r="G16" t="s">
        <v>4983</v>
      </c>
      <c r="H16" t="s">
        <v>4984</v>
      </c>
      <c r="M16">
        <v>1.05</v>
      </c>
      <c r="N16">
        <v>0</v>
      </c>
      <c r="O16">
        <v>0</v>
      </c>
      <c r="P16">
        <v>0</v>
      </c>
      <c r="Q16">
        <v>0</v>
      </c>
      <c r="R16">
        <v>0</v>
      </c>
      <c r="S16">
        <v>0</v>
      </c>
      <c r="T16">
        <v>0</v>
      </c>
      <c r="U16">
        <v>0</v>
      </c>
      <c r="V16">
        <v>0</v>
      </c>
      <c r="W16">
        <v>0</v>
      </c>
      <c r="X16">
        <v>1305.8101134750002</v>
      </c>
      <c r="Y16">
        <v>3608.1595240756578</v>
      </c>
      <c r="Z16">
        <v>10179.605136220589</v>
      </c>
      <c r="AA16">
        <v>9750.0623357353907</v>
      </c>
      <c r="AB16">
        <v>9750.0623357353907</v>
      </c>
      <c r="AC16">
        <v>8444.2522222603911</v>
      </c>
      <c r="AD16">
        <v>6571.4456121449302</v>
      </c>
      <c r="AE16">
        <v>6213.4872889485059</v>
      </c>
      <c r="AF16">
        <v>9890.333433120597</v>
      </c>
      <c r="AG16">
        <v>9106.4178222351093</v>
      </c>
      <c r="AH16">
        <v>9535.9606227203076</v>
      </c>
      <c r="AI16">
        <v>10080.048170001559</v>
      </c>
      <c r="AJ16">
        <v>7890.9749917860945</v>
      </c>
      <c r="AK16">
        <v>4540.4180810586631</v>
      </c>
      <c r="AL16">
        <v>3353.6114373086625</v>
      </c>
      <c r="AM16">
        <v>2166.8047935586624</v>
      </c>
      <c r="AN16">
        <v>2166.8047935586624</v>
      </c>
      <c r="AO16">
        <v>3727.4769686548798</v>
      </c>
      <c r="AP16">
        <v>3727.4769686548798</v>
      </c>
      <c r="AQ16">
        <v>6557.2905597150775</v>
      </c>
      <c r="AR16">
        <v>9816.6469512604708</v>
      </c>
      <c r="AS16">
        <v>9816.6469512604708</v>
      </c>
      <c r="AT16">
        <v>9816.6469512604708</v>
      </c>
      <c r="AU16">
        <v>9816.6469512604708</v>
      </c>
      <c r="AV16">
        <v>6557.2905597150775</v>
      </c>
      <c r="AW16">
        <v>3727.4769686548798</v>
      </c>
      <c r="AX16">
        <v>3727.4769686548798</v>
      </c>
      <c r="AY16">
        <v>3727.4769686548798</v>
      </c>
      <c r="AZ16">
        <v>3727.4769686548798</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row>
    <row r="17" spans="1:76">
      <c r="A17" t="s">
        <v>66</v>
      </c>
      <c r="B17" t="s">
        <v>2643</v>
      </c>
      <c r="C17" t="s">
        <v>265</v>
      </c>
      <c r="D17" t="s">
        <v>4967</v>
      </c>
      <c r="E17" t="s">
        <v>4968</v>
      </c>
      <c r="F17" t="s">
        <v>4973</v>
      </c>
      <c r="G17" t="s">
        <v>4983</v>
      </c>
      <c r="H17" t="s">
        <v>4984</v>
      </c>
      <c r="M17">
        <v>1.05</v>
      </c>
      <c r="N17">
        <v>0</v>
      </c>
      <c r="O17">
        <v>0</v>
      </c>
      <c r="P17">
        <v>0</v>
      </c>
      <c r="Q17">
        <v>0</v>
      </c>
      <c r="R17">
        <v>0</v>
      </c>
      <c r="S17">
        <v>0</v>
      </c>
      <c r="T17">
        <v>0</v>
      </c>
      <c r="U17">
        <v>0</v>
      </c>
      <c r="V17">
        <v>0</v>
      </c>
      <c r="W17">
        <v>0</v>
      </c>
      <c r="X17">
        <v>0</v>
      </c>
      <c r="Y17">
        <v>0</v>
      </c>
      <c r="Z17">
        <v>0</v>
      </c>
      <c r="AA17">
        <v>0</v>
      </c>
      <c r="AB17">
        <v>0</v>
      </c>
      <c r="AC17">
        <v>2484.2864267064142</v>
      </c>
      <c r="AD17">
        <v>2484.2864267064142</v>
      </c>
      <c r="AE17">
        <v>2906.6926461245885</v>
      </c>
      <c r="AF17">
        <v>3511.4512810752467</v>
      </c>
      <c r="AG17">
        <v>3149.2566467722036</v>
      </c>
      <c r="AH17">
        <v>2138.3410402754935</v>
      </c>
      <c r="AI17">
        <v>1773.534272286184</v>
      </c>
      <c r="AJ17">
        <v>1571.4099199013153</v>
      </c>
      <c r="AK17">
        <v>906.28805715460521</v>
      </c>
      <c r="AL17">
        <v>665.93735814144736</v>
      </c>
      <c r="AM17">
        <v>578.49204564144736</v>
      </c>
      <c r="AN17">
        <v>578.49204564144736</v>
      </c>
      <c r="AO17">
        <v>995.15922388980255</v>
      </c>
      <c r="AP17">
        <v>995.15922388980255</v>
      </c>
      <c r="AQ17">
        <v>1286.6930450246709</v>
      </c>
      <c r="AR17">
        <v>1692.9059060444079</v>
      </c>
      <c r="AS17">
        <v>1692.9059060444079</v>
      </c>
      <c r="AT17">
        <v>1692.9059060444079</v>
      </c>
      <c r="AU17">
        <v>1692.9059060444079</v>
      </c>
      <c r="AV17">
        <v>1286.6930450246709</v>
      </c>
      <c r="AW17">
        <v>995.15922388980255</v>
      </c>
      <c r="AX17">
        <v>995.15922388980255</v>
      </c>
      <c r="AY17">
        <v>995.15922388980255</v>
      </c>
      <c r="AZ17">
        <v>995.15922388980255</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row>
    <row r="18" spans="1:76">
      <c r="A18" t="s">
        <v>66</v>
      </c>
      <c r="B18" t="s">
        <v>2650</v>
      </c>
      <c r="C18" t="s">
        <v>300</v>
      </c>
      <c r="D18" t="s">
        <v>4967</v>
      </c>
      <c r="E18" t="s">
        <v>4968</v>
      </c>
      <c r="F18" t="s">
        <v>4973</v>
      </c>
      <c r="G18" t="s">
        <v>4983</v>
      </c>
      <c r="H18" t="s">
        <v>4984</v>
      </c>
      <c r="M18">
        <v>1.05</v>
      </c>
      <c r="N18">
        <v>0</v>
      </c>
      <c r="O18">
        <v>0</v>
      </c>
      <c r="P18">
        <v>0</v>
      </c>
      <c r="Q18">
        <v>0</v>
      </c>
      <c r="R18">
        <v>0</v>
      </c>
      <c r="S18">
        <v>0</v>
      </c>
      <c r="T18">
        <v>0</v>
      </c>
      <c r="U18">
        <v>0</v>
      </c>
      <c r="V18">
        <v>0</v>
      </c>
      <c r="W18">
        <v>0</v>
      </c>
      <c r="X18">
        <v>0</v>
      </c>
      <c r="Y18">
        <v>0</v>
      </c>
      <c r="Z18">
        <v>0</v>
      </c>
      <c r="AA18">
        <v>0</v>
      </c>
      <c r="AB18">
        <v>0</v>
      </c>
      <c r="AC18">
        <v>55.353768749999993</v>
      </c>
      <c r="AD18">
        <v>55.353768749999993</v>
      </c>
      <c r="AE18">
        <v>66.082471874999996</v>
      </c>
      <c r="AF18">
        <v>80.755644375000003</v>
      </c>
      <c r="AG18">
        <v>72.921003749999997</v>
      </c>
      <c r="AH18">
        <v>49.437753749999992</v>
      </c>
      <c r="AI18">
        <v>41.546610000000001</v>
      </c>
      <c r="AJ18">
        <v>36.378641250000001</v>
      </c>
      <c r="AK18">
        <v>21.195562499999998</v>
      </c>
      <c r="AL18">
        <v>15.200718749999995</v>
      </c>
      <c r="AM18">
        <v>12.513374999999996</v>
      </c>
      <c r="AN18">
        <v>12.513374999999996</v>
      </c>
      <c r="AO18">
        <v>21.526312499999996</v>
      </c>
      <c r="AP18">
        <v>21.526312499999996</v>
      </c>
      <c r="AQ18">
        <v>29.441986874999994</v>
      </c>
      <c r="AR18">
        <v>39.838286249999996</v>
      </c>
      <c r="AS18">
        <v>39.838286249999996</v>
      </c>
      <c r="AT18">
        <v>39.838286249999996</v>
      </c>
      <c r="AU18">
        <v>39.838286249999996</v>
      </c>
      <c r="AV18">
        <v>29.441986874999994</v>
      </c>
      <c r="AW18">
        <v>21.526312499999996</v>
      </c>
      <c r="AX18">
        <v>21.526312499999996</v>
      </c>
      <c r="AY18">
        <v>21.526312499999996</v>
      </c>
      <c r="AZ18">
        <v>21.526312499999996</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row>
    <row r="20" spans="1:76">
      <c r="A20" t="s">
        <v>66</v>
      </c>
      <c r="B20" t="s">
        <v>5340</v>
      </c>
      <c r="D20" t="s">
        <v>4967</v>
      </c>
      <c r="E20" t="s">
        <v>4968</v>
      </c>
      <c r="F20" t="s">
        <v>4973</v>
      </c>
      <c r="G20" t="s">
        <v>4983</v>
      </c>
      <c r="H20" t="s">
        <v>4984</v>
      </c>
      <c r="N20" s="9">
        <f>+SUM(N2:N18)</f>
        <v>0</v>
      </c>
      <c r="O20" s="9">
        <f t="shared" ref="O20:BX20" si="0">+SUM(O2:O18)</f>
        <v>0</v>
      </c>
      <c r="P20" s="9">
        <f t="shared" si="0"/>
        <v>355.322</v>
      </c>
      <c r="Q20" s="9">
        <f t="shared" si="0"/>
        <v>398.81600000000009</v>
      </c>
      <c r="R20" s="9">
        <f t="shared" si="0"/>
        <v>550.67973188462577</v>
      </c>
      <c r="S20" s="9">
        <f t="shared" si="0"/>
        <v>648.25897011061181</v>
      </c>
      <c r="T20" s="9">
        <f t="shared" si="0"/>
        <v>737.5174980047625</v>
      </c>
      <c r="U20" s="9">
        <f t="shared" si="0"/>
        <v>357.84728299000011</v>
      </c>
      <c r="V20" s="9">
        <f t="shared" si="0"/>
        <v>746.70185000000038</v>
      </c>
      <c r="W20" s="9">
        <f t="shared" si="0"/>
        <v>429.58924999999994</v>
      </c>
      <c r="X20" s="9">
        <f t="shared" si="0"/>
        <v>4789.4720641998774</v>
      </c>
      <c r="Y20" s="9">
        <f t="shared" si="0"/>
        <v>9518.9690877039666</v>
      </c>
      <c r="Z20" s="9">
        <f t="shared" si="0"/>
        <v>21423.235911876087</v>
      </c>
      <c r="AA20" s="9">
        <f t="shared" si="0"/>
        <v>21521.920089586314</v>
      </c>
      <c r="AB20" s="9">
        <f t="shared" si="0"/>
        <v>20151.911556635154</v>
      </c>
      <c r="AC20" s="9">
        <f t="shared" si="0"/>
        <v>24357.972952318669</v>
      </c>
      <c r="AD20" s="9">
        <f t="shared" si="0"/>
        <v>29341.856453960347</v>
      </c>
      <c r="AE20" s="9">
        <f t="shared" si="0"/>
        <v>26074.616211555862</v>
      </c>
      <c r="AF20" s="9">
        <f t="shared" si="0"/>
        <v>29064.201310433022</v>
      </c>
      <c r="AG20" s="9">
        <f t="shared" si="0"/>
        <v>32593.421804757945</v>
      </c>
      <c r="AH20" s="9">
        <f t="shared" si="0"/>
        <v>37784.945974413778</v>
      </c>
      <c r="AI20" s="9">
        <f t="shared" si="0"/>
        <v>36322.941312626906</v>
      </c>
      <c r="AJ20" s="9">
        <f t="shared" si="0"/>
        <v>33653.246066773849</v>
      </c>
      <c r="AK20" s="9">
        <f t="shared" si="0"/>
        <v>26628.001202776661</v>
      </c>
      <c r="AL20" s="9">
        <f t="shared" si="0"/>
        <v>20584.848775429218</v>
      </c>
      <c r="AM20" s="9">
        <f t="shared" si="0"/>
        <v>13381.102460625847</v>
      </c>
      <c r="AN20" s="9">
        <f t="shared" si="0"/>
        <v>12157.237914970636</v>
      </c>
      <c r="AO20" s="9">
        <f t="shared" si="0"/>
        <v>14758.156918367717</v>
      </c>
      <c r="AP20" s="9">
        <f t="shared" si="0"/>
        <v>17069.688863026055</v>
      </c>
      <c r="AQ20" s="9">
        <f t="shared" si="0"/>
        <v>23853.074491690448</v>
      </c>
      <c r="AR20" s="9">
        <f t="shared" si="0"/>
        <v>27875.556055168632</v>
      </c>
      <c r="AS20" s="9">
        <f t="shared" si="0"/>
        <v>27875.556055168632</v>
      </c>
      <c r="AT20" s="9">
        <f t="shared" si="0"/>
        <v>27225.053606468333</v>
      </c>
      <c r="AU20" s="9">
        <f t="shared" si="0"/>
        <v>26574.551157768041</v>
      </c>
      <c r="AV20" s="9">
        <f t="shared" si="0"/>
        <v>22552.069594289856</v>
      </c>
      <c r="AW20" s="9">
        <f t="shared" si="0"/>
        <v>11457.530607466151</v>
      </c>
      <c r="AX20" s="9">
        <f t="shared" si="0"/>
        <v>12301.890476751725</v>
      </c>
      <c r="AY20" s="9">
        <f t="shared" si="0"/>
        <v>9568.9213517517273</v>
      </c>
      <c r="AZ20" s="9">
        <f t="shared" si="0"/>
        <v>8724.5614824661516</v>
      </c>
      <c r="BA20" s="9">
        <f t="shared" si="0"/>
        <v>0</v>
      </c>
      <c r="BB20" s="9">
        <f t="shared" si="0"/>
        <v>0</v>
      </c>
      <c r="BC20" s="9">
        <f t="shared" si="0"/>
        <v>0</v>
      </c>
      <c r="BD20" s="9">
        <f t="shared" si="0"/>
        <v>0</v>
      </c>
      <c r="BE20" s="9">
        <f t="shared" si="0"/>
        <v>0</v>
      </c>
      <c r="BF20" s="9">
        <f t="shared" si="0"/>
        <v>0</v>
      </c>
      <c r="BG20" s="9">
        <f t="shared" si="0"/>
        <v>0</v>
      </c>
      <c r="BH20" s="9">
        <f t="shared" si="0"/>
        <v>0</v>
      </c>
      <c r="BI20" s="9">
        <f t="shared" si="0"/>
        <v>0</v>
      </c>
      <c r="BJ20" s="9">
        <f t="shared" si="0"/>
        <v>0</v>
      </c>
      <c r="BK20" s="9">
        <f t="shared" si="0"/>
        <v>0</v>
      </c>
      <c r="BL20" s="9">
        <f t="shared" si="0"/>
        <v>0</v>
      </c>
      <c r="BM20" s="9">
        <f t="shared" si="0"/>
        <v>0</v>
      </c>
      <c r="BN20" s="9">
        <f t="shared" si="0"/>
        <v>0</v>
      </c>
      <c r="BO20" s="9">
        <f t="shared" si="0"/>
        <v>0</v>
      </c>
      <c r="BP20" s="9">
        <f t="shared" si="0"/>
        <v>0</v>
      </c>
      <c r="BQ20" s="9">
        <f t="shared" si="0"/>
        <v>0</v>
      </c>
      <c r="BR20" s="9">
        <f t="shared" si="0"/>
        <v>0</v>
      </c>
      <c r="BS20" s="9">
        <f t="shared" si="0"/>
        <v>0</v>
      </c>
      <c r="BT20" s="9">
        <f t="shared" si="0"/>
        <v>0</v>
      </c>
      <c r="BU20" s="9">
        <f t="shared" si="0"/>
        <v>0</v>
      </c>
      <c r="BV20" s="9">
        <f t="shared" si="0"/>
        <v>0</v>
      </c>
      <c r="BW20" s="9">
        <f t="shared" si="0"/>
        <v>0</v>
      </c>
      <c r="BX20" s="9">
        <f t="shared" si="0"/>
        <v>0</v>
      </c>
    </row>
  </sheetData>
  <autoFilter ref="A1:BX18" xr:uid="{C04D9C61-00CE-4BEE-89F7-75B8219090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E27B-04D3-4F22-B832-380E369C69D0}">
  <sheetPr codeName="Sheet11">
    <tabColor theme="6" tint="0.79998168889431442"/>
  </sheetPr>
  <dimension ref="A1:BX42"/>
  <sheetViews>
    <sheetView topLeftCell="D16" zoomScaleNormal="100" workbookViewId="0">
      <selection activeCell="W1" sqref="A1:W1048576"/>
    </sheetView>
  </sheetViews>
  <sheetFormatPr defaultRowHeight="14.5"/>
  <cols>
    <col min="1" max="1" width="9.26953125" bestFit="1" customWidth="1"/>
    <col min="2" max="2" width="18.54296875" bestFit="1" customWidth="1"/>
    <col min="3" max="3" width="52.1796875" bestFit="1" customWidth="1"/>
    <col min="4" max="4" width="12.54296875" bestFit="1" customWidth="1"/>
    <col min="5" max="5" width="23.54296875" bestFit="1" customWidth="1"/>
    <col min="6" max="6" width="6.7265625" bestFit="1" customWidth="1"/>
    <col min="7" max="7" width="21.81640625" bestFit="1" customWidth="1"/>
    <col min="8" max="8" width="12.54296875" customWidth="1"/>
    <col min="9" max="9" width="18.54296875" bestFit="1" customWidth="1"/>
    <col min="10" max="10" width="13.36328125" bestFit="1" customWidth="1"/>
    <col min="11" max="11" width="10.26953125" bestFit="1" customWidth="1"/>
    <col min="12" max="12" width="14.7265625" bestFit="1" customWidth="1"/>
    <col min="13" max="13" width="11.81640625" bestFit="1" customWidth="1"/>
    <col min="14" max="14" width="7.90625" bestFit="1" customWidth="1"/>
    <col min="15" max="15" width="7.6328125" bestFit="1" customWidth="1"/>
    <col min="16" max="17" width="7.90625" bestFit="1" customWidth="1"/>
    <col min="18" max="19" width="8.1796875" bestFit="1" customWidth="1"/>
    <col min="20" max="20" width="8.453125" bestFit="1" customWidth="1"/>
    <col min="21" max="22" width="8.1796875" bestFit="1" customWidth="1"/>
    <col min="23" max="23" width="8" bestFit="1" customWidth="1"/>
    <col min="24" max="24" width="12.6328125" bestFit="1" customWidth="1"/>
    <col min="25" max="25" width="8.1796875" bestFit="1" customWidth="1"/>
    <col min="26" max="26" width="7.90625" bestFit="1" customWidth="1"/>
    <col min="27" max="27" width="7.81640625" bestFit="1" customWidth="1"/>
    <col min="28" max="28" width="7.90625" bestFit="1" customWidth="1"/>
    <col min="29" max="38" width="8.81640625" bestFit="1" customWidth="1"/>
    <col min="39" max="39" width="7.81640625" bestFit="1" customWidth="1"/>
    <col min="40" max="41" width="7.90625" bestFit="1" customWidth="1"/>
    <col min="42" max="63" width="8.81640625" bestFit="1" customWidth="1"/>
    <col min="64" max="64" width="7.81640625" bestFit="1" customWidth="1"/>
    <col min="65" max="65" width="7.90625" bestFit="1" customWidth="1"/>
    <col min="66" max="70" width="8.1796875" bestFit="1" customWidth="1"/>
    <col min="71" max="71" width="8" bestFit="1" customWidth="1"/>
    <col min="72" max="73" width="8.1796875" bestFit="1" customWidth="1"/>
    <col min="74" max="74" width="7.90625" bestFit="1" customWidth="1"/>
    <col min="75" max="75" width="7.6328125" bestFit="1" customWidth="1"/>
    <col min="76" max="76" width="7.90625" bestFit="1" customWidth="1"/>
  </cols>
  <sheetData>
    <row r="1" spans="1:76">
      <c r="A1" s="127" t="s">
        <v>0</v>
      </c>
      <c r="B1" s="127" t="s">
        <v>1</v>
      </c>
      <c r="C1" s="127" t="s">
        <v>4966</v>
      </c>
      <c r="D1" s="127" t="s">
        <v>3</v>
      </c>
      <c r="E1" s="127" t="s">
        <v>5162</v>
      </c>
      <c r="F1" s="128" t="s">
        <v>4</v>
      </c>
      <c r="G1" s="127" t="s">
        <v>5163</v>
      </c>
      <c r="H1" s="127" t="s">
        <v>31</v>
      </c>
      <c r="I1" s="127" t="s">
        <v>65</v>
      </c>
      <c r="J1" s="129" t="s">
        <v>35</v>
      </c>
      <c r="K1" s="129" t="s">
        <v>36</v>
      </c>
      <c r="L1" s="129" t="s">
        <v>67</v>
      </c>
      <c r="M1" s="129" t="s">
        <v>37</v>
      </c>
      <c r="N1" s="130" t="s">
        <v>5273</v>
      </c>
      <c r="O1" s="130" t="s">
        <v>5274</v>
      </c>
      <c r="P1" s="130" t="s">
        <v>5275</v>
      </c>
      <c r="Q1" s="130" t="s">
        <v>5276</v>
      </c>
      <c r="R1" s="130" t="s">
        <v>5277</v>
      </c>
      <c r="S1" s="130" t="s">
        <v>5278</v>
      </c>
      <c r="T1" s="130" t="s">
        <v>5279</v>
      </c>
      <c r="U1" s="130" t="s">
        <v>5280</v>
      </c>
      <c r="V1" s="130" t="s">
        <v>5281</v>
      </c>
      <c r="W1" s="131" t="s">
        <v>5282</v>
      </c>
      <c r="X1" s="132" t="s">
        <v>5283</v>
      </c>
      <c r="Y1" s="130" t="s">
        <v>5284</v>
      </c>
      <c r="Z1" s="130" t="s">
        <v>5285</v>
      </c>
      <c r="AA1" s="130" t="s">
        <v>5286</v>
      </c>
      <c r="AB1" s="130" t="s">
        <v>5287</v>
      </c>
      <c r="AC1" s="130" t="s">
        <v>5288</v>
      </c>
      <c r="AD1" s="130" t="s">
        <v>5289</v>
      </c>
      <c r="AE1" s="130" t="s">
        <v>5290</v>
      </c>
      <c r="AF1" s="130" t="s">
        <v>5291</v>
      </c>
      <c r="AG1" s="130" t="s">
        <v>5292</v>
      </c>
      <c r="AH1" s="130" t="s">
        <v>5293</v>
      </c>
      <c r="AI1" s="130" t="s">
        <v>5294</v>
      </c>
      <c r="AJ1" s="130" t="s">
        <v>5295</v>
      </c>
      <c r="AK1" s="130" t="s">
        <v>5296</v>
      </c>
      <c r="AL1" s="130" t="s">
        <v>5297</v>
      </c>
      <c r="AM1" s="130" t="s">
        <v>5298</v>
      </c>
      <c r="AN1" s="130" t="s">
        <v>5299</v>
      </c>
      <c r="AO1" s="130" t="s">
        <v>5300</v>
      </c>
      <c r="AP1" s="130" t="s">
        <v>5301</v>
      </c>
      <c r="AQ1" s="130" t="s">
        <v>5302</v>
      </c>
      <c r="AR1" s="130" t="s">
        <v>5303</v>
      </c>
      <c r="AS1" s="130" t="s">
        <v>5304</v>
      </c>
      <c r="AT1" s="130" t="s">
        <v>5305</v>
      </c>
      <c r="AU1" s="130" t="s">
        <v>5306</v>
      </c>
      <c r="AV1" s="130" t="s">
        <v>5307</v>
      </c>
      <c r="AW1" s="130" t="s">
        <v>5308</v>
      </c>
      <c r="AX1" s="130" t="s">
        <v>5309</v>
      </c>
      <c r="AY1" s="130" t="s">
        <v>5310</v>
      </c>
      <c r="AZ1" s="130" t="s">
        <v>5311</v>
      </c>
      <c r="BA1" s="130" t="s">
        <v>5312</v>
      </c>
      <c r="BB1" s="130" t="s">
        <v>5313</v>
      </c>
      <c r="BC1" s="130" t="s">
        <v>5314</v>
      </c>
      <c r="BD1" s="130" t="s">
        <v>5315</v>
      </c>
      <c r="BE1" s="130" t="s">
        <v>5316</v>
      </c>
      <c r="BF1" s="130" t="s">
        <v>5317</v>
      </c>
      <c r="BG1" s="130" t="s">
        <v>5318</v>
      </c>
      <c r="BH1" s="130" t="s">
        <v>5319</v>
      </c>
      <c r="BI1" s="130" t="s">
        <v>5320</v>
      </c>
      <c r="BJ1" s="130" t="s">
        <v>5321</v>
      </c>
      <c r="BK1" s="130" t="s">
        <v>5322</v>
      </c>
      <c r="BL1" s="130" t="s">
        <v>5323</v>
      </c>
      <c r="BM1" s="130" t="s">
        <v>5324</v>
      </c>
      <c r="BN1" s="130" t="s">
        <v>5325</v>
      </c>
      <c r="BO1" s="130" t="s">
        <v>5326</v>
      </c>
      <c r="BP1" s="130" t="s">
        <v>5327</v>
      </c>
      <c r="BQ1" s="130" t="s">
        <v>5328</v>
      </c>
      <c r="BR1" s="130" t="s">
        <v>5329</v>
      </c>
      <c r="BS1" s="130" t="s">
        <v>5330</v>
      </c>
      <c r="BT1" s="130" t="s">
        <v>5331</v>
      </c>
      <c r="BU1" s="130" t="s">
        <v>5332</v>
      </c>
      <c r="BV1" s="130" t="s">
        <v>5333</v>
      </c>
      <c r="BW1" s="130" t="s">
        <v>5334</v>
      </c>
      <c r="BX1" s="130" t="s">
        <v>5335</v>
      </c>
    </row>
    <row r="2" spans="1:76">
      <c r="A2" s="3" t="s">
        <v>66</v>
      </c>
      <c r="B2" t="s">
        <v>6</v>
      </c>
      <c r="C2" t="s">
        <v>152</v>
      </c>
      <c r="D2" t="s">
        <v>71</v>
      </c>
      <c r="E2" t="s">
        <v>4974</v>
      </c>
      <c r="F2" s="91" t="s">
        <v>30</v>
      </c>
      <c r="G2" t="s">
        <v>34</v>
      </c>
      <c r="H2" s="3" t="s">
        <v>32</v>
      </c>
      <c r="I2" s="3" t="s">
        <v>40</v>
      </c>
      <c r="J2" s="124"/>
      <c r="K2" s="124"/>
      <c r="L2" s="6"/>
      <c r="M2" s="124">
        <v>1.2</v>
      </c>
      <c r="N2" s="9">
        <v>0</v>
      </c>
      <c r="O2" s="9">
        <v>0</v>
      </c>
      <c r="P2" s="9">
        <v>0</v>
      </c>
      <c r="Q2" s="9">
        <v>0</v>
      </c>
      <c r="R2" s="9">
        <v>0</v>
      </c>
      <c r="S2" s="9">
        <v>0</v>
      </c>
      <c r="T2" s="9">
        <v>0</v>
      </c>
      <c r="U2" s="9">
        <v>0</v>
      </c>
      <c r="V2" s="9">
        <v>0</v>
      </c>
      <c r="W2" s="9">
        <v>0</v>
      </c>
      <c r="X2" s="10">
        <v>31.129347379205175</v>
      </c>
      <c r="Y2" s="9">
        <v>40.505114509019023</v>
      </c>
      <c r="Z2" s="9">
        <v>74.011848152950108</v>
      </c>
      <c r="AA2" s="9">
        <v>85.516062170229247</v>
      </c>
      <c r="AB2" s="9">
        <v>78.668708715386231</v>
      </c>
      <c r="AC2" s="9">
        <v>110.19299105876041</v>
      </c>
      <c r="AD2" s="9">
        <v>164.20406372937191</v>
      </c>
      <c r="AE2" s="9">
        <v>106.29302283419213</v>
      </c>
      <c r="AF2" s="9">
        <v>103.76460915922156</v>
      </c>
      <c r="AG2" s="9">
        <v>140.19231508663623</v>
      </c>
      <c r="AH2" s="9">
        <v>180.10131536870503</v>
      </c>
      <c r="AI2" s="9">
        <v>177.57290169373451</v>
      </c>
      <c r="AJ2" s="9">
        <v>177.57290169373451</v>
      </c>
      <c r="AK2" s="9">
        <v>156.20463910723646</v>
      </c>
      <c r="AL2" s="9">
        <v>117.39482739225826</v>
      </c>
      <c r="AM2" s="9">
        <v>88.355028084318732</v>
      </c>
      <c r="AN2" s="9">
        <v>78.125555961503764</v>
      </c>
      <c r="AO2" s="9">
        <v>81.137387898709648</v>
      </c>
      <c r="AP2" s="9">
        <v>97.360508483366516</v>
      </c>
      <c r="AQ2" s="9">
        <v>99.888922158337081</v>
      </c>
      <c r="AR2" s="9">
        <v>99.888922158337081</v>
      </c>
      <c r="AS2" s="9">
        <v>99.888922158337081</v>
      </c>
      <c r="AT2" s="9">
        <v>97.360508483366516</v>
      </c>
      <c r="AU2" s="9">
        <v>94.832094808395667</v>
      </c>
      <c r="AV2" s="9">
        <v>94.832094808395667</v>
      </c>
      <c r="AW2" s="9">
        <v>27.389413819372326</v>
      </c>
      <c r="AX2" s="9">
        <v>30.413279653773522</v>
      </c>
      <c r="AY2" s="9">
        <v>30.413279653773522</v>
      </c>
      <c r="AZ2" s="9">
        <v>27.389413819372326</v>
      </c>
      <c r="BA2" s="9">
        <v>0</v>
      </c>
      <c r="BB2" s="9">
        <v>0</v>
      </c>
      <c r="BC2" s="9">
        <v>0</v>
      </c>
      <c r="BD2" s="9">
        <v>0</v>
      </c>
      <c r="BE2" s="9">
        <v>0</v>
      </c>
      <c r="BF2" s="9">
        <v>0</v>
      </c>
      <c r="BG2" s="9">
        <v>0</v>
      </c>
      <c r="BH2" s="9">
        <v>0</v>
      </c>
      <c r="BI2" s="9">
        <v>0</v>
      </c>
      <c r="BJ2" s="9">
        <v>0</v>
      </c>
      <c r="BK2" s="9">
        <v>0</v>
      </c>
      <c r="BL2" s="9">
        <v>0</v>
      </c>
      <c r="BM2" s="9">
        <v>0</v>
      </c>
      <c r="BN2" s="9">
        <v>0</v>
      </c>
      <c r="BO2" s="9">
        <v>0</v>
      </c>
      <c r="BP2" s="9">
        <v>0</v>
      </c>
      <c r="BQ2" s="9">
        <v>0</v>
      </c>
      <c r="BR2" s="9">
        <v>0</v>
      </c>
      <c r="BS2" s="9">
        <v>0</v>
      </c>
      <c r="BT2" s="9">
        <v>0</v>
      </c>
      <c r="BU2" s="9">
        <v>0</v>
      </c>
      <c r="BV2" s="9">
        <v>0</v>
      </c>
      <c r="BW2" s="9">
        <v>0</v>
      </c>
      <c r="BX2" s="9">
        <v>0</v>
      </c>
    </row>
    <row r="3" spans="1:76">
      <c r="A3" s="3" t="s">
        <v>66</v>
      </c>
      <c r="B3" t="s">
        <v>6</v>
      </c>
      <c r="C3" t="s">
        <v>152</v>
      </c>
      <c r="D3" t="s">
        <v>73</v>
      </c>
      <c r="E3" t="s">
        <v>4975</v>
      </c>
      <c r="F3" s="91" t="s">
        <v>68</v>
      </c>
      <c r="G3" t="s">
        <v>4976</v>
      </c>
      <c r="H3" s="3" t="s">
        <v>69</v>
      </c>
      <c r="I3" s="3" t="s">
        <v>40</v>
      </c>
      <c r="J3" s="124"/>
      <c r="K3" s="124"/>
      <c r="L3" s="6"/>
      <c r="M3" s="124">
        <v>1.2</v>
      </c>
      <c r="N3" s="9">
        <v>0</v>
      </c>
      <c r="O3" s="9">
        <v>0</v>
      </c>
      <c r="P3" s="9">
        <v>0</v>
      </c>
      <c r="Q3" s="9">
        <v>0</v>
      </c>
      <c r="R3" s="9">
        <v>0</v>
      </c>
      <c r="S3" s="9">
        <v>0</v>
      </c>
      <c r="T3" s="9">
        <v>0</v>
      </c>
      <c r="U3" s="9">
        <v>0</v>
      </c>
      <c r="V3" s="9">
        <v>0</v>
      </c>
      <c r="W3" s="9">
        <v>0</v>
      </c>
      <c r="X3" s="10">
        <v>8.6956026908328035</v>
      </c>
      <c r="Y3" s="9">
        <v>11.314608636877557</v>
      </c>
      <c r="Z3" s="9">
        <v>20.674305121546507</v>
      </c>
      <c r="AA3" s="9">
        <v>23.887866689219916</v>
      </c>
      <c r="AB3" s="9">
        <v>21.975142198028337</v>
      </c>
      <c r="AC3" s="9">
        <v>30.781065143741461</v>
      </c>
      <c r="AD3" s="9">
        <v>45.86839810733175</v>
      </c>
      <c r="AE3" s="9">
        <v>29.691656690213378</v>
      </c>
      <c r="AF3" s="9">
        <v>28.98537523536028</v>
      </c>
      <c r="AG3" s="9">
        <v>39.161009623856764</v>
      </c>
      <c r="AH3" s="9">
        <v>50.30910103784597</v>
      </c>
      <c r="AI3" s="9">
        <v>49.602819582992872</v>
      </c>
      <c r="AJ3" s="9">
        <v>49.602819582992872</v>
      </c>
      <c r="AK3" s="9">
        <v>43.633856617527755</v>
      </c>
      <c r="AL3" s="9">
        <v>32.792810094178016</v>
      </c>
      <c r="AM3" s="9">
        <v>24.680897116135647</v>
      </c>
      <c r="AN3" s="9">
        <v>21.823419115283961</v>
      </c>
      <c r="AO3" s="9">
        <v>22.664737552785116</v>
      </c>
      <c r="AP3" s="9">
        <v>27.196467990021457</v>
      </c>
      <c r="AQ3" s="9">
        <v>27.902749444874555</v>
      </c>
      <c r="AR3" s="9">
        <v>27.902749444874555</v>
      </c>
      <c r="AS3" s="9">
        <v>27.902749444874555</v>
      </c>
      <c r="AT3" s="9">
        <v>27.196467990021457</v>
      </c>
      <c r="AU3" s="9">
        <v>26.490186535168277</v>
      </c>
      <c r="AV3" s="9">
        <v>26.490186535168277</v>
      </c>
      <c r="AW3" s="9">
        <v>7.6508979647663997</v>
      </c>
      <c r="AX3" s="9">
        <v>8.4955779243566028</v>
      </c>
      <c r="AY3" s="9">
        <v>8.4955779243566028</v>
      </c>
      <c r="AZ3" s="9">
        <v>7.6508979647663997</v>
      </c>
      <c r="BA3" s="9">
        <v>0</v>
      </c>
      <c r="BB3" s="9">
        <v>0</v>
      </c>
      <c r="BC3" s="9">
        <v>0</v>
      </c>
      <c r="BD3" s="9">
        <v>0</v>
      </c>
      <c r="BE3" s="9">
        <v>0</v>
      </c>
      <c r="BF3" s="9">
        <v>0</v>
      </c>
      <c r="BG3" s="9">
        <v>0</v>
      </c>
      <c r="BH3" s="9">
        <v>0</v>
      </c>
      <c r="BI3" s="9">
        <v>0</v>
      </c>
      <c r="BJ3" s="9">
        <v>0</v>
      </c>
      <c r="BK3" s="9">
        <v>0</v>
      </c>
      <c r="BL3" s="9">
        <v>0</v>
      </c>
      <c r="BM3" s="9">
        <v>0</v>
      </c>
      <c r="BN3" s="9">
        <v>0</v>
      </c>
      <c r="BO3" s="9">
        <v>0</v>
      </c>
      <c r="BP3" s="9">
        <v>0</v>
      </c>
      <c r="BQ3" s="9">
        <v>0</v>
      </c>
      <c r="BR3" s="9">
        <v>0</v>
      </c>
      <c r="BS3" s="9">
        <v>0</v>
      </c>
      <c r="BT3" s="9">
        <v>0</v>
      </c>
      <c r="BU3" s="9">
        <v>0</v>
      </c>
      <c r="BV3" s="9">
        <v>0</v>
      </c>
      <c r="BW3" s="9">
        <v>0</v>
      </c>
      <c r="BX3" s="9">
        <v>0</v>
      </c>
    </row>
    <row r="4" spans="1:76">
      <c r="A4" s="3" t="s">
        <v>66</v>
      </c>
      <c r="B4" t="s">
        <v>6</v>
      </c>
      <c r="C4" t="s">
        <v>152</v>
      </c>
      <c r="D4" t="s">
        <v>5183</v>
      </c>
      <c r="E4" t="s">
        <v>5185</v>
      </c>
      <c r="F4" s="91" t="s">
        <v>4971</v>
      </c>
      <c r="G4" t="s">
        <v>4998</v>
      </c>
      <c r="H4" s="3" t="s">
        <v>5187</v>
      </c>
      <c r="I4" s="3" t="s">
        <v>40</v>
      </c>
      <c r="J4" s="124"/>
      <c r="K4" s="124"/>
      <c r="L4" s="6"/>
      <c r="M4" s="124">
        <v>1.2</v>
      </c>
      <c r="N4" s="9">
        <v>0</v>
      </c>
      <c r="O4" s="9">
        <v>0</v>
      </c>
      <c r="P4" s="9">
        <v>0</v>
      </c>
      <c r="Q4" s="9">
        <v>0</v>
      </c>
      <c r="R4" s="9">
        <v>0</v>
      </c>
      <c r="S4" s="9">
        <v>0</v>
      </c>
      <c r="T4" s="9">
        <v>0</v>
      </c>
      <c r="U4" s="9">
        <v>0</v>
      </c>
      <c r="V4" s="9">
        <v>0</v>
      </c>
      <c r="W4" s="9">
        <v>0</v>
      </c>
      <c r="X4" s="10">
        <v>11.714879194605858</v>
      </c>
      <c r="Y4" s="9">
        <v>27.53540516182478</v>
      </c>
      <c r="Z4" s="9">
        <v>18.795915552136108</v>
      </c>
      <c r="AA4" s="9">
        <v>29.287917292917843</v>
      </c>
      <c r="AB4" s="9">
        <v>20.548427683229171</v>
      </c>
      <c r="AC4" s="9">
        <v>26.267471785754427</v>
      </c>
      <c r="AD4" s="9">
        <v>56.605563117086504</v>
      </c>
      <c r="AE4" s="9">
        <v>49.998370545887205</v>
      </c>
      <c r="AF4" s="9">
        <v>42.917334188356939</v>
      </c>
      <c r="AG4" s="9">
        <v>48.245858414794263</v>
      </c>
      <c r="AH4" s="9">
        <v>48.245858414794263</v>
      </c>
      <c r="AI4" s="9">
        <v>41.164822057263883</v>
      </c>
      <c r="AJ4" s="9">
        <v>41.164822057263883</v>
      </c>
      <c r="AK4" s="9">
        <v>38.845891627588536</v>
      </c>
      <c r="AL4" s="9">
        <v>38.845891627588536</v>
      </c>
      <c r="AM4" s="9">
        <v>36.699618859446183</v>
      </c>
      <c r="AN4" s="9">
        <v>27.960129249757397</v>
      </c>
      <c r="AO4" s="9">
        <v>29.101044595091167</v>
      </c>
      <c r="AP4" s="9">
        <v>53.66106017199877</v>
      </c>
      <c r="AQ4" s="9">
        <v>60.742096529529036</v>
      </c>
      <c r="AR4" s="9">
        <v>60.742096529529036</v>
      </c>
      <c r="AS4" s="9">
        <v>60.742096529529036</v>
      </c>
      <c r="AT4" s="9">
        <v>53.66106017199877</v>
      </c>
      <c r="AU4" s="9">
        <v>46.580023814468511</v>
      </c>
      <c r="AV4" s="9">
        <v>46.580023814468511</v>
      </c>
      <c r="AW4" s="9">
        <v>34.95795843875468</v>
      </c>
      <c r="AX4" s="9">
        <v>43.455202067791042</v>
      </c>
      <c r="AY4" s="9">
        <v>43.455202067791042</v>
      </c>
      <c r="AZ4" s="9">
        <v>34.95795843875468</v>
      </c>
      <c r="BA4" s="9">
        <v>0</v>
      </c>
      <c r="BB4" s="9">
        <v>0</v>
      </c>
      <c r="BC4" s="9">
        <v>0</v>
      </c>
      <c r="BD4" s="9">
        <v>0</v>
      </c>
      <c r="BE4" s="9">
        <v>0</v>
      </c>
      <c r="BF4" s="9">
        <v>0</v>
      </c>
      <c r="BG4" s="9">
        <v>0</v>
      </c>
      <c r="BH4" s="9">
        <v>0</v>
      </c>
      <c r="BI4" s="9">
        <v>0</v>
      </c>
      <c r="BJ4" s="9">
        <v>0</v>
      </c>
      <c r="BK4" s="9">
        <v>0</v>
      </c>
      <c r="BL4" s="9">
        <v>0</v>
      </c>
      <c r="BM4" s="9">
        <v>0</v>
      </c>
      <c r="BN4" s="9">
        <v>0</v>
      </c>
      <c r="BO4" s="9">
        <v>0</v>
      </c>
      <c r="BP4" s="9">
        <v>0</v>
      </c>
      <c r="BQ4" s="9">
        <v>0</v>
      </c>
      <c r="BR4" s="9">
        <v>0</v>
      </c>
      <c r="BS4" s="9">
        <v>0</v>
      </c>
      <c r="BT4" s="9">
        <v>0</v>
      </c>
      <c r="BU4" s="9">
        <v>0</v>
      </c>
      <c r="BV4" s="9">
        <v>0</v>
      </c>
      <c r="BW4" s="9">
        <v>0</v>
      </c>
      <c r="BX4" s="9">
        <v>0</v>
      </c>
    </row>
    <row r="5" spans="1:76">
      <c r="A5" s="3" t="s">
        <v>66</v>
      </c>
      <c r="B5" t="s">
        <v>6</v>
      </c>
      <c r="C5" t="s">
        <v>152</v>
      </c>
      <c r="D5" t="s">
        <v>4967</v>
      </c>
      <c r="E5" t="s">
        <v>4968</v>
      </c>
      <c r="F5" s="91" t="s">
        <v>4973</v>
      </c>
      <c r="G5" t="s">
        <v>4983</v>
      </c>
      <c r="H5" s="3" t="s">
        <v>4984</v>
      </c>
      <c r="I5" s="3" t="s">
        <v>151</v>
      </c>
      <c r="J5" s="124"/>
      <c r="K5" s="124"/>
      <c r="L5" s="6"/>
      <c r="M5" s="124">
        <v>1.2</v>
      </c>
      <c r="N5" s="9">
        <v>0</v>
      </c>
      <c r="O5" s="9">
        <v>0</v>
      </c>
      <c r="P5" s="9">
        <v>0</v>
      </c>
      <c r="Q5" s="9">
        <v>0</v>
      </c>
      <c r="R5" s="9">
        <v>96.313717501683527</v>
      </c>
      <c r="S5" s="9">
        <v>113.38029656818192</v>
      </c>
      <c r="T5" s="9">
        <v>128.99158593013453</v>
      </c>
      <c r="U5" s="9">
        <v>1.0560000000000627</v>
      </c>
      <c r="V5" s="9">
        <v>82.486799999999974</v>
      </c>
      <c r="W5" s="9">
        <v>1.7171999999999799</v>
      </c>
      <c r="X5" s="10">
        <v>158.75488894838603</v>
      </c>
      <c r="Y5" s="9">
        <v>194.27770883780718</v>
      </c>
      <c r="Z5" s="9">
        <v>386.50595090767473</v>
      </c>
      <c r="AA5" s="9">
        <v>439.01304363242735</v>
      </c>
      <c r="AB5" s="9">
        <v>410.25522430013808</v>
      </c>
      <c r="AC5" s="9">
        <v>577.16868149891059</v>
      </c>
      <c r="AD5" s="9">
        <v>842.60470078911851</v>
      </c>
      <c r="AE5" s="9">
        <v>532.08087246023808</v>
      </c>
      <c r="AF5" s="9">
        <v>525.3158719031062</v>
      </c>
      <c r="AG5" s="9">
        <v>719.47185686929276</v>
      </c>
      <c r="AH5" s="9">
        <v>938.02054476910951</v>
      </c>
      <c r="AI5" s="9">
        <v>931.25554421197739</v>
      </c>
      <c r="AJ5" s="9">
        <v>931.25554421197739</v>
      </c>
      <c r="AK5" s="9">
        <v>816.55811948438998</v>
      </c>
      <c r="AL5" s="9">
        <v>604.02878103944101</v>
      </c>
      <c r="AM5" s="9">
        <v>447.14801753086425</v>
      </c>
      <c r="AN5" s="9">
        <v>399.86912295282747</v>
      </c>
      <c r="AO5" s="9">
        <v>415.22152774578018</v>
      </c>
      <c r="AP5" s="9">
        <v>479.50216696749095</v>
      </c>
      <c r="AQ5" s="9">
        <v>486.26716752462295</v>
      </c>
      <c r="AR5" s="9">
        <v>486.26716752462295</v>
      </c>
      <c r="AS5" s="9">
        <v>486.26716752462295</v>
      </c>
      <c r="AT5" s="9">
        <v>479.50216696749095</v>
      </c>
      <c r="AU5" s="9">
        <v>472.73716641035912</v>
      </c>
      <c r="AV5" s="9">
        <v>472.73716641035912</v>
      </c>
      <c r="AW5" s="9">
        <v>115.03127732915755</v>
      </c>
      <c r="AX5" s="9">
        <v>123.09325357089361</v>
      </c>
      <c r="AY5" s="9">
        <v>123.09325357089361</v>
      </c>
      <c r="AZ5" s="9">
        <v>115.03127732915755</v>
      </c>
      <c r="BA5" s="9">
        <v>0</v>
      </c>
      <c r="BB5" s="9">
        <v>0</v>
      </c>
      <c r="BC5" s="9">
        <v>0</v>
      </c>
      <c r="BD5" s="9">
        <v>0</v>
      </c>
      <c r="BE5" s="9">
        <v>0</v>
      </c>
      <c r="BF5" s="9">
        <v>0</v>
      </c>
      <c r="BG5" s="9">
        <v>0</v>
      </c>
      <c r="BH5" s="9">
        <v>0</v>
      </c>
      <c r="BI5" s="9">
        <v>0</v>
      </c>
      <c r="BJ5" s="9">
        <v>0</v>
      </c>
      <c r="BK5" s="9">
        <v>0</v>
      </c>
      <c r="BL5" s="9">
        <v>0</v>
      </c>
      <c r="BM5" s="9">
        <v>0</v>
      </c>
      <c r="BN5" s="9">
        <v>0</v>
      </c>
      <c r="BO5" s="9">
        <v>0</v>
      </c>
      <c r="BP5" s="9">
        <v>0</v>
      </c>
      <c r="BQ5" s="9">
        <v>0</v>
      </c>
      <c r="BR5" s="9">
        <v>0</v>
      </c>
      <c r="BS5" s="9">
        <v>0</v>
      </c>
      <c r="BT5" s="9">
        <v>0</v>
      </c>
      <c r="BU5" s="9">
        <v>0</v>
      </c>
      <c r="BV5" s="9">
        <v>0</v>
      </c>
      <c r="BW5" s="9">
        <v>0</v>
      </c>
      <c r="BX5" s="9">
        <v>0</v>
      </c>
    </row>
    <row r="6" spans="1:76">
      <c r="A6" s="3" t="s">
        <v>66</v>
      </c>
      <c r="B6" t="s">
        <v>7</v>
      </c>
      <c r="C6" t="s">
        <v>156</v>
      </c>
      <c r="D6" t="s">
        <v>71</v>
      </c>
      <c r="E6" t="s">
        <v>4974</v>
      </c>
      <c r="F6" s="91" t="s">
        <v>30</v>
      </c>
      <c r="G6" t="s">
        <v>34</v>
      </c>
      <c r="H6" s="3" t="s">
        <v>32</v>
      </c>
      <c r="I6" s="3" t="s">
        <v>41</v>
      </c>
      <c r="J6" s="124"/>
      <c r="K6" s="124"/>
      <c r="L6" s="6"/>
      <c r="M6" s="124">
        <v>1.1000000000000001</v>
      </c>
      <c r="N6" s="9">
        <v>0</v>
      </c>
      <c r="O6" s="9">
        <v>0</v>
      </c>
      <c r="P6" s="9">
        <v>0</v>
      </c>
      <c r="Q6" s="9">
        <v>0</v>
      </c>
      <c r="R6" s="9">
        <v>25.3</v>
      </c>
      <c r="S6" s="9">
        <v>129.76150000000001</v>
      </c>
      <c r="T6" s="9">
        <v>60.500000000000007</v>
      </c>
      <c r="U6" s="9">
        <v>-2.8709999983789203E-5</v>
      </c>
      <c r="V6" s="9">
        <v>56.142900000000019</v>
      </c>
      <c r="W6" s="9">
        <v>0</v>
      </c>
      <c r="X6" s="10">
        <v>0</v>
      </c>
      <c r="Y6" s="9">
        <v>0</v>
      </c>
      <c r="Z6" s="9">
        <v>9.501637398329283</v>
      </c>
      <c r="AA6" s="9">
        <v>9.501637398329283</v>
      </c>
      <c r="AB6" s="9">
        <v>9.501637398329283</v>
      </c>
      <c r="AC6" s="9">
        <v>9.501637398329283</v>
      </c>
      <c r="AD6" s="9">
        <v>18.639664917340035</v>
      </c>
      <c r="AE6" s="9">
        <v>9.1380275190107518</v>
      </c>
      <c r="AF6" s="9">
        <v>9.1380275190107518</v>
      </c>
      <c r="AG6" s="9">
        <v>18.216329367962608</v>
      </c>
      <c r="AH6" s="9">
        <v>27.613168123895232</v>
      </c>
      <c r="AI6" s="9">
        <v>27.613168123895232</v>
      </c>
      <c r="AJ6" s="9">
        <v>27.613168123895232</v>
      </c>
      <c r="AK6" s="9">
        <v>24.029627920361598</v>
      </c>
      <c r="AL6" s="9">
        <v>14.891600401350846</v>
      </c>
      <c r="AM6" s="9">
        <v>9.3968387559326203</v>
      </c>
      <c r="AN6" s="9">
        <v>8.6004964884807062</v>
      </c>
      <c r="AO6" s="9">
        <v>8.6004964884807062</v>
      </c>
      <c r="AP6" s="9">
        <v>8.6004964884807062</v>
      </c>
      <c r="AQ6" s="9">
        <v>8.6004964884807062</v>
      </c>
      <c r="AR6" s="9">
        <v>8.6004964884807062</v>
      </c>
      <c r="AS6" s="9">
        <v>8.6004964884807062</v>
      </c>
      <c r="AT6" s="9">
        <v>8.6004964884807062</v>
      </c>
      <c r="AU6" s="9">
        <v>8.6004964884807062</v>
      </c>
      <c r="AV6" s="9">
        <v>8.6004964884807062</v>
      </c>
      <c r="AW6" s="9">
        <v>0</v>
      </c>
      <c r="AX6" s="9">
        <v>0</v>
      </c>
      <c r="AY6" s="9">
        <v>0</v>
      </c>
      <c r="AZ6" s="9">
        <v>0</v>
      </c>
      <c r="BA6" s="9">
        <v>0</v>
      </c>
      <c r="BB6" s="9">
        <v>0</v>
      </c>
      <c r="BC6" s="9">
        <v>0</v>
      </c>
      <c r="BD6" s="9">
        <v>0</v>
      </c>
      <c r="BE6" s="9">
        <v>0</v>
      </c>
      <c r="BF6" s="9">
        <v>0</v>
      </c>
      <c r="BG6" s="9">
        <v>0</v>
      </c>
      <c r="BH6" s="9">
        <v>0</v>
      </c>
      <c r="BI6" s="9">
        <v>0</v>
      </c>
      <c r="BJ6" s="9">
        <v>0</v>
      </c>
      <c r="BK6" s="9">
        <v>0</v>
      </c>
      <c r="BL6" s="9">
        <v>0</v>
      </c>
      <c r="BM6" s="9">
        <v>0</v>
      </c>
      <c r="BN6" s="9">
        <v>0</v>
      </c>
      <c r="BO6" s="9">
        <v>0</v>
      </c>
      <c r="BP6" s="9">
        <v>0</v>
      </c>
      <c r="BQ6" s="9">
        <v>0</v>
      </c>
      <c r="BR6" s="9">
        <v>0</v>
      </c>
      <c r="BS6" s="9">
        <v>0</v>
      </c>
      <c r="BT6" s="9">
        <v>0</v>
      </c>
      <c r="BU6" s="9">
        <v>0</v>
      </c>
      <c r="BV6" s="9">
        <v>0</v>
      </c>
      <c r="BW6" s="9">
        <v>0</v>
      </c>
      <c r="BX6" s="9">
        <v>0</v>
      </c>
    </row>
    <row r="7" spans="1:76">
      <c r="A7" s="3" t="s">
        <v>66</v>
      </c>
      <c r="B7" t="s">
        <v>7</v>
      </c>
      <c r="C7" t="s">
        <v>156</v>
      </c>
      <c r="D7" t="s">
        <v>73</v>
      </c>
      <c r="E7" t="s">
        <v>4975</v>
      </c>
      <c r="F7" s="91" t="s">
        <v>68</v>
      </c>
      <c r="G7" t="s">
        <v>4976</v>
      </c>
      <c r="H7" s="3" t="s">
        <v>69</v>
      </c>
      <c r="I7" s="3" t="s">
        <v>41</v>
      </c>
      <c r="J7" s="124"/>
      <c r="K7" s="124"/>
      <c r="L7" s="6"/>
      <c r="M7" s="124">
        <v>1.1000000000000001</v>
      </c>
      <c r="N7" s="9">
        <v>0</v>
      </c>
      <c r="O7" s="9">
        <v>0</v>
      </c>
      <c r="P7" s="9">
        <v>0</v>
      </c>
      <c r="Q7" s="9">
        <v>0</v>
      </c>
      <c r="R7" s="9">
        <v>83.457000000000008</v>
      </c>
      <c r="S7" s="9">
        <v>167.816</v>
      </c>
      <c r="T7" s="9">
        <v>0</v>
      </c>
      <c r="U7" s="9">
        <v>0.18700000000000003</v>
      </c>
      <c r="V7" s="9">
        <v>28.193000000000001</v>
      </c>
      <c r="W7" s="9">
        <v>0</v>
      </c>
      <c r="X7" s="10">
        <v>0</v>
      </c>
      <c r="Y7" s="9">
        <v>0</v>
      </c>
      <c r="Z7" s="9">
        <v>251.70169505034306</v>
      </c>
      <c r="AA7" s="9">
        <v>251.70169505034306</v>
      </c>
      <c r="AB7" s="9">
        <v>251.70169505034306</v>
      </c>
      <c r="AC7" s="9">
        <v>251.70169505034306</v>
      </c>
      <c r="AD7" s="9">
        <v>493.77123733324652</v>
      </c>
      <c r="AE7" s="9">
        <v>242.06954228290343</v>
      </c>
      <c r="AF7" s="9">
        <v>242.06954228290343</v>
      </c>
      <c r="AG7" s="9">
        <v>482.55693069467674</v>
      </c>
      <c r="AH7" s="9">
        <v>731.48247308581051</v>
      </c>
      <c r="AI7" s="9">
        <v>731.48247308581051</v>
      </c>
      <c r="AJ7" s="9">
        <v>731.48247308581051</v>
      </c>
      <c r="AK7" s="9">
        <v>636.55324081800507</v>
      </c>
      <c r="AL7" s="9">
        <v>394.48369853510167</v>
      </c>
      <c r="AM7" s="9">
        <v>248.92554239113372</v>
      </c>
      <c r="AN7" s="9">
        <v>227.83015744273263</v>
      </c>
      <c r="AO7" s="9">
        <v>227.83015744273263</v>
      </c>
      <c r="AP7" s="9">
        <v>227.83015744273263</v>
      </c>
      <c r="AQ7" s="9">
        <v>227.83015744273263</v>
      </c>
      <c r="AR7" s="9">
        <v>227.83015744273263</v>
      </c>
      <c r="AS7" s="9">
        <v>227.83015744273263</v>
      </c>
      <c r="AT7" s="9">
        <v>227.83015744273263</v>
      </c>
      <c r="AU7" s="9">
        <v>227.83015744273263</v>
      </c>
      <c r="AV7" s="9">
        <v>227.83015744273263</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row>
    <row r="8" spans="1:76">
      <c r="A8" s="3" t="s">
        <v>66</v>
      </c>
      <c r="B8" t="s">
        <v>7</v>
      </c>
      <c r="C8" t="s">
        <v>156</v>
      </c>
      <c r="D8" t="s">
        <v>76</v>
      </c>
      <c r="E8" t="s">
        <v>5186</v>
      </c>
      <c r="F8" s="91" t="s">
        <v>77</v>
      </c>
      <c r="G8" t="s">
        <v>4992</v>
      </c>
      <c r="H8" s="3" t="s">
        <v>5171</v>
      </c>
      <c r="I8" s="3" t="s">
        <v>41</v>
      </c>
      <c r="J8" s="124"/>
      <c r="K8" s="124"/>
      <c r="L8" s="6"/>
      <c r="M8" s="124">
        <v>1.1000000000000001</v>
      </c>
      <c r="N8" s="9">
        <v>0</v>
      </c>
      <c r="O8" s="9">
        <v>0</v>
      </c>
      <c r="P8" s="9">
        <v>0</v>
      </c>
      <c r="Q8" s="9">
        <v>0</v>
      </c>
      <c r="R8" s="9">
        <v>0</v>
      </c>
      <c r="S8" s="9">
        <v>0</v>
      </c>
      <c r="T8" s="9">
        <v>175.49680610000001</v>
      </c>
      <c r="U8" s="9">
        <v>0</v>
      </c>
      <c r="V8" s="9">
        <v>1.6268999999999836</v>
      </c>
      <c r="W8" s="9">
        <v>0</v>
      </c>
      <c r="X8" s="10">
        <v>0</v>
      </c>
      <c r="Y8" s="9">
        <v>0</v>
      </c>
      <c r="Z8" s="9">
        <v>11.259578982772654</v>
      </c>
      <c r="AA8" s="9">
        <v>11.259578982772654</v>
      </c>
      <c r="AB8" s="9">
        <v>11.259578982772654</v>
      </c>
      <c r="AC8" s="9">
        <v>11.259578982772654</v>
      </c>
      <c r="AD8" s="9">
        <v>22.08827495207403</v>
      </c>
      <c r="AE8" s="9">
        <v>10.828695969301382</v>
      </c>
      <c r="AF8" s="9">
        <v>10.828695969301382</v>
      </c>
      <c r="AG8" s="9">
        <v>21.586616147953734</v>
      </c>
      <c r="AH8" s="9">
        <v>32.722007210067567</v>
      </c>
      <c r="AI8" s="9">
        <v>32.722007210067567</v>
      </c>
      <c r="AJ8" s="9">
        <v>32.722007210067567</v>
      </c>
      <c r="AK8" s="9">
        <v>28.475459771125848</v>
      </c>
      <c r="AL8" s="9">
        <v>17.646763801824463</v>
      </c>
      <c r="AM8" s="9">
        <v>11.135391062113834</v>
      </c>
      <c r="AN8" s="9">
        <v>10.191713853460124</v>
      </c>
      <c r="AO8" s="9">
        <v>10.191713853460124</v>
      </c>
      <c r="AP8" s="9">
        <v>10.191713853460124</v>
      </c>
      <c r="AQ8" s="9">
        <v>10.191713853460124</v>
      </c>
      <c r="AR8" s="9">
        <v>10.191713853460124</v>
      </c>
      <c r="AS8" s="9">
        <v>10.191713853460124</v>
      </c>
      <c r="AT8" s="9">
        <v>10.191713853460124</v>
      </c>
      <c r="AU8" s="9">
        <v>10.191713853460124</v>
      </c>
      <c r="AV8" s="9">
        <v>10.191713853460124</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row>
    <row r="9" spans="1:76">
      <c r="A9" s="3" t="s">
        <v>66</v>
      </c>
      <c r="B9" t="s">
        <v>7</v>
      </c>
      <c r="C9" t="s">
        <v>156</v>
      </c>
      <c r="D9" t="s">
        <v>5183</v>
      </c>
      <c r="E9" t="s">
        <v>5185</v>
      </c>
      <c r="F9" s="91" t="s">
        <v>4971</v>
      </c>
      <c r="G9" t="s">
        <v>4998</v>
      </c>
      <c r="H9" s="3" t="s">
        <v>5187</v>
      </c>
      <c r="I9" s="3" t="s">
        <v>41</v>
      </c>
      <c r="J9" s="124"/>
      <c r="K9" s="124"/>
      <c r="L9" s="6"/>
      <c r="M9" s="124">
        <v>1.1000000000000001</v>
      </c>
      <c r="N9" s="9">
        <v>0</v>
      </c>
      <c r="O9" s="9">
        <v>0</v>
      </c>
      <c r="P9" s="9">
        <v>355.322</v>
      </c>
      <c r="Q9" s="9">
        <v>398.81600000000009</v>
      </c>
      <c r="R9" s="9">
        <v>222.39799999999997</v>
      </c>
      <c r="S9" s="9">
        <v>0</v>
      </c>
      <c r="T9" s="9">
        <v>62.575538299999977</v>
      </c>
      <c r="U9" s="9">
        <v>1.6169999996691332E-4</v>
      </c>
      <c r="V9" s="9">
        <v>382.84290000000027</v>
      </c>
      <c r="W9" s="9">
        <v>0</v>
      </c>
      <c r="X9" s="10">
        <v>22.310057582799914</v>
      </c>
      <c r="Y9" s="9">
        <v>52.438993567163728</v>
      </c>
      <c r="Z9" s="9">
        <v>35.795329283693015</v>
      </c>
      <c r="AA9" s="9">
        <v>55.776513818951273</v>
      </c>
      <c r="AB9" s="9">
        <v>39.13284953548056</v>
      </c>
      <c r="AC9" s="9">
        <v>50.024315091921011</v>
      </c>
      <c r="AD9" s="9">
        <v>107.80080201172777</v>
      </c>
      <c r="AE9" s="9">
        <v>95.217928191571076</v>
      </c>
      <c r="AF9" s="9">
        <v>81.732656490677954</v>
      </c>
      <c r="AG9" s="9">
        <v>91.880407939783765</v>
      </c>
      <c r="AH9" s="9">
        <v>91.880407939783765</v>
      </c>
      <c r="AI9" s="9">
        <v>78.39513623889043</v>
      </c>
      <c r="AJ9" s="9">
        <v>78.39513623889043</v>
      </c>
      <c r="AK9" s="9">
        <v>73.9789172956865</v>
      </c>
      <c r="AL9" s="9">
        <v>73.9789172956865</v>
      </c>
      <c r="AM9" s="9">
        <v>69.891511164541825</v>
      </c>
      <c r="AN9" s="9">
        <v>53.247846881070878</v>
      </c>
      <c r="AO9" s="9">
        <v>55.420629598558634</v>
      </c>
      <c r="AP9" s="9">
        <v>102.1932298663932</v>
      </c>
      <c r="AQ9" s="9">
        <v>115.6785015672863</v>
      </c>
      <c r="AR9" s="9">
        <v>115.6785015672863</v>
      </c>
      <c r="AS9" s="9">
        <v>115.6785015672863</v>
      </c>
      <c r="AT9" s="9">
        <v>102.1932298663932</v>
      </c>
      <c r="AU9" s="9">
        <v>88.707958165500088</v>
      </c>
      <c r="AV9" s="9">
        <v>88.707958165500088</v>
      </c>
      <c r="AW9" s="9">
        <v>66.574657133882894</v>
      </c>
      <c r="AX9" s="9">
        <v>82.756983174954726</v>
      </c>
      <c r="AY9" s="9">
        <v>82.756983174954726</v>
      </c>
      <c r="AZ9" s="9">
        <v>66.574657133882894</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row>
    <row r="10" spans="1:76">
      <c r="A10" s="3" t="s">
        <v>66</v>
      </c>
      <c r="B10" t="s">
        <v>7</v>
      </c>
      <c r="C10" t="s">
        <v>156</v>
      </c>
      <c r="D10" t="s">
        <v>4967</v>
      </c>
      <c r="E10" t="s">
        <v>4968</v>
      </c>
      <c r="F10" s="91" t="s">
        <v>4973</v>
      </c>
      <c r="G10" t="s">
        <v>4983</v>
      </c>
      <c r="H10" s="3" t="s">
        <v>4984</v>
      </c>
      <c r="I10" s="3" t="s">
        <v>155</v>
      </c>
      <c r="J10" s="124"/>
      <c r="K10" s="124"/>
      <c r="L10" s="6"/>
      <c r="M10" s="124">
        <v>1.1000000000000001</v>
      </c>
      <c r="N10" s="9">
        <v>0</v>
      </c>
      <c r="O10" s="9">
        <v>0</v>
      </c>
      <c r="P10" s="9">
        <v>0</v>
      </c>
      <c r="Q10" s="9">
        <v>0</v>
      </c>
      <c r="R10" s="9">
        <v>117.39560250784062</v>
      </c>
      <c r="S10" s="9">
        <v>230.45528346396179</v>
      </c>
      <c r="T10" s="9">
        <v>302.16506962819773</v>
      </c>
      <c r="U10" s="9">
        <v>0</v>
      </c>
      <c r="V10" s="9">
        <v>190.76310000000007</v>
      </c>
      <c r="W10" s="9">
        <v>202.24489999999994</v>
      </c>
      <c r="X10" s="10">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row>
    <row r="11" spans="1:76">
      <c r="A11" s="3" t="s">
        <v>66</v>
      </c>
      <c r="B11" t="s">
        <v>5193</v>
      </c>
      <c r="C11" t="s">
        <v>5194</v>
      </c>
      <c r="D11" t="s">
        <v>4967</v>
      </c>
      <c r="E11" t="s">
        <v>4968</v>
      </c>
      <c r="F11" s="91" t="s">
        <v>4973</v>
      </c>
      <c r="G11" t="s">
        <v>4983</v>
      </c>
      <c r="H11" s="3" t="s">
        <v>4984</v>
      </c>
      <c r="I11" s="3" t="s">
        <v>159</v>
      </c>
      <c r="J11" s="124"/>
      <c r="K11" s="124"/>
      <c r="L11" s="6"/>
      <c r="M11" s="124">
        <v>1.05</v>
      </c>
      <c r="N11" s="9">
        <v>0</v>
      </c>
      <c r="O11" s="9">
        <v>0</v>
      </c>
      <c r="P11" s="9">
        <v>0</v>
      </c>
      <c r="Q11" s="9">
        <v>0</v>
      </c>
      <c r="R11" s="9">
        <v>5.8154118751016517</v>
      </c>
      <c r="S11" s="9">
        <v>6.8458900784680727</v>
      </c>
      <c r="T11" s="9">
        <v>7.7884980464302744</v>
      </c>
      <c r="U11" s="9">
        <v>356.60415000000006</v>
      </c>
      <c r="V11" s="9">
        <v>4.6462500000000118</v>
      </c>
      <c r="W11" s="9">
        <v>225.62715</v>
      </c>
      <c r="X11" s="10">
        <v>3020.4274437712088</v>
      </c>
      <c r="Y11" s="9">
        <v>4947.4713705057984</v>
      </c>
      <c r="Z11" s="9">
        <v>8867.568423715391</v>
      </c>
      <c r="AA11" s="9">
        <v>9373.9623904690943</v>
      </c>
      <c r="AB11" s="9">
        <v>8066.8549086894191</v>
      </c>
      <c r="AC11" s="9">
        <v>11045.861781402529</v>
      </c>
      <c r="AD11" s="9">
        <v>17548.63821232086</v>
      </c>
      <c r="AE11" s="9">
        <v>12209.252599653049</v>
      </c>
      <c r="AF11" s="9">
        <v>10510.328584753865</v>
      </c>
      <c r="AG11" s="9">
        <v>14815.388457233146</v>
      </c>
      <c r="AH11" s="9">
        <v>19996.840087951412</v>
      </c>
      <c r="AI11" s="9">
        <v>18297.916073052216</v>
      </c>
      <c r="AJ11" s="9">
        <v>18297.916073052216</v>
      </c>
      <c r="AK11" s="9">
        <v>16033.531004006052</v>
      </c>
      <c r="AL11" s="9">
        <v>12044.058538126259</v>
      </c>
      <c r="AM11" s="9">
        <v>9304.3624060458296</v>
      </c>
      <c r="AN11" s="9">
        <v>8189.0822634099877</v>
      </c>
      <c r="AO11" s="9">
        <v>8505.4867326420554</v>
      </c>
      <c r="AP11" s="9">
        <v>10660.650571212051</v>
      </c>
      <c r="AQ11" s="9">
        <v>11280.587016166968</v>
      </c>
      <c r="AR11" s="9">
        <v>11280.587016166968</v>
      </c>
      <c r="AS11" s="9">
        <v>11280.587016166968</v>
      </c>
      <c r="AT11" s="9">
        <v>10660.650571212051</v>
      </c>
      <c r="AU11" s="9">
        <v>10040.714126257137</v>
      </c>
      <c r="AV11" s="9">
        <v>10040.714126257137</v>
      </c>
      <c r="AW11" s="9">
        <v>3070.4547872301541</v>
      </c>
      <c r="AX11" s="9">
        <v>3878.2045648098938</v>
      </c>
      <c r="AY11" s="9">
        <v>3878.2045648098938</v>
      </c>
      <c r="AZ11" s="9">
        <v>3070.4547872301541</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row>
    <row r="12" spans="1:76">
      <c r="A12" s="3" t="s">
        <v>66</v>
      </c>
      <c r="B12" t="s">
        <v>2623</v>
      </c>
      <c r="C12" t="s">
        <v>169</v>
      </c>
      <c r="D12" t="s">
        <v>4967</v>
      </c>
      <c r="E12" t="s">
        <v>4968</v>
      </c>
      <c r="F12" s="91" t="s">
        <v>4973</v>
      </c>
      <c r="G12" t="s">
        <v>4983</v>
      </c>
      <c r="H12" s="3" t="s">
        <v>4984</v>
      </c>
      <c r="I12" s="3" t="s">
        <v>168</v>
      </c>
      <c r="J12" s="124"/>
      <c r="K12" s="124"/>
      <c r="L12" s="6"/>
      <c r="M12" s="124">
        <v>0.33</v>
      </c>
      <c r="N12" s="9">
        <v>0</v>
      </c>
      <c r="O12" s="9">
        <v>0</v>
      </c>
      <c r="P12" s="9">
        <v>0</v>
      </c>
      <c r="Q12" s="9">
        <v>0</v>
      </c>
      <c r="R12" s="9">
        <v>0</v>
      </c>
      <c r="S12" s="9">
        <v>0</v>
      </c>
      <c r="T12" s="9">
        <v>0</v>
      </c>
      <c r="U12" s="9">
        <v>0</v>
      </c>
      <c r="V12" s="9">
        <v>0</v>
      </c>
      <c r="W12" s="9">
        <v>0</v>
      </c>
      <c r="X12" s="10">
        <v>0</v>
      </c>
      <c r="Y12" s="9">
        <v>0</v>
      </c>
      <c r="Z12" s="9">
        <v>0</v>
      </c>
      <c r="AA12" s="9">
        <v>0</v>
      </c>
      <c r="AB12" s="9">
        <v>0</v>
      </c>
      <c r="AC12" s="9">
        <v>0</v>
      </c>
      <c r="AD12" s="9">
        <v>0</v>
      </c>
      <c r="AE12" s="9">
        <v>334.125</v>
      </c>
      <c r="AF12" s="9">
        <v>334.125</v>
      </c>
      <c r="AG12" s="9">
        <v>334.125</v>
      </c>
      <c r="AH12" s="9">
        <v>334.125</v>
      </c>
      <c r="AI12" s="9">
        <v>334.125</v>
      </c>
      <c r="AJ12" s="9">
        <v>334.125</v>
      </c>
      <c r="AK12" s="9">
        <v>334.125</v>
      </c>
      <c r="AL12" s="9">
        <v>334.125</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row>
    <row r="13" spans="1:76">
      <c r="A13" s="3" t="s">
        <v>66</v>
      </c>
      <c r="B13" t="s">
        <v>2624</v>
      </c>
      <c r="C13" t="s">
        <v>184</v>
      </c>
      <c r="D13" t="s">
        <v>4967</v>
      </c>
      <c r="E13" t="s">
        <v>4968</v>
      </c>
      <c r="F13" s="91" t="s">
        <v>4973</v>
      </c>
      <c r="G13" t="s">
        <v>4983</v>
      </c>
      <c r="H13" s="3" t="s">
        <v>4984</v>
      </c>
      <c r="I13" s="3" t="s">
        <v>183</v>
      </c>
      <c r="J13" s="124"/>
      <c r="K13" s="124"/>
      <c r="L13" s="6"/>
      <c r="M13" s="124">
        <v>1.1000000000000001</v>
      </c>
      <c r="N13" s="9">
        <v>0</v>
      </c>
      <c r="O13" s="9">
        <v>0</v>
      </c>
      <c r="P13" s="9">
        <v>0</v>
      </c>
      <c r="Q13" s="9">
        <v>0</v>
      </c>
      <c r="R13" s="9">
        <v>0</v>
      </c>
      <c r="S13" s="9">
        <v>0</v>
      </c>
      <c r="T13" s="9">
        <v>0</v>
      </c>
      <c r="U13" s="9">
        <v>0</v>
      </c>
      <c r="V13" s="9">
        <v>0</v>
      </c>
      <c r="W13" s="9">
        <v>0</v>
      </c>
      <c r="X13" s="10">
        <v>0</v>
      </c>
      <c r="Y13" s="9">
        <v>0</v>
      </c>
      <c r="Z13" s="9">
        <v>0</v>
      </c>
      <c r="AA13" s="9">
        <v>0</v>
      </c>
      <c r="AB13" s="9">
        <v>0</v>
      </c>
      <c r="AC13" s="9">
        <v>0</v>
      </c>
      <c r="AD13" s="9">
        <v>0</v>
      </c>
      <c r="AE13" s="9">
        <v>190.46912500000002</v>
      </c>
      <c r="AF13" s="9">
        <v>190.46912500000002</v>
      </c>
      <c r="AG13" s="9">
        <v>190.46912500000002</v>
      </c>
      <c r="AH13" s="9">
        <v>190.46912500000002</v>
      </c>
      <c r="AI13" s="9">
        <v>190.46912500000002</v>
      </c>
      <c r="AJ13" s="9">
        <v>190.46912500000002</v>
      </c>
      <c r="AK13" s="9">
        <v>190.46912500000002</v>
      </c>
      <c r="AL13" s="9">
        <v>190.46912500000002</v>
      </c>
      <c r="AM13" s="9">
        <v>0</v>
      </c>
      <c r="AN13" s="9">
        <v>0</v>
      </c>
      <c r="AO13" s="9">
        <v>0</v>
      </c>
      <c r="AP13" s="9">
        <v>0</v>
      </c>
      <c r="AQ13" s="9">
        <v>190.46912500000002</v>
      </c>
      <c r="AR13" s="9">
        <v>190.46912500000002</v>
      </c>
      <c r="AS13" s="9">
        <v>190.46912500000002</v>
      </c>
      <c r="AT13" s="9">
        <v>190.46912500000002</v>
      </c>
      <c r="AU13" s="9">
        <v>190.46912500000002</v>
      </c>
      <c r="AV13" s="9">
        <v>190.46912500000002</v>
      </c>
      <c r="AW13" s="9">
        <v>190.46912500000002</v>
      </c>
      <c r="AX13" s="9">
        <v>190.46912500000002</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row>
    <row r="14" spans="1:76">
      <c r="A14" s="3" t="s">
        <v>66</v>
      </c>
      <c r="B14" t="s">
        <v>12</v>
      </c>
      <c r="C14" t="s">
        <v>200</v>
      </c>
      <c r="D14" t="s">
        <v>71</v>
      </c>
      <c r="E14" t="s">
        <v>4974</v>
      </c>
      <c r="F14" s="91" t="s">
        <v>30</v>
      </c>
      <c r="G14" t="s">
        <v>34</v>
      </c>
      <c r="H14" s="3" t="s">
        <v>32</v>
      </c>
      <c r="I14" s="3" t="s">
        <v>46</v>
      </c>
      <c r="J14" s="124"/>
      <c r="K14" s="124"/>
      <c r="L14" s="6"/>
      <c r="M14" s="124">
        <v>1.25</v>
      </c>
      <c r="N14" s="9">
        <v>0</v>
      </c>
      <c r="O14" s="9">
        <v>0</v>
      </c>
      <c r="P14" s="9">
        <v>0</v>
      </c>
      <c r="Q14" s="9">
        <v>0</v>
      </c>
      <c r="R14" s="9">
        <v>428.75</v>
      </c>
      <c r="S14" s="9">
        <v>953.63749999999993</v>
      </c>
      <c r="T14" s="9">
        <v>661.90124999999989</v>
      </c>
      <c r="U14" s="9">
        <v>1328.1488749999994</v>
      </c>
      <c r="V14" s="9">
        <v>1814.5375000000001</v>
      </c>
      <c r="W14" s="9">
        <v>1297.8500000000008</v>
      </c>
      <c r="X14" s="10">
        <v>41.331465815495285</v>
      </c>
      <c r="Y14" s="9">
        <v>97.148134287701765</v>
      </c>
      <c r="Z14" s="9">
        <v>66.314191397872719</v>
      </c>
      <c r="AA14" s="9">
        <v>103.33120233597205</v>
      </c>
      <c r="AB14" s="9">
        <v>72.497259446143005</v>
      </c>
      <c r="AC14" s="9">
        <v>92.674716839785816</v>
      </c>
      <c r="AD14" s="9">
        <v>199.71105617700192</v>
      </c>
      <c r="AE14" s="9">
        <v>176.400106968182</v>
      </c>
      <c r="AF14" s="9">
        <v>151.41738138580456</v>
      </c>
      <c r="AG14" s="9">
        <v>170.2170389199122</v>
      </c>
      <c r="AH14" s="9">
        <v>170.2170389199122</v>
      </c>
      <c r="AI14" s="9">
        <v>145.2343133375343</v>
      </c>
      <c r="AJ14" s="9">
        <v>145.2343133375343</v>
      </c>
      <c r="AK14" s="9">
        <v>137.05285519439184</v>
      </c>
      <c r="AL14" s="9">
        <v>137.05285519439184</v>
      </c>
      <c r="AM14" s="9">
        <v>129.48055350236498</v>
      </c>
      <c r="AN14" s="9">
        <v>98.646610612535511</v>
      </c>
      <c r="AO14" s="9">
        <v>102.67189357198335</v>
      </c>
      <c r="AP14" s="9">
        <v>189.32250493401892</v>
      </c>
      <c r="AQ14" s="9">
        <v>214.30523051639639</v>
      </c>
      <c r="AR14" s="9">
        <v>214.30523051639639</v>
      </c>
      <c r="AS14" s="9">
        <v>214.30523051639639</v>
      </c>
      <c r="AT14" s="9">
        <v>189.32250493401892</v>
      </c>
      <c r="AU14" s="9">
        <v>164.33977935164148</v>
      </c>
      <c r="AV14" s="9">
        <v>164.33977935164148</v>
      </c>
      <c r="AW14" s="9">
        <v>123.3357715593162</v>
      </c>
      <c r="AX14" s="9">
        <v>153.31504225816934</v>
      </c>
      <c r="AY14" s="9">
        <v>153.31504225816934</v>
      </c>
      <c r="AZ14" s="9">
        <v>123.3357715593162</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row>
    <row r="15" spans="1:76">
      <c r="A15" s="3" t="s">
        <v>66</v>
      </c>
      <c r="B15" t="s">
        <v>12</v>
      </c>
      <c r="C15" t="s">
        <v>200</v>
      </c>
      <c r="D15" t="s">
        <v>73</v>
      </c>
      <c r="E15" t="s">
        <v>4975</v>
      </c>
      <c r="F15" s="91" t="s">
        <v>68</v>
      </c>
      <c r="G15" t="s">
        <v>4976</v>
      </c>
      <c r="H15" s="3" t="s">
        <v>69</v>
      </c>
      <c r="I15" s="3" t="s">
        <v>46</v>
      </c>
      <c r="J15" s="124"/>
      <c r="K15" s="124"/>
      <c r="L15" s="6"/>
      <c r="M15" s="124">
        <v>1.25</v>
      </c>
      <c r="N15" s="9">
        <v>0</v>
      </c>
      <c r="O15" s="9">
        <v>0</v>
      </c>
      <c r="P15" s="9">
        <v>0</v>
      </c>
      <c r="Q15" s="9">
        <v>0</v>
      </c>
      <c r="R15" s="9">
        <v>2208.75</v>
      </c>
      <c r="S15" s="9">
        <v>2452.5625</v>
      </c>
      <c r="T15" s="9">
        <v>-1789.1</v>
      </c>
      <c r="U15" s="9">
        <v>0</v>
      </c>
      <c r="V15" s="9">
        <v>1047.875</v>
      </c>
      <c r="W15" s="9">
        <v>0</v>
      </c>
      <c r="X15" s="10">
        <v>4.5414024794765382</v>
      </c>
      <c r="Y15" s="9">
        <v>10.674404336399935</v>
      </c>
      <c r="Z15" s="9">
        <v>7.2864445355788803</v>
      </c>
      <c r="AA15" s="9">
        <v>11.353785045773652</v>
      </c>
      <c r="AB15" s="9">
        <v>7.9658252449525992</v>
      </c>
      <c r="AC15" s="9">
        <v>10.182875940567364</v>
      </c>
      <c r="AD15" s="9">
        <v>21.943772566640739</v>
      </c>
      <c r="AE15" s="9">
        <v>19.382421294743732</v>
      </c>
      <c r="AF15" s="9">
        <v>16.637379238641387</v>
      </c>
      <c r="AG15" s="9">
        <v>18.703040585370061</v>
      </c>
      <c r="AH15" s="9">
        <v>18.703040585370061</v>
      </c>
      <c r="AI15" s="9">
        <v>15.95799852926767</v>
      </c>
      <c r="AJ15" s="9">
        <v>15.95799852926767</v>
      </c>
      <c r="AK15" s="9">
        <v>15.059039502194619</v>
      </c>
      <c r="AL15" s="9">
        <v>15.059039502194619</v>
      </c>
      <c r="AM15" s="9">
        <v>14.227013127107224</v>
      </c>
      <c r="AN15" s="9">
        <v>10.839053326286123</v>
      </c>
      <c r="AO15" s="9">
        <v>11.281341777758794</v>
      </c>
      <c r="AP15" s="9">
        <v>20.802303435503248</v>
      </c>
      <c r="AQ15" s="9">
        <v>23.547345491605594</v>
      </c>
      <c r="AR15" s="9">
        <v>23.547345491605594</v>
      </c>
      <c r="AS15" s="9">
        <v>23.547345491605594</v>
      </c>
      <c r="AT15" s="9">
        <v>20.802303435503248</v>
      </c>
      <c r="AU15" s="9">
        <v>18.057261379400906</v>
      </c>
      <c r="AV15" s="9">
        <v>18.057261379400906</v>
      </c>
      <c r="AW15" s="9">
        <v>13.551839203284217</v>
      </c>
      <c r="AX15" s="9">
        <v>16.84588967060705</v>
      </c>
      <c r="AY15" s="9">
        <v>16.84588967060705</v>
      </c>
      <c r="AZ15" s="9">
        <v>13.551839203284217</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row>
    <row r="16" spans="1:76">
      <c r="A16" s="3" t="s">
        <v>66</v>
      </c>
      <c r="B16" t="s">
        <v>12</v>
      </c>
      <c r="C16" t="s">
        <v>200</v>
      </c>
      <c r="D16" t="s">
        <v>76</v>
      </c>
      <c r="E16" t="s">
        <v>5186</v>
      </c>
      <c r="F16" s="91" t="s">
        <v>77</v>
      </c>
      <c r="G16" t="s">
        <v>4992</v>
      </c>
      <c r="H16" s="3" t="s">
        <v>5171</v>
      </c>
      <c r="I16" s="3" t="s">
        <v>46</v>
      </c>
      <c r="J16" s="124"/>
      <c r="K16" s="124"/>
      <c r="L16" s="6"/>
      <c r="M16" s="124">
        <v>1.25</v>
      </c>
      <c r="N16" s="9">
        <v>0</v>
      </c>
      <c r="O16" s="9">
        <v>0</v>
      </c>
      <c r="P16" s="9">
        <v>0</v>
      </c>
      <c r="Q16" s="9">
        <v>0</v>
      </c>
      <c r="R16" s="9">
        <v>457.5</v>
      </c>
      <c r="S16" s="9">
        <v>1223.75</v>
      </c>
      <c r="T16" s="9">
        <v>1131.25</v>
      </c>
      <c r="U16" s="9">
        <v>1439.1131250000001</v>
      </c>
      <c r="V16" s="9">
        <v>283.67437499999994</v>
      </c>
      <c r="W16" s="9">
        <v>241.10287500000027</v>
      </c>
      <c r="X16" s="10">
        <v>15.072965118866875</v>
      </c>
      <c r="Y16" s="9">
        <v>35.428466196148058</v>
      </c>
      <c r="Z16" s="9">
        <v>24.183790100453262</v>
      </c>
      <c r="AA16" s="9">
        <v>37.683338293721192</v>
      </c>
      <c r="AB16" s="9">
        <v>26.438662198026396</v>
      </c>
      <c r="AC16" s="9">
        <v>33.7970780074115</v>
      </c>
      <c r="AD16" s="9">
        <v>72.831624144321211</v>
      </c>
      <c r="AE16" s="9">
        <v>64.330470909622903</v>
      </c>
      <c r="AF16" s="9">
        <v>55.219645928036499</v>
      </c>
      <c r="AG16" s="9">
        <v>62.075598812049925</v>
      </c>
      <c r="AH16" s="9">
        <v>62.075598812049925</v>
      </c>
      <c r="AI16" s="9">
        <v>52.964773830463379</v>
      </c>
      <c r="AJ16" s="9">
        <v>52.964773830463379</v>
      </c>
      <c r="AK16" s="9">
        <v>49.981118864932903</v>
      </c>
      <c r="AL16" s="9">
        <v>49.981118864932903</v>
      </c>
      <c r="AM16" s="9">
        <v>47.219614112525427</v>
      </c>
      <c r="AN16" s="9">
        <v>35.974938016830478</v>
      </c>
      <c r="AO16" s="9">
        <v>37.442898284975136</v>
      </c>
      <c r="AP16" s="9">
        <v>69.043075457951119</v>
      </c>
      <c r="AQ16" s="9">
        <v>78.153900439537523</v>
      </c>
      <c r="AR16" s="9">
        <v>78.153900439537523</v>
      </c>
      <c r="AS16" s="9">
        <v>78.153900439537523</v>
      </c>
      <c r="AT16" s="9">
        <v>69.043075457951119</v>
      </c>
      <c r="AU16" s="9">
        <v>59.932250476364729</v>
      </c>
      <c r="AV16" s="9">
        <v>59.932250476364729</v>
      </c>
      <c r="AW16" s="9">
        <v>44.978704382779185</v>
      </c>
      <c r="AX16" s="9">
        <v>55.91169436068293</v>
      </c>
      <c r="AY16" s="9">
        <v>55.91169436068293</v>
      </c>
      <c r="AZ16" s="9">
        <v>44.978704382779185</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row>
    <row r="17" spans="1:76">
      <c r="A17" s="3" t="s">
        <v>66</v>
      </c>
      <c r="B17" t="s">
        <v>12</v>
      </c>
      <c r="C17" t="s">
        <v>200</v>
      </c>
      <c r="D17" t="s">
        <v>5183</v>
      </c>
      <c r="E17" t="s">
        <v>5185</v>
      </c>
      <c r="F17" s="91" t="s">
        <v>4971</v>
      </c>
      <c r="G17" t="s">
        <v>4998</v>
      </c>
      <c r="H17" s="3" t="s">
        <v>5187</v>
      </c>
      <c r="I17" s="3" t="s">
        <v>46</v>
      </c>
      <c r="J17" s="124"/>
      <c r="K17" s="124"/>
      <c r="L17" s="6"/>
      <c r="M17" s="124">
        <v>1.25</v>
      </c>
      <c r="N17" s="9">
        <v>0</v>
      </c>
      <c r="O17" s="9">
        <v>0</v>
      </c>
      <c r="P17" s="9">
        <v>2419.5</v>
      </c>
      <c r="Q17" s="9">
        <v>3382.2624999999998</v>
      </c>
      <c r="R17" s="9">
        <v>941.0125000000005</v>
      </c>
      <c r="S17" s="9">
        <v>0</v>
      </c>
      <c r="T17" s="9">
        <v>5503.0474999999988</v>
      </c>
      <c r="U17" s="9">
        <v>3895.9564687500006</v>
      </c>
      <c r="V17" s="9">
        <v>1896.7460312499998</v>
      </c>
      <c r="W17" s="9">
        <v>1723.75</v>
      </c>
      <c r="X17" s="10">
        <v>52.288335233294958</v>
      </c>
      <c r="Y17" s="9">
        <v>122.90186454069837</v>
      </c>
      <c r="Z17" s="9">
        <v>83.893919611166879</v>
      </c>
      <c r="AA17" s="9">
        <v>130.72404864424459</v>
      </c>
      <c r="AB17" s="9">
        <v>91.7161037147131</v>
      </c>
      <c r="AC17" s="9">
        <v>117.24255518546597</v>
      </c>
      <c r="AD17" s="9">
        <v>252.65396349101979</v>
      </c>
      <c r="AE17" s="9">
        <v>223.16333927076482</v>
      </c>
      <c r="AF17" s="9">
        <v>191.55775489289283</v>
      </c>
      <c r="AG17" s="9">
        <v>215.34115516721911</v>
      </c>
      <c r="AH17" s="9">
        <v>215.34115516721911</v>
      </c>
      <c r="AI17" s="9">
        <v>183.73557078934664</v>
      </c>
      <c r="AJ17" s="9">
        <v>183.73557078934664</v>
      </c>
      <c r="AK17" s="9">
        <v>173.38522831672563</v>
      </c>
      <c r="AL17" s="9">
        <v>173.38522831672563</v>
      </c>
      <c r="AM17" s="9">
        <v>163.80552816459826</v>
      </c>
      <c r="AN17" s="9">
        <v>124.79758323506628</v>
      </c>
      <c r="AO17" s="9">
        <v>129.88995875670986</v>
      </c>
      <c r="AP17" s="9">
        <v>239.51143299364477</v>
      </c>
      <c r="AQ17" s="9">
        <v>271.11701737151679</v>
      </c>
      <c r="AR17" s="9">
        <v>271.11701737151679</v>
      </c>
      <c r="AS17" s="9">
        <v>271.11701737151679</v>
      </c>
      <c r="AT17" s="9">
        <v>239.51143299364477</v>
      </c>
      <c r="AU17" s="9">
        <v>207.90584861577287</v>
      </c>
      <c r="AV17" s="9">
        <v>207.90584861577287</v>
      </c>
      <c r="AW17" s="9">
        <v>156.0317797181259</v>
      </c>
      <c r="AX17" s="9">
        <v>193.9584809715725</v>
      </c>
      <c r="AY17" s="9">
        <v>193.9584809715725</v>
      </c>
      <c r="AZ17" s="9">
        <v>156.0317797181259</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row>
    <row r="18" spans="1:76">
      <c r="A18" s="3" t="s">
        <v>66</v>
      </c>
      <c r="B18" t="s">
        <v>12</v>
      </c>
      <c r="C18" t="s">
        <v>200</v>
      </c>
      <c r="D18" t="s">
        <v>4967</v>
      </c>
      <c r="E18" t="s">
        <v>4968</v>
      </c>
      <c r="F18" s="91" t="s">
        <v>4973</v>
      </c>
      <c r="G18" t="s">
        <v>4983</v>
      </c>
      <c r="H18" s="3" t="s">
        <v>4984</v>
      </c>
      <c r="I18" s="3" t="s">
        <v>199</v>
      </c>
      <c r="J18" s="124"/>
      <c r="K18" s="124"/>
      <c r="L18" s="6"/>
      <c r="M18" s="124">
        <v>1.25</v>
      </c>
      <c r="N18" s="9">
        <v>0</v>
      </c>
      <c r="O18" s="9">
        <v>0</v>
      </c>
      <c r="P18" s="9">
        <v>1493.2699996140836</v>
      </c>
      <c r="Q18" s="9">
        <v>6221.6200003859149</v>
      </c>
      <c r="R18" s="9">
        <v>0</v>
      </c>
      <c r="S18" s="9">
        <v>0</v>
      </c>
      <c r="T18" s="9">
        <v>0</v>
      </c>
      <c r="U18" s="9">
        <v>0</v>
      </c>
      <c r="V18" s="9">
        <v>0</v>
      </c>
      <c r="W18" s="9">
        <v>1281.6846250000015</v>
      </c>
      <c r="X18" s="10">
        <v>5297.0066268050341</v>
      </c>
      <c r="Y18" s="9">
        <v>5144.0879260912207</v>
      </c>
      <c r="Z18" s="9">
        <v>8899.0914248767222</v>
      </c>
      <c r="AA18" s="9">
        <v>6448.6392741648724</v>
      </c>
      <c r="AB18" s="9">
        <v>6376.2044113891307</v>
      </c>
      <c r="AC18" s="9">
        <v>3943.8406687253755</v>
      </c>
      <c r="AD18" s="9">
        <v>6323.4730376675616</v>
      </c>
      <c r="AE18" s="9">
        <v>12213.045280856115</v>
      </c>
      <c r="AF18" s="9">
        <v>9713.2201561671973</v>
      </c>
      <c r="AG18" s="9">
        <v>8272.9745756235134</v>
      </c>
      <c r="AH18" s="9">
        <v>8272.9745756235134</v>
      </c>
      <c r="AI18" s="9">
        <v>2515.7105873685646</v>
      </c>
      <c r="AJ18" s="9">
        <v>2515.7105873685646</v>
      </c>
      <c r="AK18" s="9">
        <v>2538.1250019769318</v>
      </c>
      <c r="AL18" s="9">
        <v>2538.1250019769318</v>
      </c>
      <c r="AM18" s="9">
        <v>2558.8705349485808</v>
      </c>
      <c r="AN18" s="9">
        <v>2643.3450586644581</v>
      </c>
      <c r="AO18" s="9">
        <v>2632.3171514637497</v>
      </c>
      <c r="AP18" s="9">
        <v>2394.9239270340586</v>
      </c>
      <c r="AQ18" s="9">
        <v>2326.4797500361205</v>
      </c>
      <c r="AR18" s="9">
        <v>2326.4797500361205</v>
      </c>
      <c r="AS18" s="9">
        <v>2326.4797500361205</v>
      </c>
      <c r="AT18" s="9">
        <v>2394.9239270340586</v>
      </c>
      <c r="AU18" s="9">
        <v>2463.3681040319971</v>
      </c>
      <c r="AV18" s="9">
        <v>2463.3681040319971</v>
      </c>
      <c r="AW18" s="9">
        <v>2492.6017578281644</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row>
    <row r="19" spans="1:76">
      <c r="A19" s="3" t="s">
        <v>66</v>
      </c>
      <c r="B19" t="s">
        <v>2626</v>
      </c>
      <c r="C19" t="s">
        <v>205</v>
      </c>
      <c r="D19" t="s">
        <v>4967</v>
      </c>
      <c r="E19" t="s">
        <v>4968</v>
      </c>
      <c r="F19" s="91" t="s">
        <v>4973</v>
      </c>
      <c r="G19" t="s">
        <v>4983</v>
      </c>
      <c r="H19" s="3" t="s">
        <v>4984</v>
      </c>
      <c r="I19" s="3" t="s">
        <v>204</v>
      </c>
      <c r="J19" s="124"/>
      <c r="K19" s="124"/>
      <c r="L19" s="6"/>
      <c r="M19" s="124">
        <v>1.3559999999999999</v>
      </c>
      <c r="N19" s="9">
        <v>0</v>
      </c>
      <c r="O19" s="9">
        <v>0</v>
      </c>
      <c r="P19" s="9">
        <v>0</v>
      </c>
      <c r="Q19" s="9">
        <v>0</v>
      </c>
      <c r="R19" s="9">
        <v>0</v>
      </c>
      <c r="S19" s="9">
        <v>0</v>
      </c>
      <c r="T19" s="9">
        <v>0</v>
      </c>
      <c r="U19" s="9">
        <v>0</v>
      </c>
      <c r="V19" s="9">
        <v>0</v>
      </c>
      <c r="W19" s="9">
        <v>0</v>
      </c>
      <c r="X19" s="10">
        <v>0</v>
      </c>
      <c r="Y19" s="9">
        <v>0</v>
      </c>
      <c r="Z19" s="9">
        <v>0</v>
      </c>
      <c r="AA19" s="9">
        <v>0</v>
      </c>
      <c r="AB19" s="9">
        <v>0</v>
      </c>
      <c r="AC19" s="9">
        <v>0</v>
      </c>
      <c r="AD19" s="9">
        <v>0</v>
      </c>
      <c r="AE19" s="9">
        <v>2542.4999999999995</v>
      </c>
      <c r="AF19" s="9">
        <v>2542.4999999999995</v>
      </c>
      <c r="AG19" s="9">
        <v>2542.4999999999995</v>
      </c>
      <c r="AH19" s="9">
        <v>2542.4999999999995</v>
      </c>
      <c r="AI19" s="9">
        <v>2542.4999999999995</v>
      </c>
      <c r="AJ19" s="9">
        <v>2542.4999999999995</v>
      </c>
      <c r="AK19" s="9">
        <v>2542.4999999999995</v>
      </c>
      <c r="AL19" s="9">
        <v>2542.4999999999995</v>
      </c>
      <c r="AM19" s="9">
        <v>0</v>
      </c>
      <c r="AN19" s="9">
        <v>0</v>
      </c>
      <c r="AO19" s="9">
        <v>0</v>
      </c>
      <c r="AP19" s="9">
        <v>0</v>
      </c>
      <c r="AQ19" s="9">
        <v>2542.4999999999995</v>
      </c>
      <c r="AR19" s="9">
        <v>2542.4999999999995</v>
      </c>
      <c r="AS19" s="9">
        <v>2542.4999999999995</v>
      </c>
      <c r="AT19" s="9">
        <v>2542.4999999999995</v>
      </c>
      <c r="AU19" s="9">
        <v>2542.4999999999995</v>
      </c>
      <c r="AV19" s="9">
        <v>2542.4999999999995</v>
      </c>
      <c r="AW19" s="9">
        <v>2542.4999999999995</v>
      </c>
      <c r="AX19" s="9">
        <v>2542.4999999999995</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0</v>
      </c>
      <c r="BW19" s="9">
        <v>0</v>
      </c>
      <c r="BX19" s="9">
        <v>0</v>
      </c>
    </row>
    <row r="20" spans="1:76">
      <c r="A20" s="3" t="s">
        <v>66</v>
      </c>
      <c r="B20" t="s">
        <v>2640</v>
      </c>
      <c r="C20" t="s">
        <v>252</v>
      </c>
      <c r="D20" t="s">
        <v>4967</v>
      </c>
      <c r="E20" t="s">
        <v>4968</v>
      </c>
      <c r="F20" s="91" t="s">
        <v>4973</v>
      </c>
      <c r="G20" t="s">
        <v>4983</v>
      </c>
      <c r="H20" s="3" t="s">
        <v>4984</v>
      </c>
      <c r="I20" s="3" t="s">
        <v>251</v>
      </c>
      <c r="J20" s="124"/>
      <c r="K20" s="124"/>
      <c r="L20" s="6"/>
      <c r="M20" s="124">
        <v>1.3559999999999999</v>
      </c>
      <c r="N20" s="9">
        <v>0</v>
      </c>
      <c r="O20" s="9">
        <v>0</v>
      </c>
      <c r="P20" s="9">
        <v>0</v>
      </c>
      <c r="Q20" s="9">
        <v>0</v>
      </c>
      <c r="R20" s="9">
        <v>0</v>
      </c>
      <c r="S20" s="9">
        <v>0</v>
      </c>
      <c r="T20" s="9">
        <v>0</v>
      </c>
      <c r="U20" s="9">
        <v>0</v>
      </c>
      <c r="V20" s="9">
        <v>0</v>
      </c>
      <c r="W20" s="9">
        <v>0</v>
      </c>
      <c r="X20" s="10">
        <v>160.5504</v>
      </c>
      <c r="Y20" s="9">
        <v>443.6261052631578</v>
      </c>
      <c r="Z20" s="9">
        <v>955.26314385964895</v>
      </c>
      <c r="AA20" s="9">
        <v>902.45051228070167</v>
      </c>
      <c r="AB20" s="9">
        <v>902.45051228070167</v>
      </c>
      <c r="AC20" s="9">
        <v>741.90011228070171</v>
      </c>
      <c r="AD20" s="9">
        <v>511.63703859649115</v>
      </c>
      <c r="AE20" s="9">
        <v>472.11558596491221</v>
      </c>
      <c r="AF20" s="9">
        <v>632.34911017543857</v>
      </c>
      <c r="AG20" s="9">
        <v>535.96605754385962</v>
      </c>
      <c r="AH20" s="9">
        <v>588.7786891228069</v>
      </c>
      <c r="AI20" s="9">
        <v>655.67468912280697</v>
      </c>
      <c r="AJ20" s="9">
        <v>532.44521543859651</v>
      </c>
      <c r="AK20" s="9">
        <v>266.41038596491228</v>
      </c>
      <c r="AL20" s="9">
        <v>266.41038596491228</v>
      </c>
      <c r="AM20" s="9">
        <v>266.41038596491228</v>
      </c>
      <c r="AN20" s="9">
        <v>266.41038596491228</v>
      </c>
      <c r="AO20" s="9">
        <v>458.29628070175437</v>
      </c>
      <c r="AP20" s="9">
        <v>458.29628070175437</v>
      </c>
      <c r="AQ20" s="9">
        <v>511.10891228070165</v>
      </c>
      <c r="AR20" s="9">
        <v>616.73417543859637</v>
      </c>
      <c r="AS20" s="9">
        <v>616.73417543859648</v>
      </c>
      <c r="AT20" s="9">
        <v>616.73417543859637</v>
      </c>
      <c r="AU20" s="9">
        <v>616.73417543859648</v>
      </c>
      <c r="AV20" s="9">
        <v>511.10891228070165</v>
      </c>
      <c r="AW20" s="9">
        <v>458.29628070175437</v>
      </c>
      <c r="AX20" s="9">
        <v>458.29628070175437</v>
      </c>
      <c r="AY20" s="9">
        <v>458.29628070175437</v>
      </c>
      <c r="AZ20" s="9">
        <v>458.29628070175437</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row>
    <row r="21" spans="1:76">
      <c r="A21" s="3" t="s">
        <v>66</v>
      </c>
      <c r="B21" t="s">
        <v>2641</v>
      </c>
      <c r="C21" t="s">
        <v>256</v>
      </c>
      <c r="D21" t="s">
        <v>4967</v>
      </c>
      <c r="E21" t="s">
        <v>4968</v>
      </c>
      <c r="F21" s="91" t="s">
        <v>4973</v>
      </c>
      <c r="G21" t="s">
        <v>4983</v>
      </c>
      <c r="H21" s="3" t="s">
        <v>4984</v>
      </c>
      <c r="I21" s="3" t="s">
        <v>255</v>
      </c>
      <c r="J21" s="124"/>
      <c r="K21" s="124"/>
      <c r="L21" s="6"/>
      <c r="M21" s="124">
        <v>1.2</v>
      </c>
      <c r="N21" s="9">
        <v>0</v>
      </c>
      <c r="O21" s="9">
        <v>0</v>
      </c>
      <c r="P21" s="9">
        <v>0</v>
      </c>
      <c r="Q21" s="9">
        <v>0</v>
      </c>
      <c r="R21" s="9">
        <v>0</v>
      </c>
      <c r="S21" s="9">
        <v>0</v>
      </c>
      <c r="T21" s="9">
        <v>0</v>
      </c>
      <c r="U21" s="9">
        <v>0</v>
      </c>
      <c r="V21" s="9">
        <v>0</v>
      </c>
      <c r="W21" s="9">
        <v>0</v>
      </c>
      <c r="X21" s="10">
        <v>70.079331157838723</v>
      </c>
      <c r="Y21" s="9">
        <v>193.64025714665965</v>
      </c>
      <c r="Z21" s="9">
        <v>612.55294763101494</v>
      </c>
      <c r="AA21" s="9">
        <v>589.50053606593633</v>
      </c>
      <c r="AB21" s="9">
        <v>589.50053606593633</v>
      </c>
      <c r="AC21" s="9">
        <v>519.42120490809759</v>
      </c>
      <c r="AD21" s="9">
        <v>418.91269048435521</v>
      </c>
      <c r="AE21" s="9">
        <v>398.69837749648821</v>
      </c>
      <c r="AF21" s="9">
        <v>661.26201918493632</v>
      </c>
      <c r="AG21" s="9">
        <v>619.19136807866801</v>
      </c>
      <c r="AH21" s="9">
        <v>642.24377964374651</v>
      </c>
      <c r="AI21" s="9">
        <v>671.44350095951256</v>
      </c>
      <c r="AJ21" s="9">
        <v>521.34322814099608</v>
      </c>
      <c r="AK21" s="9">
        <v>308.9092344505072</v>
      </c>
      <c r="AL21" s="9">
        <v>212.59792195050721</v>
      </c>
      <c r="AM21" s="9">
        <v>116.28660945050726</v>
      </c>
      <c r="AN21" s="9">
        <v>116.28660945050726</v>
      </c>
      <c r="AO21" s="9">
        <v>200.0437048036259</v>
      </c>
      <c r="AP21" s="9">
        <v>200.0437048036259</v>
      </c>
      <c r="AQ21" s="9">
        <v>417.88204161870442</v>
      </c>
      <c r="AR21" s="9">
        <v>658.77278999886141</v>
      </c>
      <c r="AS21" s="9">
        <v>658.77278999886141</v>
      </c>
      <c r="AT21" s="9">
        <v>658.77278999886141</v>
      </c>
      <c r="AU21" s="9">
        <v>658.77278999886141</v>
      </c>
      <c r="AV21" s="9">
        <v>417.88204161870442</v>
      </c>
      <c r="AW21" s="9">
        <v>200.0437048036259</v>
      </c>
      <c r="AX21" s="9">
        <v>200.0437048036259</v>
      </c>
      <c r="AY21" s="9">
        <v>200.0437048036259</v>
      </c>
      <c r="AZ21" s="9">
        <v>200.0437048036259</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row>
    <row r="22" spans="1:76">
      <c r="A22" s="3" t="s">
        <v>66</v>
      </c>
      <c r="B22" t="s">
        <v>2642</v>
      </c>
      <c r="C22" t="s">
        <v>261</v>
      </c>
      <c r="D22" t="s">
        <v>4967</v>
      </c>
      <c r="E22" t="s">
        <v>4968</v>
      </c>
      <c r="F22" s="91" t="s">
        <v>4973</v>
      </c>
      <c r="G22" t="s">
        <v>4983</v>
      </c>
      <c r="H22" s="3" t="s">
        <v>4984</v>
      </c>
      <c r="I22" s="3" t="s">
        <v>260</v>
      </c>
      <c r="J22" s="124"/>
      <c r="K22" s="124"/>
      <c r="L22" s="6"/>
      <c r="M22" s="124">
        <v>1.05</v>
      </c>
      <c r="N22" s="9">
        <v>0</v>
      </c>
      <c r="O22" s="9">
        <v>0</v>
      </c>
      <c r="P22" s="9">
        <v>0</v>
      </c>
      <c r="Q22" s="9">
        <v>0</v>
      </c>
      <c r="R22" s="9">
        <v>0</v>
      </c>
      <c r="S22" s="9">
        <v>0</v>
      </c>
      <c r="T22" s="9">
        <v>0</v>
      </c>
      <c r="U22" s="9">
        <v>0</v>
      </c>
      <c r="V22" s="9">
        <v>0</v>
      </c>
      <c r="W22" s="9">
        <v>0</v>
      </c>
      <c r="X22" s="10">
        <v>1305.8101134750002</v>
      </c>
      <c r="Y22" s="9">
        <v>3608.1595240756578</v>
      </c>
      <c r="Z22" s="9">
        <v>10179.605136220589</v>
      </c>
      <c r="AA22" s="9">
        <v>9750.0623357353907</v>
      </c>
      <c r="AB22" s="9">
        <v>9750.0623357353907</v>
      </c>
      <c r="AC22" s="9">
        <v>8444.2522222603911</v>
      </c>
      <c r="AD22" s="9">
        <v>6571.4456121449302</v>
      </c>
      <c r="AE22" s="9">
        <v>6213.4872889485059</v>
      </c>
      <c r="AF22" s="9">
        <v>9890.333433120597</v>
      </c>
      <c r="AG22" s="9">
        <v>9106.4178222351093</v>
      </c>
      <c r="AH22" s="9">
        <v>9535.9606227203076</v>
      </c>
      <c r="AI22" s="9">
        <v>10080.048170001559</v>
      </c>
      <c r="AJ22" s="9">
        <v>7890.9749917860945</v>
      </c>
      <c r="AK22" s="9">
        <v>4540.4180810586631</v>
      </c>
      <c r="AL22" s="9">
        <v>3353.6114373086625</v>
      </c>
      <c r="AM22" s="9">
        <v>2166.8047935586624</v>
      </c>
      <c r="AN22" s="9">
        <v>2166.8047935586624</v>
      </c>
      <c r="AO22" s="9">
        <v>3727.4769686548798</v>
      </c>
      <c r="AP22" s="9">
        <v>3727.4769686548798</v>
      </c>
      <c r="AQ22" s="9">
        <v>6557.2905597150775</v>
      </c>
      <c r="AR22" s="9">
        <v>9816.6469512604708</v>
      </c>
      <c r="AS22" s="9">
        <v>9816.6469512604708</v>
      </c>
      <c r="AT22" s="9">
        <v>9816.6469512604708</v>
      </c>
      <c r="AU22" s="9">
        <v>9816.6469512604708</v>
      </c>
      <c r="AV22" s="9">
        <v>6557.2905597150775</v>
      </c>
      <c r="AW22" s="9">
        <v>3727.4769686548798</v>
      </c>
      <c r="AX22" s="9">
        <v>3727.4769686548798</v>
      </c>
      <c r="AY22" s="9">
        <v>3727.4769686548798</v>
      </c>
      <c r="AZ22" s="9">
        <v>3727.4769686548798</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row>
    <row r="23" spans="1:76">
      <c r="A23" s="3" t="s">
        <v>66</v>
      </c>
      <c r="B23" t="s">
        <v>2643</v>
      </c>
      <c r="C23" t="s">
        <v>265</v>
      </c>
      <c r="D23" t="s">
        <v>4967</v>
      </c>
      <c r="E23" t="s">
        <v>4968</v>
      </c>
      <c r="F23" s="91" t="s">
        <v>4973</v>
      </c>
      <c r="G23" t="s">
        <v>4983</v>
      </c>
      <c r="H23" s="3" t="s">
        <v>4984</v>
      </c>
      <c r="I23" s="3" t="s">
        <v>264</v>
      </c>
      <c r="J23" s="124"/>
      <c r="K23" s="124"/>
      <c r="L23" s="6"/>
      <c r="M23" s="124">
        <v>1.05</v>
      </c>
      <c r="N23" s="9">
        <v>0</v>
      </c>
      <c r="O23" s="9">
        <v>0</v>
      </c>
      <c r="P23" s="9">
        <v>0</v>
      </c>
      <c r="Q23" s="9">
        <v>0</v>
      </c>
      <c r="R23" s="9">
        <v>0</v>
      </c>
      <c r="S23" s="9">
        <v>0</v>
      </c>
      <c r="T23" s="9">
        <v>0</v>
      </c>
      <c r="U23" s="9">
        <v>0</v>
      </c>
      <c r="V23" s="9">
        <v>0</v>
      </c>
      <c r="W23" s="9">
        <v>0</v>
      </c>
      <c r="X23" s="10">
        <v>0</v>
      </c>
      <c r="Y23" s="9">
        <v>0</v>
      </c>
      <c r="Z23" s="9">
        <v>0</v>
      </c>
      <c r="AA23" s="9">
        <v>0</v>
      </c>
      <c r="AB23" s="9">
        <v>0</v>
      </c>
      <c r="AC23" s="9">
        <v>2484.2864267064142</v>
      </c>
      <c r="AD23" s="9">
        <v>2484.2864267064142</v>
      </c>
      <c r="AE23" s="9">
        <v>2906.6926461245885</v>
      </c>
      <c r="AF23" s="9">
        <v>3511.4512810752467</v>
      </c>
      <c r="AG23" s="9">
        <v>3149.2566467722036</v>
      </c>
      <c r="AH23" s="9">
        <v>2138.3410402754935</v>
      </c>
      <c r="AI23" s="9">
        <v>1773.534272286184</v>
      </c>
      <c r="AJ23" s="9">
        <v>1571.4099199013153</v>
      </c>
      <c r="AK23" s="9">
        <v>906.28805715460521</v>
      </c>
      <c r="AL23" s="9">
        <v>665.93735814144736</v>
      </c>
      <c r="AM23" s="9">
        <v>578.49204564144736</v>
      </c>
      <c r="AN23" s="9">
        <v>578.49204564144736</v>
      </c>
      <c r="AO23" s="9">
        <v>995.15922388980255</v>
      </c>
      <c r="AP23" s="9">
        <v>995.15922388980255</v>
      </c>
      <c r="AQ23" s="9">
        <v>1286.6930450246709</v>
      </c>
      <c r="AR23" s="9">
        <v>1692.9059060444079</v>
      </c>
      <c r="AS23" s="9">
        <v>1692.9059060444079</v>
      </c>
      <c r="AT23" s="9">
        <v>1692.9059060444079</v>
      </c>
      <c r="AU23" s="9">
        <v>1692.9059060444079</v>
      </c>
      <c r="AV23" s="9">
        <v>1286.6930450246709</v>
      </c>
      <c r="AW23" s="9">
        <v>995.15922388980255</v>
      </c>
      <c r="AX23" s="9">
        <v>995.15922388980255</v>
      </c>
      <c r="AY23" s="9">
        <v>995.15922388980255</v>
      </c>
      <c r="AZ23" s="9">
        <v>995.15922388980255</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row>
    <row r="24" spans="1:76">
      <c r="A24" s="3" t="s">
        <v>66</v>
      </c>
      <c r="B24" t="s">
        <v>2650</v>
      </c>
      <c r="C24" t="s">
        <v>300</v>
      </c>
      <c r="D24" t="s">
        <v>4967</v>
      </c>
      <c r="E24" t="s">
        <v>4968</v>
      </c>
      <c r="F24" s="91" t="s">
        <v>4973</v>
      </c>
      <c r="G24" t="s">
        <v>4983</v>
      </c>
      <c r="H24" s="3" t="s">
        <v>4984</v>
      </c>
      <c r="I24" s="3" t="s">
        <v>299</v>
      </c>
      <c r="J24" s="124"/>
      <c r="K24" s="124"/>
      <c r="L24" s="6"/>
      <c r="M24" s="124">
        <v>1.05</v>
      </c>
      <c r="N24" s="9">
        <v>0</v>
      </c>
      <c r="O24" s="9">
        <v>0</v>
      </c>
      <c r="P24" s="9">
        <v>0</v>
      </c>
      <c r="Q24" s="9">
        <v>0</v>
      </c>
      <c r="R24" s="9">
        <v>0</v>
      </c>
      <c r="S24" s="9">
        <v>0</v>
      </c>
      <c r="T24" s="9">
        <v>0</v>
      </c>
      <c r="U24" s="9">
        <v>0</v>
      </c>
      <c r="V24" s="9">
        <v>0</v>
      </c>
      <c r="W24" s="9">
        <v>0</v>
      </c>
      <c r="X24" s="10">
        <v>0</v>
      </c>
      <c r="Y24" s="9">
        <v>0</v>
      </c>
      <c r="Z24" s="9">
        <v>0</v>
      </c>
      <c r="AA24" s="9">
        <v>0</v>
      </c>
      <c r="AB24" s="9">
        <v>0</v>
      </c>
      <c r="AC24" s="9">
        <v>55.353768749999993</v>
      </c>
      <c r="AD24" s="9">
        <v>55.353768749999993</v>
      </c>
      <c r="AE24" s="9">
        <v>66.082471874999996</v>
      </c>
      <c r="AF24" s="9">
        <v>80.755644375000003</v>
      </c>
      <c r="AG24" s="9">
        <v>72.921003749999997</v>
      </c>
      <c r="AH24" s="9">
        <v>49.437753749999992</v>
      </c>
      <c r="AI24" s="9">
        <v>41.546610000000001</v>
      </c>
      <c r="AJ24" s="9">
        <v>36.378641250000001</v>
      </c>
      <c r="AK24" s="9">
        <v>21.195562499999998</v>
      </c>
      <c r="AL24" s="9">
        <v>15.200718749999995</v>
      </c>
      <c r="AM24" s="9">
        <v>12.513374999999996</v>
      </c>
      <c r="AN24" s="9">
        <v>12.513374999999996</v>
      </c>
      <c r="AO24" s="9">
        <v>21.526312499999996</v>
      </c>
      <c r="AP24" s="9">
        <v>21.526312499999996</v>
      </c>
      <c r="AQ24" s="9">
        <v>29.441986874999994</v>
      </c>
      <c r="AR24" s="9">
        <v>39.838286249999996</v>
      </c>
      <c r="AS24" s="9">
        <v>39.838286249999996</v>
      </c>
      <c r="AT24" s="9">
        <v>39.838286249999996</v>
      </c>
      <c r="AU24" s="9">
        <v>39.838286249999996</v>
      </c>
      <c r="AV24" s="9">
        <v>29.441986874999994</v>
      </c>
      <c r="AW24" s="9">
        <v>21.526312499999996</v>
      </c>
      <c r="AX24" s="9">
        <v>21.526312499999996</v>
      </c>
      <c r="AY24" s="9">
        <v>21.526312499999996</v>
      </c>
      <c r="AZ24" s="9">
        <v>21.526312499999996</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row>
    <row r="25" spans="1:76">
      <c r="A25" s="3" t="s">
        <v>66</v>
      </c>
      <c r="B25" t="s">
        <v>21</v>
      </c>
      <c r="C25" t="s">
        <v>328</v>
      </c>
      <c r="D25" t="s">
        <v>72</v>
      </c>
      <c r="E25" t="s">
        <v>4974</v>
      </c>
      <c r="F25" s="91" t="s">
        <v>30</v>
      </c>
      <c r="G25" t="s">
        <v>34</v>
      </c>
      <c r="H25" s="3" t="s">
        <v>32</v>
      </c>
      <c r="I25" s="3" t="s">
        <v>55</v>
      </c>
      <c r="J25" s="124"/>
      <c r="K25" s="124"/>
      <c r="L25" s="6"/>
      <c r="M25" s="124">
        <v>2</v>
      </c>
      <c r="N25" s="9">
        <v>0</v>
      </c>
      <c r="O25" s="9">
        <v>0</v>
      </c>
      <c r="P25" s="9">
        <v>0</v>
      </c>
      <c r="Q25" s="9">
        <v>0</v>
      </c>
      <c r="R25" s="9">
        <v>0</v>
      </c>
      <c r="S25" s="9">
        <v>0</v>
      </c>
      <c r="T25" s="9">
        <v>461.02600000000001</v>
      </c>
      <c r="U25" s="9">
        <v>1366.2538700144996</v>
      </c>
      <c r="V25" s="9">
        <v>2700.8489299855019</v>
      </c>
      <c r="W25" s="9">
        <v>2036.9420000000009</v>
      </c>
      <c r="X25" s="10">
        <v>1303.815942781458</v>
      </c>
      <c r="Y25" s="9">
        <v>2048.8536243708622</v>
      </c>
      <c r="Z25" s="9">
        <v>1885.8766315231778</v>
      </c>
      <c r="AA25" s="9">
        <v>1024.4268121854295</v>
      </c>
      <c r="AB25" s="9">
        <v>1024.4268121854295</v>
      </c>
      <c r="AC25" s="9">
        <v>1024.4268121854295</v>
      </c>
      <c r="AD25" s="9">
        <v>1024.4268121854295</v>
      </c>
      <c r="AE25" s="9">
        <v>1024.4268121854295</v>
      </c>
      <c r="AF25" s="9">
        <v>768.3201091390722</v>
      </c>
      <c r="AG25" s="9">
        <v>1024.4268121854295</v>
      </c>
      <c r="AH25" s="9">
        <v>768.3201091390722</v>
      </c>
      <c r="AI25" s="9">
        <v>1024.4268121854295</v>
      </c>
      <c r="AJ25" s="9">
        <v>1024.4268121854295</v>
      </c>
      <c r="AK25" s="9">
        <v>1024.4268121854295</v>
      </c>
      <c r="AL25" s="9">
        <v>1024.4268121854295</v>
      </c>
      <c r="AM25" s="9">
        <v>1024.4268121854295</v>
      </c>
      <c r="AN25" s="9">
        <v>1024.4268121854295</v>
      </c>
      <c r="AO25" s="9">
        <v>1024.4268121854295</v>
      </c>
      <c r="AP25" s="9">
        <v>1024.4268121854295</v>
      </c>
      <c r="AQ25" s="9">
        <v>768.3201091390722</v>
      </c>
      <c r="AR25" s="9">
        <v>908.0146744370852</v>
      </c>
      <c r="AS25" s="9">
        <v>558.77826119205417</v>
      </c>
      <c r="AT25" s="9">
        <v>419.08369589403867</v>
      </c>
      <c r="AU25" s="9">
        <v>558.77826119205417</v>
      </c>
      <c r="AV25" s="9">
        <v>558.77826119205417</v>
      </c>
      <c r="AW25" s="9">
        <v>558.77826119205417</v>
      </c>
      <c r="AX25" s="9">
        <v>558.77826119205417</v>
      </c>
      <c r="AY25" s="9">
        <v>360.87762701986645</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row>
    <row r="26" spans="1:76">
      <c r="A26" s="3" t="s">
        <v>66</v>
      </c>
      <c r="B26" t="s">
        <v>21</v>
      </c>
      <c r="C26" t="s">
        <v>328</v>
      </c>
      <c r="D26" t="s">
        <v>74</v>
      </c>
      <c r="E26" t="s">
        <v>4975</v>
      </c>
      <c r="F26" s="91" t="s">
        <v>68</v>
      </c>
      <c r="G26" t="s">
        <v>4976</v>
      </c>
      <c r="H26" s="3" t="s">
        <v>69</v>
      </c>
      <c r="I26" s="3" t="s">
        <v>55</v>
      </c>
      <c r="J26" s="124"/>
      <c r="K26" s="124"/>
      <c r="L26" s="6"/>
      <c r="M26" s="124">
        <v>2</v>
      </c>
      <c r="N26" s="9">
        <v>0</v>
      </c>
      <c r="O26" s="9">
        <v>0</v>
      </c>
      <c r="P26" s="9">
        <v>0</v>
      </c>
      <c r="Q26" s="9">
        <v>0</v>
      </c>
      <c r="R26" s="9">
        <v>205.7</v>
      </c>
      <c r="S26" s="9">
        <v>1493.66</v>
      </c>
      <c r="T26" s="9">
        <v>1281.652</v>
      </c>
      <c r="U26" s="9">
        <v>2801.38</v>
      </c>
      <c r="V26" s="9">
        <v>1678.02</v>
      </c>
      <c r="W26" s="9">
        <v>4287.5200000000004</v>
      </c>
      <c r="X26" s="10">
        <v>3480.0970020120772</v>
      </c>
      <c r="Y26" s="9">
        <v>3859.743947686125</v>
      </c>
      <c r="Z26" s="9">
        <v>2446.6136498993869</v>
      </c>
      <c r="AA26" s="9">
        <v>2446.6136498993869</v>
      </c>
      <c r="AB26" s="9">
        <v>2678.6201167002114</v>
      </c>
      <c r="AC26" s="9">
        <v>2066.9667042253514</v>
      </c>
      <c r="AD26" s="9">
        <v>1708.4112555332001</v>
      </c>
      <c r="AE26" s="9">
        <v>1708.4112555332001</v>
      </c>
      <c r="AF26" s="9">
        <v>569.47041851106599</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row>
    <row r="27" spans="1:76">
      <c r="A27" s="3" t="s">
        <v>66</v>
      </c>
      <c r="B27" t="s">
        <v>21</v>
      </c>
      <c r="C27" t="s">
        <v>328</v>
      </c>
      <c r="D27" t="s">
        <v>5184</v>
      </c>
      <c r="E27" t="s">
        <v>5185</v>
      </c>
      <c r="F27" s="91" t="s">
        <v>4971</v>
      </c>
      <c r="G27" t="s">
        <v>4998</v>
      </c>
      <c r="H27" s="3" t="s">
        <v>5187</v>
      </c>
      <c r="I27" s="3" t="s">
        <v>55</v>
      </c>
      <c r="J27" s="124"/>
      <c r="K27" s="124"/>
      <c r="L27" s="6"/>
      <c r="M27" s="124">
        <v>2</v>
      </c>
      <c r="N27" s="9">
        <v>0</v>
      </c>
      <c r="O27" s="9">
        <v>0</v>
      </c>
      <c r="P27" s="9">
        <v>0</v>
      </c>
      <c r="Q27" s="9">
        <v>0</v>
      </c>
      <c r="R27" s="9">
        <v>0</v>
      </c>
      <c r="S27" s="9">
        <v>0</v>
      </c>
      <c r="T27" s="9">
        <v>0</v>
      </c>
      <c r="U27" s="9">
        <v>262.26123000000013</v>
      </c>
      <c r="V27" s="9">
        <v>625.2967699999997</v>
      </c>
      <c r="W27" s="9">
        <v>1081.2200000000003</v>
      </c>
      <c r="X27" s="10">
        <v>855.8878853503187</v>
      </c>
      <c r="Y27" s="9">
        <v>855.8878853503187</v>
      </c>
      <c r="Z27" s="9">
        <v>855.8878853503187</v>
      </c>
      <c r="AA27" s="9">
        <v>855.8878853503187</v>
      </c>
      <c r="AB27" s="9">
        <v>855.8878853503187</v>
      </c>
      <c r="AC27" s="9">
        <v>1632.1582929936305</v>
      </c>
      <c r="AD27" s="9">
        <v>1632.1582929936305</v>
      </c>
      <c r="AE27" s="9">
        <v>2030.2456815286614</v>
      </c>
      <c r="AF27" s="9">
        <v>2030.2456815286614</v>
      </c>
      <c r="AG27" s="9">
        <v>1074.8359490445857</v>
      </c>
      <c r="AH27" s="9">
        <v>1472.9233375796186</v>
      </c>
      <c r="AI27" s="9">
        <v>1472.9233375796186</v>
      </c>
      <c r="AJ27" s="9">
        <v>1433.1145987261152</v>
      </c>
      <c r="AK27" s="9">
        <v>1433.1145987261152</v>
      </c>
      <c r="AL27" s="9">
        <v>258.75680254777058</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row>
    <row r="28" spans="1:76">
      <c r="A28" s="3" t="s">
        <v>66</v>
      </c>
      <c r="B28" t="s">
        <v>21</v>
      </c>
      <c r="C28" t="s">
        <v>328</v>
      </c>
      <c r="D28" t="s">
        <v>4967</v>
      </c>
      <c r="E28" t="s">
        <v>4968</v>
      </c>
      <c r="F28" s="91" t="s">
        <v>4973</v>
      </c>
      <c r="G28" t="s">
        <v>4983</v>
      </c>
      <c r="H28" s="3" t="s">
        <v>4984</v>
      </c>
      <c r="I28" s="3" t="s">
        <v>327</v>
      </c>
      <c r="J28" s="124"/>
      <c r="K28" s="124"/>
      <c r="L28" s="6"/>
      <c r="M28" s="124">
        <v>2</v>
      </c>
      <c r="N28" s="9">
        <v>0</v>
      </c>
      <c r="O28" s="9">
        <v>0</v>
      </c>
      <c r="P28" s="9">
        <v>966.00684041541888</v>
      </c>
      <c r="Q28" s="9">
        <v>2371.0609595845813</v>
      </c>
      <c r="R28" s="9">
        <v>153.43553813127767</v>
      </c>
      <c r="S28" s="9">
        <v>0</v>
      </c>
      <c r="T28" s="9">
        <v>0</v>
      </c>
      <c r="U28" s="9">
        <v>905.86489998549951</v>
      </c>
      <c r="V28" s="9">
        <v>1641.4963000144971</v>
      </c>
      <c r="W28" s="9">
        <v>0</v>
      </c>
      <c r="X28" s="10">
        <v>3565.708839423311</v>
      </c>
      <c r="Y28" s="9">
        <v>3593.3427053922514</v>
      </c>
      <c r="Z28" s="9">
        <v>4955.9735033062507</v>
      </c>
      <c r="AA28" s="9">
        <v>6798.7123117230612</v>
      </c>
      <c r="AB28" s="9">
        <v>14029.630163447957</v>
      </c>
      <c r="AC28" s="9">
        <v>12111.820575720863</v>
      </c>
      <c r="AD28" s="9">
        <v>12637.232318953013</v>
      </c>
      <c r="AE28" s="9">
        <v>12459.684239983997</v>
      </c>
      <c r="AF28" s="9">
        <v>12244.653844233617</v>
      </c>
      <c r="AG28" s="9">
        <v>15058.688314006858</v>
      </c>
      <c r="AH28" s="9">
        <v>17606.072889336116</v>
      </c>
      <c r="AI28" s="9">
        <v>20056.400755526141</v>
      </c>
      <c r="AJ28" s="9">
        <v>22057.077337696217</v>
      </c>
      <c r="AK28" s="9">
        <v>22057.077337696217</v>
      </c>
      <c r="AL28" s="9">
        <v>18634.915082263295</v>
      </c>
      <c r="AM28" s="9">
        <v>19520.748694209513</v>
      </c>
      <c r="AN28" s="9">
        <v>19520.748694209513</v>
      </c>
      <c r="AO28" s="9">
        <v>18957.886046361335</v>
      </c>
      <c r="AP28" s="9">
        <v>19538.23452258937</v>
      </c>
      <c r="AQ28" s="9">
        <v>19902.199870642129</v>
      </c>
      <c r="AR28" s="9">
        <v>19420.057812073454</v>
      </c>
      <c r="AS28" s="9">
        <v>23039.64075230583</v>
      </c>
      <c r="AT28" s="9">
        <v>24284.711210185676</v>
      </c>
      <c r="AU28" s="9">
        <v>22712.544422612806</v>
      </c>
      <c r="AV28" s="9">
        <v>22712.544422612806</v>
      </c>
      <c r="AW28" s="9">
        <v>22373.881653991473</v>
      </c>
      <c r="AX28" s="9">
        <v>23138.788523119332</v>
      </c>
      <c r="AY28" s="9">
        <v>22955.549362605878</v>
      </c>
      <c r="AZ28" s="9">
        <v>16486.204502477285</v>
      </c>
      <c r="BA28" s="9">
        <v>11251.581877489158</v>
      </c>
      <c r="BB28" s="9">
        <v>7977.8951808112979</v>
      </c>
      <c r="BC28" s="9">
        <v>4728.0462419247579</v>
      </c>
      <c r="BD28" s="9">
        <v>4728.0462419247579</v>
      </c>
      <c r="BE28" s="9">
        <v>3658.6072110132054</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row>
    <row r="29" spans="1:76">
      <c r="A29" s="3" t="s">
        <v>66</v>
      </c>
      <c r="B29" t="s">
        <v>25</v>
      </c>
      <c r="C29" t="s">
        <v>344</v>
      </c>
      <c r="D29" t="s">
        <v>72</v>
      </c>
      <c r="E29" t="s">
        <v>4974</v>
      </c>
      <c r="F29" s="91" t="s">
        <v>30</v>
      </c>
      <c r="G29" t="s">
        <v>34</v>
      </c>
      <c r="H29" s="3" t="s">
        <v>32</v>
      </c>
      <c r="I29" s="3" t="s">
        <v>59</v>
      </c>
      <c r="J29" s="124"/>
      <c r="K29" s="124"/>
      <c r="L29" s="6"/>
      <c r="M29" s="124">
        <v>1.2</v>
      </c>
      <c r="N29" s="9">
        <v>0</v>
      </c>
      <c r="O29" s="9">
        <v>0</v>
      </c>
      <c r="P29" s="9">
        <v>0</v>
      </c>
      <c r="Q29" s="9">
        <v>0</v>
      </c>
      <c r="R29" s="9">
        <v>0</v>
      </c>
      <c r="S29" s="9">
        <v>0</v>
      </c>
      <c r="T29" s="9">
        <v>0</v>
      </c>
      <c r="U29" s="9">
        <v>0</v>
      </c>
      <c r="V29" s="9">
        <v>0</v>
      </c>
      <c r="W29" s="9">
        <v>0</v>
      </c>
      <c r="X29" s="10">
        <v>0</v>
      </c>
      <c r="Y29" s="9">
        <v>0</v>
      </c>
      <c r="Z29" s="9">
        <v>0</v>
      </c>
      <c r="AA29" s="9">
        <v>1819.946147859923</v>
      </c>
      <c r="AB29" s="9">
        <v>3275.9030661478614</v>
      </c>
      <c r="AC29" s="9">
        <v>909.97307392995936</v>
      </c>
      <c r="AD29" s="9">
        <v>0</v>
      </c>
      <c r="AE29" s="9">
        <v>0</v>
      </c>
      <c r="AF29" s="9">
        <v>0</v>
      </c>
      <c r="AG29" s="9">
        <v>0</v>
      </c>
      <c r="AH29" s="9">
        <v>0</v>
      </c>
      <c r="AI29" s="9">
        <v>0</v>
      </c>
      <c r="AJ29" s="9">
        <v>0</v>
      </c>
      <c r="AK29" s="9">
        <v>0</v>
      </c>
      <c r="AL29" s="9">
        <v>0</v>
      </c>
      <c r="AM29" s="9">
        <v>0</v>
      </c>
      <c r="AN29" s="9">
        <v>0</v>
      </c>
      <c r="AO29" s="9">
        <v>0</v>
      </c>
      <c r="AP29" s="9">
        <v>0</v>
      </c>
      <c r="AQ29" s="9">
        <v>0</v>
      </c>
      <c r="AR29" s="9">
        <v>0</v>
      </c>
      <c r="AS29" s="9">
        <v>2183.9353774319088</v>
      </c>
      <c r="AT29" s="9">
        <v>3039.3100669260698</v>
      </c>
      <c r="AU29" s="9">
        <v>6588.2050552529336</v>
      </c>
      <c r="AV29" s="9">
        <v>6588.2050552529336</v>
      </c>
      <c r="AW29" s="9">
        <v>6588.2050552529336</v>
      </c>
      <c r="AX29" s="9">
        <v>6588.2050552529336</v>
      </c>
      <c r="AY29" s="9">
        <v>6588.2050552529336</v>
      </c>
      <c r="AZ29" s="9">
        <v>2602.5229914396887</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row>
    <row r="30" spans="1:76">
      <c r="A30" s="3" t="s">
        <v>66</v>
      </c>
      <c r="B30" t="s">
        <v>25</v>
      </c>
      <c r="C30" t="s">
        <v>344</v>
      </c>
      <c r="D30" t="s">
        <v>74</v>
      </c>
      <c r="E30" t="s">
        <v>4975</v>
      </c>
      <c r="F30" s="91" t="s">
        <v>68</v>
      </c>
      <c r="G30" t="s">
        <v>4976</v>
      </c>
      <c r="H30" s="3" t="s">
        <v>69</v>
      </c>
      <c r="I30" s="3" t="s">
        <v>59</v>
      </c>
      <c r="J30" s="124"/>
      <c r="K30" s="124"/>
      <c r="L30" s="6"/>
      <c r="M30" s="124">
        <v>1.2</v>
      </c>
      <c r="N30" s="9">
        <v>0</v>
      </c>
      <c r="O30" s="9">
        <v>0</v>
      </c>
      <c r="P30" s="9">
        <v>0</v>
      </c>
      <c r="Q30" s="9">
        <v>0</v>
      </c>
      <c r="R30" s="9">
        <v>0</v>
      </c>
      <c r="S30" s="9">
        <v>0</v>
      </c>
      <c r="T30" s="9">
        <v>0</v>
      </c>
      <c r="U30" s="9">
        <v>0</v>
      </c>
      <c r="V30" s="9">
        <v>0</v>
      </c>
      <c r="W30" s="9">
        <v>0</v>
      </c>
      <c r="X30" s="10">
        <v>0</v>
      </c>
      <c r="Y30" s="9">
        <v>0</v>
      </c>
      <c r="Z30" s="9">
        <v>0</v>
      </c>
      <c r="AA30" s="9">
        <v>0</v>
      </c>
      <c r="AB30" s="9">
        <v>0</v>
      </c>
      <c r="AC30" s="9">
        <v>4716.5301167999996</v>
      </c>
      <c r="AD30" s="9">
        <v>4544.2367792000105</v>
      </c>
      <c r="AE30" s="9">
        <v>4522.7001119999995</v>
      </c>
      <c r="AF30" s="9">
        <v>5513.38680320001</v>
      </c>
      <c r="AG30" s="9">
        <v>6482.5368272000096</v>
      </c>
      <c r="AH30" s="9">
        <v>5556.4601375999991</v>
      </c>
      <c r="AI30" s="9">
        <v>969.15002399999992</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row>
    <row r="31" spans="1:76">
      <c r="A31" s="3" t="s">
        <v>66</v>
      </c>
      <c r="B31" t="s">
        <v>25</v>
      </c>
      <c r="C31" t="s">
        <v>344</v>
      </c>
      <c r="D31" t="s">
        <v>5184</v>
      </c>
      <c r="E31" t="s">
        <v>5185</v>
      </c>
      <c r="F31" s="91" t="s">
        <v>4971</v>
      </c>
      <c r="G31" t="s">
        <v>4998</v>
      </c>
      <c r="H31" s="3" t="s">
        <v>5187</v>
      </c>
      <c r="I31" s="3" t="s">
        <v>59</v>
      </c>
      <c r="J31" s="124"/>
      <c r="K31" s="124"/>
      <c r="L31" s="6"/>
      <c r="M31" s="124">
        <v>1.2</v>
      </c>
      <c r="N31" s="9">
        <v>0</v>
      </c>
      <c r="O31" s="9">
        <v>0</v>
      </c>
      <c r="P31" s="9">
        <v>0</v>
      </c>
      <c r="Q31" s="9">
        <v>0</v>
      </c>
      <c r="R31" s="9">
        <v>0</v>
      </c>
      <c r="S31" s="9">
        <v>0</v>
      </c>
      <c r="T31" s="9">
        <v>0</v>
      </c>
      <c r="U31" s="9">
        <v>0</v>
      </c>
      <c r="V31" s="9">
        <v>0</v>
      </c>
      <c r="W31" s="9">
        <v>0</v>
      </c>
      <c r="X31" s="10">
        <v>0</v>
      </c>
      <c r="Y31" s="9">
        <v>0</v>
      </c>
      <c r="Z31" s="9">
        <v>0</v>
      </c>
      <c r="AA31" s="9">
        <v>0</v>
      </c>
      <c r="AB31" s="9">
        <v>0</v>
      </c>
      <c r="AC31" s="9">
        <v>0</v>
      </c>
      <c r="AD31" s="9">
        <v>0</v>
      </c>
      <c r="AE31" s="9">
        <v>0</v>
      </c>
      <c r="AF31" s="9">
        <v>0</v>
      </c>
      <c r="AG31" s="9">
        <v>0</v>
      </c>
      <c r="AH31" s="9">
        <v>0</v>
      </c>
      <c r="AI31" s="9">
        <v>0</v>
      </c>
      <c r="AJ31" s="9">
        <v>0</v>
      </c>
      <c r="AK31" s="9">
        <v>0</v>
      </c>
      <c r="AL31" s="9">
        <v>9889.8293647058745</v>
      </c>
      <c r="AM31" s="9">
        <v>9889.8293647058745</v>
      </c>
      <c r="AN31" s="9">
        <v>8241.5244705882487</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row>
    <row r="32" spans="1:76">
      <c r="A32" s="3" t="s">
        <v>66</v>
      </c>
      <c r="B32" t="s">
        <v>25</v>
      </c>
      <c r="C32" t="s">
        <v>344</v>
      </c>
      <c r="D32" t="s">
        <v>4967</v>
      </c>
      <c r="E32" t="s">
        <v>4968</v>
      </c>
      <c r="F32" s="91" t="s">
        <v>4973</v>
      </c>
      <c r="G32" t="s">
        <v>4983</v>
      </c>
      <c r="H32" s="3" t="s">
        <v>4984</v>
      </c>
      <c r="I32" s="3" t="s">
        <v>343</v>
      </c>
      <c r="J32" s="124"/>
      <c r="K32" s="124"/>
      <c r="L32" s="6"/>
      <c r="M32" s="124">
        <v>1.2</v>
      </c>
      <c r="N32" s="9">
        <v>0</v>
      </c>
      <c r="O32" s="9">
        <v>0</v>
      </c>
      <c r="P32" s="9">
        <v>0</v>
      </c>
      <c r="Q32" s="9">
        <v>0</v>
      </c>
      <c r="R32" s="9">
        <v>0</v>
      </c>
      <c r="S32" s="9">
        <v>0</v>
      </c>
      <c r="T32" s="9">
        <v>0</v>
      </c>
      <c r="U32" s="9">
        <v>0</v>
      </c>
      <c r="V32" s="9">
        <v>0</v>
      </c>
      <c r="W32" s="9">
        <v>0</v>
      </c>
      <c r="X32" s="10">
        <v>0</v>
      </c>
      <c r="Y32" s="9">
        <v>0</v>
      </c>
      <c r="Z32" s="9">
        <v>0</v>
      </c>
      <c r="AA32" s="9">
        <v>2394.9338521400769</v>
      </c>
      <c r="AB32" s="9">
        <v>2044.3929338521384</v>
      </c>
      <c r="AC32" s="9">
        <v>8315.1148092700405</v>
      </c>
      <c r="AD32" s="9">
        <v>8317.3104207999877</v>
      </c>
      <c r="AE32" s="9">
        <v>1684.3118880000002</v>
      </c>
      <c r="AF32" s="9">
        <v>794.52239679999002</v>
      </c>
      <c r="AG32" s="9">
        <v>410.54037279999102</v>
      </c>
      <c r="AH32" s="9">
        <v>498.95946240000046</v>
      </c>
      <c r="AI32" s="9">
        <v>194.33397599999998</v>
      </c>
      <c r="AJ32" s="9">
        <v>0</v>
      </c>
      <c r="AK32" s="9">
        <v>0</v>
      </c>
      <c r="AL32" s="9">
        <v>4528.2426352941184</v>
      </c>
      <c r="AM32" s="9">
        <v>3105.3918352941173</v>
      </c>
      <c r="AN32" s="9">
        <v>625.63552941176351</v>
      </c>
      <c r="AO32" s="9">
        <v>0</v>
      </c>
      <c r="AP32" s="9">
        <v>7249.5936000000002</v>
      </c>
      <c r="AQ32" s="9">
        <v>10115.712</v>
      </c>
      <c r="AR32" s="9">
        <v>10115.712</v>
      </c>
      <c r="AS32" s="9">
        <v>12559.935422568093</v>
      </c>
      <c r="AT32" s="9">
        <v>1077.5671330739299</v>
      </c>
      <c r="AU32" s="9">
        <v>702.88214474706581</v>
      </c>
      <c r="AV32" s="9">
        <v>765.09254474706643</v>
      </c>
      <c r="AW32" s="9">
        <v>1046.1013447470652</v>
      </c>
      <c r="AX32" s="9">
        <v>1157.9893447470661</v>
      </c>
      <c r="AY32" s="9">
        <v>15388.246944747065</v>
      </c>
      <c r="AZ32" s="9">
        <v>17783.699808560312</v>
      </c>
      <c r="BA32" s="9">
        <v>16904.736000000001</v>
      </c>
      <c r="BB32" s="9">
        <v>18217.584000000003</v>
      </c>
      <c r="BC32" s="9">
        <v>29846.13</v>
      </c>
      <c r="BD32" s="9">
        <v>33083.217600000004</v>
      </c>
      <c r="BE32" s="9">
        <v>32856.981599999999</v>
      </c>
      <c r="BF32" s="9">
        <v>33196.608</v>
      </c>
      <c r="BG32" s="9">
        <v>33271.200000000004</v>
      </c>
      <c r="BH32" s="9">
        <v>32710.754400000002</v>
      </c>
      <c r="BI32" s="9">
        <v>32316.408000000003</v>
      </c>
      <c r="BJ32" s="9">
        <v>26566.214400000001</v>
      </c>
      <c r="BK32" s="9">
        <v>21270.762000000002</v>
      </c>
      <c r="BL32" s="9">
        <v>7586.7840000000006</v>
      </c>
      <c r="BM32" s="9">
        <v>0</v>
      </c>
      <c r="BN32" s="9">
        <v>0</v>
      </c>
      <c r="BO32" s="9">
        <v>0</v>
      </c>
      <c r="BP32" s="9">
        <v>0</v>
      </c>
      <c r="BQ32" s="9">
        <v>0</v>
      </c>
      <c r="BR32" s="9">
        <v>0</v>
      </c>
      <c r="BS32" s="9">
        <v>0</v>
      </c>
      <c r="BT32" s="9">
        <v>0</v>
      </c>
      <c r="BU32" s="9">
        <v>0</v>
      </c>
      <c r="BV32" s="9">
        <v>0</v>
      </c>
      <c r="BW32" s="9">
        <v>0</v>
      </c>
      <c r="BX32" s="9">
        <v>0</v>
      </c>
    </row>
    <row r="33" spans="1:76">
      <c r="A33" s="3" t="s">
        <v>66</v>
      </c>
      <c r="B33" t="s">
        <v>26</v>
      </c>
      <c r="C33" t="s">
        <v>348</v>
      </c>
      <c r="D33" t="s">
        <v>72</v>
      </c>
      <c r="E33" t="s">
        <v>4974</v>
      </c>
      <c r="F33" s="91" t="s">
        <v>30</v>
      </c>
      <c r="G33" t="s">
        <v>34</v>
      </c>
      <c r="H33" s="3" t="s">
        <v>32</v>
      </c>
      <c r="I33" s="3" t="s">
        <v>60</v>
      </c>
      <c r="J33" s="124"/>
      <c r="K33" s="124"/>
      <c r="L33" s="6"/>
      <c r="M33" s="124">
        <v>0.40950000000000003</v>
      </c>
      <c r="N33" s="9">
        <v>0</v>
      </c>
      <c r="O33" s="9">
        <v>0</v>
      </c>
      <c r="P33" s="9">
        <v>0</v>
      </c>
      <c r="Q33" s="9">
        <v>0</v>
      </c>
      <c r="R33" s="9">
        <v>0</v>
      </c>
      <c r="S33" s="9">
        <v>0</v>
      </c>
      <c r="T33" s="9">
        <v>0</v>
      </c>
      <c r="U33" s="9">
        <v>0</v>
      </c>
      <c r="V33" s="9">
        <v>0</v>
      </c>
      <c r="W33" s="9">
        <v>0</v>
      </c>
      <c r="X33" s="10">
        <v>66.821721854304712</v>
      </c>
      <c r="Y33" s="9">
        <v>105.00556291390735</v>
      </c>
      <c r="Z33" s="9">
        <v>96.652847682119173</v>
      </c>
      <c r="AA33" s="9">
        <v>52.502781456953606</v>
      </c>
      <c r="AB33" s="9">
        <v>52.502781456953606</v>
      </c>
      <c r="AC33" s="9">
        <v>52.502781456953606</v>
      </c>
      <c r="AD33" s="9">
        <v>52.502781456953606</v>
      </c>
      <c r="AE33" s="9">
        <v>52.502781456953606</v>
      </c>
      <c r="AF33" s="9">
        <v>39.37708609271521</v>
      </c>
      <c r="AG33" s="9">
        <v>52.502781456953606</v>
      </c>
      <c r="AH33" s="9">
        <v>39.37708609271521</v>
      </c>
      <c r="AI33" s="9">
        <v>52.502781456953606</v>
      </c>
      <c r="AJ33" s="9">
        <v>52.502781456953606</v>
      </c>
      <c r="AK33" s="9">
        <v>52.502781456953606</v>
      </c>
      <c r="AL33" s="9">
        <v>52.502781456953606</v>
      </c>
      <c r="AM33" s="9">
        <v>52.502781456953606</v>
      </c>
      <c r="AN33" s="9">
        <v>52.502781456953606</v>
      </c>
      <c r="AO33" s="9">
        <v>52.502781456953606</v>
      </c>
      <c r="AP33" s="9">
        <v>52.502781456953606</v>
      </c>
      <c r="AQ33" s="9">
        <v>39.37708609271521</v>
      </c>
      <c r="AR33" s="9">
        <v>46.536556291390689</v>
      </c>
      <c r="AS33" s="9">
        <v>28.637880794702053</v>
      </c>
      <c r="AT33" s="9">
        <v>21.478410596026439</v>
      </c>
      <c r="AU33" s="9">
        <v>28.637880794702053</v>
      </c>
      <c r="AV33" s="9">
        <v>28.637880794702053</v>
      </c>
      <c r="AW33" s="9">
        <v>28.637880794702053</v>
      </c>
      <c r="AX33" s="9">
        <v>28.637880794702053</v>
      </c>
      <c r="AY33" s="9">
        <v>18.49529801324498</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row>
    <row r="34" spans="1:76">
      <c r="A34" s="3" t="s">
        <v>66</v>
      </c>
      <c r="B34" t="s">
        <v>26</v>
      </c>
      <c r="C34" t="s">
        <v>348</v>
      </c>
      <c r="D34" t="s">
        <v>74</v>
      </c>
      <c r="E34" t="s">
        <v>4975</v>
      </c>
      <c r="F34" s="91" t="s">
        <v>68</v>
      </c>
      <c r="G34" t="s">
        <v>4976</v>
      </c>
      <c r="H34" s="3" t="s">
        <v>69</v>
      </c>
      <c r="I34" s="3" t="s">
        <v>60</v>
      </c>
      <c r="J34" s="124"/>
      <c r="K34" s="124"/>
      <c r="L34" s="6"/>
      <c r="M34" s="124">
        <v>0.40950000000000003</v>
      </c>
      <c r="N34" s="9">
        <v>0</v>
      </c>
      <c r="O34" s="9">
        <v>0</v>
      </c>
      <c r="P34" s="9">
        <v>0</v>
      </c>
      <c r="Q34" s="9">
        <v>0</v>
      </c>
      <c r="R34" s="9">
        <v>0</v>
      </c>
      <c r="S34" s="9">
        <v>0</v>
      </c>
      <c r="T34" s="9">
        <v>0</v>
      </c>
      <c r="U34" s="9">
        <v>0</v>
      </c>
      <c r="V34" s="9">
        <v>0</v>
      </c>
      <c r="W34" s="9">
        <v>0</v>
      </c>
      <c r="X34" s="10">
        <v>179.45492957746504</v>
      </c>
      <c r="Y34" s="9">
        <v>199.03183098591595</v>
      </c>
      <c r="Z34" s="9">
        <v>126.16225352112627</v>
      </c>
      <c r="AA34" s="9">
        <v>126.16225352112627</v>
      </c>
      <c r="AB34" s="9">
        <v>138.12591549295826</v>
      </c>
      <c r="AC34" s="9">
        <v>106.58535211267601</v>
      </c>
      <c r="AD34" s="9">
        <v>88.09605633802822</v>
      </c>
      <c r="AE34" s="9">
        <v>88.09605633802822</v>
      </c>
      <c r="AF34" s="9">
        <v>29.365352112676035</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row>
    <row r="35" spans="1:76">
      <c r="A35" s="3" t="s">
        <v>66</v>
      </c>
      <c r="B35" t="s">
        <v>26</v>
      </c>
      <c r="C35" t="s">
        <v>348</v>
      </c>
      <c r="D35" t="s">
        <v>5184</v>
      </c>
      <c r="E35" t="s">
        <v>5185</v>
      </c>
      <c r="F35" s="91" t="s">
        <v>4971</v>
      </c>
      <c r="G35" t="s">
        <v>4998</v>
      </c>
      <c r="H35" s="3" t="s">
        <v>5187</v>
      </c>
      <c r="I35" s="3" t="s">
        <v>60</v>
      </c>
      <c r="J35" s="124"/>
      <c r="K35" s="124"/>
      <c r="L35" s="6"/>
      <c r="M35" s="124">
        <v>0.40950000000000003</v>
      </c>
      <c r="N35" s="9">
        <v>0</v>
      </c>
      <c r="O35" s="9">
        <v>0</v>
      </c>
      <c r="P35" s="9">
        <v>0</v>
      </c>
      <c r="Q35" s="9">
        <v>0</v>
      </c>
      <c r="R35" s="9">
        <v>0</v>
      </c>
      <c r="S35" s="9">
        <v>0</v>
      </c>
      <c r="T35" s="9">
        <v>0</v>
      </c>
      <c r="U35" s="9">
        <v>0</v>
      </c>
      <c r="V35" s="9">
        <v>0</v>
      </c>
      <c r="W35" s="9">
        <v>0</v>
      </c>
      <c r="X35" s="10">
        <v>38.133057324840777</v>
      </c>
      <c r="Y35" s="9">
        <v>38.133057324840777</v>
      </c>
      <c r="Z35" s="9">
        <v>38.133057324840777</v>
      </c>
      <c r="AA35" s="9">
        <v>38.133057324840777</v>
      </c>
      <c r="AB35" s="9">
        <v>38.133057324840777</v>
      </c>
      <c r="AC35" s="9">
        <v>72.718853503184718</v>
      </c>
      <c r="AD35" s="9">
        <v>72.718853503184718</v>
      </c>
      <c r="AE35" s="9">
        <v>90.455159235668731</v>
      </c>
      <c r="AF35" s="9">
        <v>90.455159235668731</v>
      </c>
      <c r="AG35" s="9">
        <v>47.888025477707004</v>
      </c>
      <c r="AH35" s="9">
        <v>65.624331210191116</v>
      </c>
      <c r="AI35" s="9">
        <v>65.624331210191116</v>
      </c>
      <c r="AJ35" s="9">
        <v>63.850700636942705</v>
      </c>
      <c r="AK35" s="9">
        <v>63.850700636942705</v>
      </c>
      <c r="AL35" s="9">
        <v>11.528598726114646</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row>
    <row r="36" spans="1:76">
      <c r="A36" s="3" t="s">
        <v>66</v>
      </c>
      <c r="B36" t="s">
        <v>26</v>
      </c>
      <c r="C36" t="s">
        <v>348</v>
      </c>
      <c r="D36" t="s">
        <v>4967</v>
      </c>
      <c r="E36" t="s">
        <v>4968</v>
      </c>
      <c r="F36" s="91" t="s">
        <v>4973</v>
      </c>
      <c r="G36" t="s">
        <v>4983</v>
      </c>
      <c r="H36" s="3" t="s">
        <v>4984</v>
      </c>
      <c r="I36" s="3" t="s">
        <v>347</v>
      </c>
      <c r="J36" s="124"/>
      <c r="K36" s="124"/>
      <c r="L36" s="6"/>
      <c r="M36" s="124">
        <v>0.40950000000000003</v>
      </c>
      <c r="N36" s="9">
        <v>0</v>
      </c>
      <c r="O36" s="9">
        <v>0</v>
      </c>
      <c r="P36" s="9">
        <v>0</v>
      </c>
      <c r="Q36" s="9">
        <v>0</v>
      </c>
      <c r="R36" s="9">
        <v>0</v>
      </c>
      <c r="S36" s="9">
        <v>0</v>
      </c>
      <c r="T36" s="9">
        <v>0</v>
      </c>
      <c r="U36" s="9">
        <v>0</v>
      </c>
      <c r="V36" s="9">
        <v>0</v>
      </c>
      <c r="W36" s="9">
        <v>0</v>
      </c>
      <c r="X36" s="10">
        <v>256.51665993985563</v>
      </c>
      <c r="Y36" s="9">
        <v>45.029987822961246</v>
      </c>
      <c r="Z36" s="9">
        <v>65.334970065925603</v>
      </c>
      <c r="AA36" s="9">
        <v>82.781557736082547</v>
      </c>
      <c r="AB36" s="9">
        <v>176.79732627944117</v>
      </c>
      <c r="AC36" s="9">
        <v>98.648560045417653</v>
      </c>
      <c r="AD36" s="9">
        <v>102.95163283771713</v>
      </c>
      <c r="AE36" s="9">
        <v>101.90500120211343</v>
      </c>
      <c r="AF36" s="9">
        <v>118.6854762719987</v>
      </c>
      <c r="AG36" s="9">
        <v>159.96810897667365</v>
      </c>
      <c r="AH36" s="9">
        <v>197.08168385062905</v>
      </c>
      <c r="AI36" s="9">
        <v>229.0181085479677</v>
      </c>
      <c r="AJ36" s="9">
        <v>264.17108731497683</v>
      </c>
      <c r="AK36" s="9">
        <v>264.17108731497683</v>
      </c>
      <c r="AL36" s="9">
        <v>261.41726470609962</v>
      </c>
      <c r="AM36" s="9">
        <v>297.98037457753486</v>
      </c>
      <c r="AN36" s="9">
        <v>297.98037457753486</v>
      </c>
      <c r="AO36" s="9">
        <v>289.63553752909468</v>
      </c>
      <c r="AP36" s="9">
        <v>295.47692346300278</v>
      </c>
      <c r="AQ36" s="9">
        <v>286.07155879645268</v>
      </c>
      <c r="AR36" s="9">
        <v>288.92589305590548</v>
      </c>
      <c r="AS36" s="9">
        <v>391.94190644668407</v>
      </c>
      <c r="AT36" s="9">
        <v>412.45311592286401</v>
      </c>
      <c r="AU36" s="9">
        <v>391.94190644668407</v>
      </c>
      <c r="AV36" s="9">
        <v>391.94190644668407</v>
      </c>
      <c r="AW36" s="9">
        <v>391.94190644668407</v>
      </c>
      <c r="AX36" s="9">
        <v>376.92119975949174</v>
      </c>
      <c r="AY36" s="9">
        <v>372.87755955860047</v>
      </c>
      <c r="AZ36" s="9">
        <v>274.54513889368263</v>
      </c>
      <c r="BA36" s="9">
        <v>196.93815434318878</v>
      </c>
      <c r="BB36" s="9">
        <v>136.85532759441932</v>
      </c>
      <c r="BC36" s="9">
        <v>70.096631206897712</v>
      </c>
      <c r="BD36" s="9">
        <v>70.096631206897712</v>
      </c>
      <c r="BE36" s="9">
        <v>54.241440814861313</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row>
    <row r="37" spans="1:76">
      <c r="A37" s="3" t="s">
        <v>66</v>
      </c>
      <c r="B37" t="s">
        <v>29</v>
      </c>
      <c r="C37" t="s">
        <v>360</v>
      </c>
      <c r="D37" t="s">
        <v>72</v>
      </c>
      <c r="E37" t="s">
        <v>4974</v>
      </c>
      <c r="F37" s="91" t="s">
        <v>30</v>
      </c>
      <c r="G37" t="s">
        <v>34</v>
      </c>
      <c r="H37" s="3" t="s">
        <v>32</v>
      </c>
      <c r="I37" s="3" t="s">
        <v>63</v>
      </c>
      <c r="J37" s="124"/>
      <c r="K37" s="124"/>
      <c r="L37" s="6"/>
      <c r="M37" s="124">
        <v>1.1000000000000001</v>
      </c>
      <c r="N37" s="9">
        <v>0</v>
      </c>
      <c r="O37" s="9">
        <v>0</v>
      </c>
      <c r="P37" s="9">
        <v>0</v>
      </c>
      <c r="Q37" s="9">
        <v>0</v>
      </c>
      <c r="R37" s="9">
        <v>0</v>
      </c>
      <c r="S37" s="9">
        <v>0</v>
      </c>
      <c r="T37" s="9">
        <v>0</v>
      </c>
      <c r="U37" s="9">
        <v>0</v>
      </c>
      <c r="V37" s="9">
        <v>0</v>
      </c>
      <c r="W37" s="9">
        <v>0</v>
      </c>
      <c r="X37" s="10">
        <v>9.3729907284768323</v>
      </c>
      <c r="Y37" s="9">
        <v>14.728985430463588</v>
      </c>
      <c r="Z37" s="9">
        <v>13.557361589403969</v>
      </c>
      <c r="AA37" s="9">
        <v>7.3644927152317825</v>
      </c>
      <c r="AB37" s="9">
        <v>7.3644927152317825</v>
      </c>
      <c r="AC37" s="9">
        <v>7.3644927152317825</v>
      </c>
      <c r="AD37" s="9">
        <v>7.3644927152317825</v>
      </c>
      <c r="AE37" s="9">
        <v>7.3644927152317825</v>
      </c>
      <c r="AF37" s="9">
        <v>5.5233695364238375</v>
      </c>
      <c r="AG37" s="9">
        <v>7.3644927152317825</v>
      </c>
      <c r="AH37" s="9">
        <v>5.5233695364238375</v>
      </c>
      <c r="AI37" s="9">
        <v>7.3644927152317825</v>
      </c>
      <c r="AJ37" s="9">
        <v>7.3644927152317825</v>
      </c>
      <c r="AK37" s="9">
        <v>7.3644927152317825</v>
      </c>
      <c r="AL37" s="9">
        <v>7.3644927152317825</v>
      </c>
      <c r="AM37" s="9">
        <v>7.3644927152317825</v>
      </c>
      <c r="AN37" s="9">
        <v>7.3644927152317825</v>
      </c>
      <c r="AO37" s="9">
        <v>7.3644927152317825</v>
      </c>
      <c r="AP37" s="9">
        <v>7.3644927152317825</v>
      </c>
      <c r="AQ37" s="9">
        <v>5.5233695364238375</v>
      </c>
      <c r="AR37" s="9">
        <v>6.5276185430463523</v>
      </c>
      <c r="AS37" s="9">
        <v>4.0169960264900757</v>
      </c>
      <c r="AT37" s="9">
        <v>3.0127470198675428</v>
      </c>
      <c r="AU37" s="9">
        <v>4.0169960264900757</v>
      </c>
      <c r="AV37" s="9">
        <v>4.0169960264900757</v>
      </c>
      <c r="AW37" s="9">
        <v>4.0169960264900757</v>
      </c>
      <c r="AX37" s="9">
        <v>4.0169960264900757</v>
      </c>
      <c r="AY37" s="9">
        <v>2.5943099337748268</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row>
    <row r="38" spans="1:76">
      <c r="A38" s="3" t="s">
        <v>66</v>
      </c>
      <c r="B38" t="s">
        <v>29</v>
      </c>
      <c r="C38" t="s">
        <v>360</v>
      </c>
      <c r="D38" t="s">
        <v>74</v>
      </c>
      <c r="E38" t="s">
        <v>4975</v>
      </c>
      <c r="F38" s="91" t="s">
        <v>68</v>
      </c>
      <c r="G38" t="s">
        <v>4976</v>
      </c>
      <c r="H38" s="3" t="s">
        <v>69</v>
      </c>
      <c r="I38" s="3" t="s">
        <v>63</v>
      </c>
      <c r="J38" s="124"/>
      <c r="K38" s="124"/>
      <c r="L38" s="6"/>
      <c r="M38" s="124">
        <v>1.1000000000000001</v>
      </c>
      <c r="N38" s="9">
        <v>0</v>
      </c>
      <c r="O38" s="9">
        <v>0</v>
      </c>
      <c r="P38" s="9">
        <v>0</v>
      </c>
      <c r="Q38" s="9">
        <v>0</v>
      </c>
      <c r="R38" s="9">
        <v>0</v>
      </c>
      <c r="S38" s="9">
        <v>0</v>
      </c>
      <c r="T38" s="9">
        <v>0</v>
      </c>
      <c r="U38" s="9">
        <v>0</v>
      </c>
      <c r="V38" s="9">
        <v>0</v>
      </c>
      <c r="W38" s="9">
        <v>0</v>
      </c>
      <c r="X38" s="10">
        <v>38.921342052313939</v>
      </c>
      <c r="Y38" s="9">
        <v>43.167306639839133</v>
      </c>
      <c r="Z38" s="9">
        <v>27.362882897384203</v>
      </c>
      <c r="AA38" s="9">
        <v>27.362882897384203</v>
      </c>
      <c r="AB38" s="9">
        <v>29.957639034205346</v>
      </c>
      <c r="AC38" s="9">
        <v>23.116918309859145</v>
      </c>
      <c r="AD38" s="9">
        <v>19.10684064386319</v>
      </c>
      <c r="AE38" s="9">
        <v>19.10684064386319</v>
      </c>
      <c r="AF38" s="9">
        <v>6.3689468812877221</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row>
    <row r="39" spans="1:76">
      <c r="A39" s="3" t="s">
        <v>66</v>
      </c>
      <c r="B39" t="s">
        <v>29</v>
      </c>
      <c r="C39" t="s">
        <v>360</v>
      </c>
      <c r="D39" t="s">
        <v>5184</v>
      </c>
      <c r="E39" t="s">
        <v>5185</v>
      </c>
      <c r="F39" s="91" t="s">
        <v>4971</v>
      </c>
      <c r="G39" t="s">
        <v>4998</v>
      </c>
      <c r="H39" s="3" t="s">
        <v>5187</v>
      </c>
      <c r="I39" s="3" t="s">
        <v>63</v>
      </c>
      <c r="J39" s="124"/>
      <c r="K39" s="124"/>
      <c r="L39" s="6"/>
      <c r="M39" s="124">
        <v>1.1000000000000001</v>
      </c>
      <c r="N39" s="9">
        <v>0</v>
      </c>
      <c r="O39" s="9">
        <v>0</v>
      </c>
      <c r="P39" s="9">
        <v>0</v>
      </c>
      <c r="Q39" s="9">
        <v>0</v>
      </c>
      <c r="R39" s="9">
        <v>0</v>
      </c>
      <c r="S39" s="9">
        <v>0</v>
      </c>
      <c r="T39" s="9">
        <v>0</v>
      </c>
      <c r="U39" s="9">
        <v>0</v>
      </c>
      <c r="V39" s="9">
        <v>0</v>
      </c>
      <c r="W39" s="9">
        <v>0</v>
      </c>
      <c r="X39" s="10">
        <v>5.4994535031847152</v>
      </c>
      <c r="Y39" s="9">
        <v>5.4994535031847152</v>
      </c>
      <c r="Z39" s="9">
        <v>5.4994535031847152</v>
      </c>
      <c r="AA39" s="9">
        <v>5.4994535031847152</v>
      </c>
      <c r="AB39" s="9">
        <v>5.4994535031847152</v>
      </c>
      <c r="AC39" s="9">
        <v>10.487329936305732</v>
      </c>
      <c r="AD39" s="9">
        <v>10.487329936305732</v>
      </c>
      <c r="AE39" s="9">
        <v>13.045215286624197</v>
      </c>
      <c r="AF39" s="9">
        <v>13.045215286624197</v>
      </c>
      <c r="AG39" s="9">
        <v>6.906290445859872</v>
      </c>
      <c r="AH39" s="9">
        <v>9.4641757961783508</v>
      </c>
      <c r="AI39" s="9">
        <v>9.4641757961783508</v>
      </c>
      <c r="AJ39" s="9">
        <v>9.2083872611465019</v>
      </c>
      <c r="AK39" s="9">
        <v>9.2083872611465019</v>
      </c>
      <c r="AL39" s="9">
        <v>1.6626254777070058</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row>
    <row r="40" spans="1:76">
      <c r="A40" s="3" t="s">
        <v>66</v>
      </c>
      <c r="B40" t="s">
        <v>29</v>
      </c>
      <c r="C40" t="s">
        <v>360</v>
      </c>
      <c r="D40" t="s">
        <v>4967</v>
      </c>
      <c r="E40" t="s">
        <v>4968</v>
      </c>
      <c r="F40" s="91" t="s">
        <v>4973</v>
      </c>
      <c r="G40" t="s">
        <v>4983</v>
      </c>
      <c r="H40" s="3" t="s">
        <v>4984</v>
      </c>
      <c r="I40" s="3" t="s">
        <v>359</v>
      </c>
      <c r="J40" s="124"/>
      <c r="K40" s="124"/>
      <c r="L40" s="6"/>
      <c r="M40" s="124">
        <v>1.1000000000000001</v>
      </c>
      <c r="N40" s="9">
        <v>0</v>
      </c>
      <c r="O40" s="9">
        <v>0</v>
      </c>
      <c r="P40" s="9">
        <v>0</v>
      </c>
      <c r="Q40" s="9">
        <v>0</v>
      </c>
      <c r="R40" s="9">
        <v>0</v>
      </c>
      <c r="S40" s="9">
        <v>0</v>
      </c>
      <c r="T40" s="9">
        <v>0</v>
      </c>
      <c r="U40" s="9">
        <v>0</v>
      </c>
      <c r="V40" s="9">
        <v>0</v>
      </c>
      <c r="W40" s="9">
        <v>0</v>
      </c>
      <c r="X40" s="10">
        <v>47.66634618169369</v>
      </c>
      <c r="Y40" s="9">
        <v>62.363455172620064</v>
      </c>
      <c r="Z40" s="9">
        <v>64.989821780482686</v>
      </c>
      <c r="AA40" s="9">
        <v>79.61868878655379</v>
      </c>
      <c r="AB40" s="9">
        <v>152.27606276461671</v>
      </c>
      <c r="AC40" s="9">
        <v>129.22104358540102</v>
      </c>
      <c r="AD40" s="9">
        <v>130.61249937952186</v>
      </c>
      <c r="AE40" s="9">
        <v>132.50306099193344</v>
      </c>
      <c r="AF40" s="9">
        <v>126.61463587696197</v>
      </c>
      <c r="AG40" s="9">
        <v>147.33854337821327</v>
      </c>
      <c r="AH40" s="9">
        <v>172.62455881358878</v>
      </c>
      <c r="AI40" s="9">
        <v>198.99897165354031</v>
      </c>
      <c r="AJ40" s="9">
        <v>219.20856713170457</v>
      </c>
      <c r="AK40" s="9">
        <v>219.20856713170457</v>
      </c>
      <c r="AL40" s="9">
        <v>181.57049004885761</v>
      </c>
      <c r="AM40" s="9">
        <v>192.62759346795895</v>
      </c>
      <c r="AN40" s="9">
        <v>192.62759346795895</v>
      </c>
      <c r="AO40" s="9">
        <v>186.70015254081608</v>
      </c>
      <c r="AP40" s="9">
        <v>196.85132506865421</v>
      </c>
      <c r="AQ40" s="9">
        <v>197.4106534783044</v>
      </c>
      <c r="AR40" s="9">
        <v>198.54807945270755</v>
      </c>
      <c r="AS40" s="9">
        <v>244.69704946808639</v>
      </c>
      <c r="AT40" s="9">
        <v>261.85328837443598</v>
      </c>
      <c r="AU40" s="9">
        <v>247.99440345386256</v>
      </c>
      <c r="AV40" s="9">
        <v>247.99440345386256</v>
      </c>
      <c r="AW40" s="9">
        <v>245.18546142842735</v>
      </c>
      <c r="AX40" s="9">
        <v>253.72005915795378</v>
      </c>
      <c r="AY40" s="9">
        <v>249.84129711776603</v>
      </c>
      <c r="AZ40" s="9">
        <v>178.15915435038957</v>
      </c>
      <c r="BA40" s="9">
        <v>123.03395372796076</v>
      </c>
      <c r="BB40" s="9">
        <v>86.816945711033014</v>
      </c>
      <c r="BC40" s="9">
        <v>49.79050378800023</v>
      </c>
      <c r="BD40" s="9">
        <v>49.79050378800023</v>
      </c>
      <c r="BE40" s="9">
        <v>38.528366026428742</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row>
    <row r="42" spans="1:76">
      <c r="A42" s="3" t="s">
        <v>66</v>
      </c>
      <c r="B42" t="s">
        <v>5339</v>
      </c>
      <c r="D42" t="s">
        <v>4967</v>
      </c>
      <c r="E42" t="s">
        <v>4968</v>
      </c>
      <c r="F42" s="91" t="s">
        <v>4973</v>
      </c>
      <c r="G42" t="s">
        <v>4983</v>
      </c>
      <c r="H42" s="3" t="s">
        <v>4984</v>
      </c>
      <c r="N42" s="9">
        <f>+SUM(N2:N40)</f>
        <v>0</v>
      </c>
      <c r="O42" s="9">
        <f t="shared" ref="O42:BX42" si="0">+SUM(O2:O40)</f>
        <v>0</v>
      </c>
      <c r="P42" s="9">
        <f t="shared" si="0"/>
        <v>5234.0988400295028</v>
      </c>
      <c r="Q42" s="9">
        <f t="shared" si="0"/>
        <v>12373.759459970497</v>
      </c>
      <c r="R42" s="9">
        <f t="shared" si="0"/>
        <v>4945.8277700159042</v>
      </c>
      <c r="S42" s="9">
        <f t="shared" si="0"/>
        <v>6771.8689701106114</v>
      </c>
      <c r="T42" s="9">
        <f t="shared" si="0"/>
        <v>7987.2942480047614</v>
      </c>
      <c r="U42" s="9">
        <f t="shared" si="0"/>
        <v>12356.825751740002</v>
      </c>
      <c r="V42" s="9">
        <f t="shared" si="0"/>
        <v>12435.196756249999</v>
      </c>
      <c r="W42" s="9">
        <f t="shared" si="0"/>
        <v>12379.658750000006</v>
      </c>
      <c r="X42" s="9">
        <f t="shared" si="0"/>
        <v>20047.609030381343</v>
      </c>
      <c r="Y42" s="9">
        <f t="shared" si="0"/>
        <v>25799.997685749426</v>
      </c>
      <c r="Z42" s="9">
        <f t="shared" si="0"/>
        <v>41086.050000841482</v>
      </c>
      <c r="AA42" s="9">
        <f t="shared" si="0"/>
        <v>44013.597565170465</v>
      </c>
      <c r="AB42" s="9">
        <f t="shared" si="0"/>
        <v>51236.251524883482</v>
      </c>
      <c r="AC42" s="9">
        <f t="shared" si="0"/>
        <v>59833.34656380758</v>
      </c>
      <c r="AD42" s="9">
        <f t="shared" si="0"/>
        <v>66560.086274482979</v>
      </c>
      <c r="AE42" s="9">
        <f t="shared" si="0"/>
        <v>63039.821427957009</v>
      </c>
      <c r="AF42" s="9">
        <f t="shared" si="0"/>
        <v>61876.413122752369</v>
      </c>
      <c r="AG42" s="9">
        <f t="shared" si="0"/>
        <v>66139.854731553511</v>
      </c>
      <c r="AH42" s="9">
        <f t="shared" si="0"/>
        <v>73250.813524876372</v>
      </c>
      <c r="AI42" s="9">
        <f t="shared" si="0"/>
        <v>63850.877323153356</v>
      </c>
      <c r="AJ42" s="9">
        <f t="shared" si="0"/>
        <v>62031.899075753754</v>
      </c>
      <c r="AK42" s="9">
        <f t="shared" si="0"/>
        <v>55006.654211756555</v>
      </c>
      <c r="AL42" s="9">
        <f t="shared" si="0"/>
        <v>58684.793969411847</v>
      </c>
      <c r="AM42" s="9">
        <f t="shared" si="0"/>
        <v>50385.577653093642</v>
      </c>
      <c r="AN42" s="9">
        <f t="shared" si="0"/>
        <v>45033.651907438449</v>
      </c>
      <c r="AO42" s="9">
        <f t="shared" si="0"/>
        <v>38190.275985011751</v>
      </c>
      <c r="AP42" s="9">
        <f t="shared" si="0"/>
        <v>48347.742564359869</v>
      </c>
      <c r="AQ42" s="9">
        <f t="shared" si="0"/>
        <v>58081.292383230721</v>
      </c>
      <c r="AR42" s="9">
        <f t="shared" si="0"/>
        <v>61773.481932877403</v>
      </c>
      <c r="AS42" s="9">
        <f t="shared" si="0"/>
        <v>69800.742945257647</v>
      </c>
      <c r="AT42" s="9">
        <f t="shared" si="0"/>
        <v>59658.126518316407</v>
      </c>
      <c r="AU42" s="9">
        <f t="shared" si="0"/>
        <v>60723.155472149825</v>
      </c>
      <c r="AV42" s="9">
        <f t="shared" si="0"/>
        <v>56762.884308671637</v>
      </c>
      <c r="AW42" s="9">
        <f t="shared" si="0"/>
        <v>45524.779020037655</v>
      </c>
      <c r="AX42" s="9">
        <f t="shared" si="0"/>
        <v>44828.97890406278</v>
      </c>
      <c r="AY42" s="9">
        <f t="shared" si="0"/>
        <v>55925.639913261883</v>
      </c>
      <c r="AZ42" s="9">
        <f t="shared" si="0"/>
        <v>46387.59117305102</v>
      </c>
      <c r="BA42" s="9">
        <f t="shared" si="0"/>
        <v>28476.289985560306</v>
      </c>
      <c r="BB42" s="9">
        <f t="shared" si="0"/>
        <v>26419.151454116753</v>
      </c>
      <c r="BC42" s="9">
        <f t="shared" si="0"/>
        <v>34694.063376919657</v>
      </c>
      <c r="BD42" s="9">
        <f t="shared" si="0"/>
        <v>37931.150976919656</v>
      </c>
      <c r="BE42" s="9">
        <f t="shared" si="0"/>
        <v>36608.358617854501</v>
      </c>
      <c r="BF42" s="9">
        <f t="shared" si="0"/>
        <v>33196.608</v>
      </c>
      <c r="BG42" s="9">
        <f t="shared" si="0"/>
        <v>33271.200000000004</v>
      </c>
      <c r="BH42" s="9">
        <f t="shared" si="0"/>
        <v>32710.754400000002</v>
      </c>
      <c r="BI42" s="9">
        <f t="shared" si="0"/>
        <v>32316.408000000003</v>
      </c>
      <c r="BJ42" s="9">
        <f t="shared" si="0"/>
        <v>26566.214400000001</v>
      </c>
      <c r="BK42" s="9">
        <f t="shared" si="0"/>
        <v>21270.762000000002</v>
      </c>
      <c r="BL42" s="9">
        <f t="shared" si="0"/>
        <v>7586.7840000000006</v>
      </c>
      <c r="BM42" s="9">
        <f t="shared" si="0"/>
        <v>0</v>
      </c>
      <c r="BN42" s="9">
        <f t="shared" si="0"/>
        <v>0</v>
      </c>
      <c r="BO42" s="9">
        <f t="shared" si="0"/>
        <v>0</v>
      </c>
      <c r="BP42" s="9">
        <f t="shared" si="0"/>
        <v>0</v>
      </c>
      <c r="BQ42" s="9">
        <f t="shared" si="0"/>
        <v>0</v>
      </c>
      <c r="BR42" s="9">
        <f t="shared" si="0"/>
        <v>0</v>
      </c>
      <c r="BS42" s="9">
        <f t="shared" si="0"/>
        <v>0</v>
      </c>
      <c r="BT42" s="9">
        <f t="shared" si="0"/>
        <v>0</v>
      </c>
      <c r="BU42" s="9">
        <f t="shared" si="0"/>
        <v>0</v>
      </c>
      <c r="BV42" s="9">
        <f t="shared" si="0"/>
        <v>0</v>
      </c>
      <c r="BW42" s="9">
        <f t="shared" si="0"/>
        <v>0</v>
      </c>
      <c r="BX42" s="9">
        <f t="shared" si="0"/>
        <v>0</v>
      </c>
    </row>
  </sheetData>
  <autoFilter ref="A1:BX40" xr:uid="{08FDE27B-04D3-4F22-B832-380E369C69D0}">
    <sortState xmlns:xlrd2="http://schemas.microsoft.com/office/spreadsheetml/2017/richdata2" ref="A2:BX40">
      <sortCondition ref="B1:B4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7C55-CBB8-47DA-A060-FE8636154A55}">
  <sheetPr codeName="Sheet12">
    <tabColor theme="6" tint="0.79998168889431442"/>
  </sheetPr>
  <dimension ref="A1:BX65"/>
  <sheetViews>
    <sheetView zoomScale="85" zoomScaleNormal="85" workbookViewId="0">
      <selection activeCell="S25" sqref="A1:BX41"/>
    </sheetView>
  </sheetViews>
  <sheetFormatPr defaultRowHeight="14.5"/>
  <cols>
    <col min="1" max="1" width="11.08984375" customWidth="1"/>
    <col min="2" max="2" width="22.7265625" customWidth="1"/>
    <col min="3" max="3" width="39.90625" customWidth="1"/>
    <col min="4" max="4" width="16.26953125" bestFit="1" customWidth="1"/>
    <col min="5" max="5" width="26.453125" customWidth="1"/>
    <col min="7" max="7" width="21.6328125" bestFit="1" customWidth="1"/>
    <col min="8" max="8" width="9.26953125" customWidth="1"/>
    <col min="9" max="9" width="18.54296875" bestFit="1" customWidth="1"/>
    <col min="10" max="10" width="15.81640625" customWidth="1"/>
    <col min="11" max="12" width="16.54296875" customWidth="1"/>
    <col min="13" max="13" width="17.54296875" customWidth="1"/>
    <col min="14" max="76" width="11.81640625" customWidth="1"/>
  </cols>
  <sheetData>
    <row r="1" spans="1:76">
      <c r="A1" s="127" t="s">
        <v>0</v>
      </c>
      <c r="B1" s="127" t="s">
        <v>1</v>
      </c>
      <c r="C1" s="127" t="s">
        <v>4966</v>
      </c>
      <c r="D1" s="127" t="s">
        <v>3</v>
      </c>
      <c r="E1" s="127" t="s">
        <v>5162</v>
      </c>
      <c r="F1" s="128" t="s">
        <v>4</v>
      </c>
      <c r="G1" s="127" t="s">
        <v>5163</v>
      </c>
      <c r="H1" s="127" t="s">
        <v>31</v>
      </c>
      <c r="I1" s="127" t="s">
        <v>65</v>
      </c>
      <c r="J1" s="129" t="s">
        <v>35</v>
      </c>
      <c r="K1" s="129" t="s">
        <v>36</v>
      </c>
      <c r="L1" s="129" t="s">
        <v>67</v>
      </c>
      <c r="M1" s="129" t="s">
        <v>37</v>
      </c>
      <c r="N1" s="130" t="s">
        <v>5273</v>
      </c>
      <c r="O1" s="130" t="s">
        <v>5274</v>
      </c>
      <c r="P1" s="130" t="s">
        <v>5275</v>
      </c>
      <c r="Q1" s="130" t="s">
        <v>5276</v>
      </c>
      <c r="R1" s="130" t="s">
        <v>5277</v>
      </c>
      <c r="S1" s="130" t="s">
        <v>5278</v>
      </c>
      <c r="T1" s="130" t="s">
        <v>5279</v>
      </c>
      <c r="U1" s="130" t="s">
        <v>5280</v>
      </c>
      <c r="V1" s="130" t="s">
        <v>5281</v>
      </c>
      <c r="W1" s="131" t="s">
        <v>5282</v>
      </c>
      <c r="X1" s="132" t="s">
        <v>5283</v>
      </c>
      <c r="Y1" s="130" t="s">
        <v>5284</v>
      </c>
      <c r="Z1" s="130" t="s">
        <v>5285</v>
      </c>
      <c r="AA1" s="130" t="s">
        <v>5286</v>
      </c>
      <c r="AB1" s="130" t="s">
        <v>5287</v>
      </c>
      <c r="AC1" s="130" t="s">
        <v>5288</v>
      </c>
      <c r="AD1" s="130" t="s">
        <v>5289</v>
      </c>
      <c r="AE1" s="130" t="s">
        <v>5290</v>
      </c>
      <c r="AF1" s="130" t="s">
        <v>5291</v>
      </c>
      <c r="AG1" s="130" t="s">
        <v>5292</v>
      </c>
      <c r="AH1" s="130" t="s">
        <v>5293</v>
      </c>
      <c r="AI1" s="130" t="s">
        <v>5294</v>
      </c>
      <c r="AJ1" s="130" t="s">
        <v>5295</v>
      </c>
      <c r="AK1" s="130" t="s">
        <v>5296</v>
      </c>
      <c r="AL1" s="130" t="s">
        <v>5297</v>
      </c>
      <c r="AM1" s="130" t="s">
        <v>5298</v>
      </c>
      <c r="AN1" s="130" t="s">
        <v>5299</v>
      </c>
      <c r="AO1" s="130" t="s">
        <v>5300</v>
      </c>
      <c r="AP1" s="130" t="s">
        <v>5301</v>
      </c>
      <c r="AQ1" s="130" t="s">
        <v>5302</v>
      </c>
      <c r="AR1" s="130" t="s">
        <v>5303</v>
      </c>
      <c r="AS1" s="130" t="s">
        <v>5304</v>
      </c>
      <c r="AT1" s="130" t="s">
        <v>5305</v>
      </c>
      <c r="AU1" s="130" t="s">
        <v>5306</v>
      </c>
      <c r="AV1" s="130" t="s">
        <v>5307</v>
      </c>
      <c r="AW1" s="130" t="s">
        <v>5308</v>
      </c>
      <c r="AX1" s="130" t="s">
        <v>5309</v>
      </c>
      <c r="AY1" s="130" t="s">
        <v>5310</v>
      </c>
      <c r="AZ1" s="130" t="s">
        <v>5311</v>
      </c>
      <c r="BA1" s="130" t="s">
        <v>5312</v>
      </c>
      <c r="BB1" s="130" t="s">
        <v>5313</v>
      </c>
      <c r="BC1" s="130" t="s">
        <v>5314</v>
      </c>
      <c r="BD1" s="130" t="s">
        <v>5315</v>
      </c>
      <c r="BE1" s="130" t="s">
        <v>5316</v>
      </c>
      <c r="BF1" s="130" t="s">
        <v>5317</v>
      </c>
      <c r="BG1" s="130" t="s">
        <v>5318</v>
      </c>
      <c r="BH1" s="130" t="s">
        <v>5319</v>
      </c>
      <c r="BI1" s="130" t="s">
        <v>5320</v>
      </c>
      <c r="BJ1" s="130" t="s">
        <v>5321</v>
      </c>
      <c r="BK1" s="130" t="s">
        <v>5322</v>
      </c>
      <c r="BL1" s="130" t="s">
        <v>5323</v>
      </c>
      <c r="BM1" s="130" t="s">
        <v>5324</v>
      </c>
      <c r="BN1" s="130" t="s">
        <v>5325</v>
      </c>
      <c r="BO1" s="130" t="s">
        <v>5326</v>
      </c>
      <c r="BP1" s="130" t="s">
        <v>5327</v>
      </c>
      <c r="BQ1" s="130" t="s">
        <v>5328</v>
      </c>
      <c r="BR1" s="130" t="s">
        <v>5329</v>
      </c>
      <c r="BS1" s="130" t="s">
        <v>5330</v>
      </c>
      <c r="BT1" s="130" t="s">
        <v>5331</v>
      </c>
      <c r="BU1" s="130" t="s">
        <v>5332</v>
      </c>
      <c r="BV1" s="130" t="s">
        <v>5333</v>
      </c>
      <c r="BW1" s="130" t="s">
        <v>5334</v>
      </c>
      <c r="BX1" s="130" t="s">
        <v>5335</v>
      </c>
    </row>
    <row r="2" spans="1:76">
      <c r="A2" s="3" t="s">
        <v>66</v>
      </c>
      <c r="B2" t="s">
        <v>2619</v>
      </c>
      <c r="C2" t="s">
        <v>140</v>
      </c>
      <c r="D2" t="s">
        <v>4967</v>
      </c>
      <c r="E2" t="s">
        <v>4968</v>
      </c>
      <c r="F2" s="91" t="s">
        <v>4973</v>
      </c>
      <c r="G2" t="s">
        <v>4983</v>
      </c>
      <c r="H2" s="3" t="s">
        <v>4984</v>
      </c>
      <c r="I2" s="3" t="s">
        <v>139</v>
      </c>
      <c r="J2" s="124"/>
      <c r="K2" s="124"/>
      <c r="L2" s="6"/>
      <c r="M2" s="124">
        <v>1.05</v>
      </c>
      <c r="N2" s="9">
        <v>0</v>
      </c>
      <c r="O2" s="9">
        <v>0</v>
      </c>
      <c r="P2" s="9">
        <v>0</v>
      </c>
      <c r="Q2" s="9">
        <v>0</v>
      </c>
      <c r="R2" s="9">
        <v>0</v>
      </c>
      <c r="S2" s="9">
        <v>0</v>
      </c>
      <c r="T2" s="9">
        <v>0</v>
      </c>
      <c r="U2" s="9">
        <v>0</v>
      </c>
      <c r="V2" s="9">
        <v>0</v>
      </c>
      <c r="W2" s="9">
        <v>0</v>
      </c>
      <c r="X2" s="10">
        <v>0</v>
      </c>
      <c r="Y2" s="9">
        <v>0</v>
      </c>
      <c r="Z2" s="9">
        <v>0</v>
      </c>
      <c r="AA2" s="9">
        <v>0</v>
      </c>
      <c r="AB2" s="9">
        <v>0</v>
      </c>
      <c r="AC2" s="9">
        <v>0</v>
      </c>
      <c r="AD2" s="9">
        <v>0</v>
      </c>
      <c r="AE2" s="9">
        <v>10500</v>
      </c>
      <c r="AF2" s="9">
        <v>10500</v>
      </c>
      <c r="AG2" s="9">
        <v>10500</v>
      </c>
      <c r="AH2" s="9">
        <v>10500</v>
      </c>
      <c r="AI2" s="9">
        <v>10500</v>
      </c>
      <c r="AJ2" s="9">
        <v>10500</v>
      </c>
      <c r="AK2" s="9">
        <v>10500</v>
      </c>
      <c r="AL2" s="9">
        <v>0</v>
      </c>
      <c r="AM2" s="9">
        <v>0</v>
      </c>
      <c r="AN2" s="9">
        <v>0</v>
      </c>
      <c r="AO2" s="9">
        <v>0</v>
      </c>
      <c r="AP2" s="9">
        <v>0</v>
      </c>
      <c r="AQ2" s="9">
        <v>0</v>
      </c>
      <c r="AR2" s="9">
        <v>0</v>
      </c>
      <c r="AS2" s="9">
        <v>0</v>
      </c>
      <c r="AT2" s="9">
        <v>10500</v>
      </c>
      <c r="AU2" s="9">
        <v>10500</v>
      </c>
      <c r="AV2" s="9">
        <v>10500</v>
      </c>
      <c r="AW2" s="9">
        <v>8946</v>
      </c>
      <c r="AX2" s="9">
        <v>0</v>
      </c>
      <c r="AY2" s="9">
        <v>0</v>
      </c>
      <c r="AZ2" s="9">
        <v>0</v>
      </c>
      <c r="BA2" s="9">
        <v>0</v>
      </c>
      <c r="BB2" s="9">
        <v>0</v>
      </c>
      <c r="BC2" s="9">
        <v>0</v>
      </c>
      <c r="BD2" s="9">
        <v>0</v>
      </c>
      <c r="BE2" s="9">
        <v>0</v>
      </c>
      <c r="BF2" s="9">
        <v>0</v>
      </c>
      <c r="BG2" s="9">
        <v>0</v>
      </c>
      <c r="BH2" s="9">
        <v>0</v>
      </c>
      <c r="BI2" s="9">
        <v>0</v>
      </c>
      <c r="BJ2" s="9">
        <v>0</v>
      </c>
      <c r="BK2" s="9">
        <v>0</v>
      </c>
      <c r="BL2" s="9">
        <v>0</v>
      </c>
      <c r="BM2" s="9">
        <v>0</v>
      </c>
      <c r="BN2" s="9">
        <v>0</v>
      </c>
      <c r="BO2" s="9">
        <v>0</v>
      </c>
      <c r="BP2" s="9">
        <v>0</v>
      </c>
      <c r="BQ2" s="9">
        <v>0</v>
      </c>
      <c r="BR2" s="9">
        <v>0</v>
      </c>
      <c r="BS2" s="9">
        <v>0</v>
      </c>
      <c r="BT2" s="9">
        <v>0</v>
      </c>
      <c r="BU2" s="9">
        <v>0</v>
      </c>
      <c r="BV2" s="9">
        <v>0</v>
      </c>
      <c r="BW2" s="9">
        <v>0</v>
      </c>
      <c r="BX2" s="9">
        <v>0</v>
      </c>
    </row>
    <row r="3" spans="1:76">
      <c r="A3" s="3" t="s">
        <v>66</v>
      </c>
      <c r="B3" t="s">
        <v>6</v>
      </c>
      <c r="C3" t="s">
        <v>152</v>
      </c>
      <c r="D3" t="s">
        <v>71</v>
      </c>
      <c r="E3" t="s">
        <v>4974</v>
      </c>
      <c r="F3" s="91" t="s">
        <v>30</v>
      </c>
      <c r="G3" t="s">
        <v>34</v>
      </c>
      <c r="H3" s="3" t="s">
        <v>32</v>
      </c>
      <c r="I3" s="3" t="s">
        <v>40</v>
      </c>
      <c r="J3" s="124"/>
      <c r="K3" s="124"/>
      <c r="L3" s="6"/>
      <c r="M3" s="124">
        <v>1.2</v>
      </c>
      <c r="N3" s="9">
        <v>0</v>
      </c>
      <c r="O3" s="9">
        <v>0</v>
      </c>
      <c r="P3" s="9">
        <v>0</v>
      </c>
      <c r="Q3" s="9">
        <v>0</v>
      </c>
      <c r="R3" s="9">
        <v>0</v>
      </c>
      <c r="S3" s="9">
        <v>0</v>
      </c>
      <c r="T3" s="9">
        <v>0</v>
      </c>
      <c r="U3" s="9">
        <v>0</v>
      </c>
      <c r="V3" s="9">
        <v>0</v>
      </c>
      <c r="W3" s="9">
        <v>0</v>
      </c>
      <c r="X3" s="10">
        <v>31.129347379205175</v>
      </c>
      <c r="Y3" s="9">
        <v>40.505114509019023</v>
      </c>
      <c r="Z3" s="9">
        <v>74.011848152950108</v>
      </c>
      <c r="AA3" s="9">
        <v>85.516062170229247</v>
      </c>
      <c r="AB3" s="9">
        <v>78.668708715386231</v>
      </c>
      <c r="AC3" s="9">
        <v>110.19299105876041</v>
      </c>
      <c r="AD3" s="9">
        <v>164.20406372937191</v>
      </c>
      <c r="AE3" s="9">
        <v>106.29302283419213</v>
      </c>
      <c r="AF3" s="9">
        <v>103.76460915922156</v>
      </c>
      <c r="AG3" s="9">
        <v>140.19231508663623</v>
      </c>
      <c r="AH3" s="9">
        <v>180.10131536870503</v>
      </c>
      <c r="AI3" s="9">
        <v>177.57290169373451</v>
      </c>
      <c r="AJ3" s="9">
        <v>177.57290169373451</v>
      </c>
      <c r="AK3" s="9">
        <v>156.20463910723646</v>
      </c>
      <c r="AL3" s="9">
        <v>117.39482739225826</v>
      </c>
      <c r="AM3" s="9">
        <v>88.355028084318732</v>
      </c>
      <c r="AN3" s="9">
        <v>78.125555961503764</v>
      </c>
      <c r="AO3" s="9">
        <v>81.137387898709648</v>
      </c>
      <c r="AP3" s="9">
        <v>97.360508483366516</v>
      </c>
      <c r="AQ3" s="9">
        <v>99.888922158337081</v>
      </c>
      <c r="AR3" s="9">
        <v>99.888922158337081</v>
      </c>
      <c r="AS3" s="9">
        <v>99.888922158337081</v>
      </c>
      <c r="AT3" s="9">
        <v>97.360508483366516</v>
      </c>
      <c r="AU3" s="9">
        <v>94.832094808395667</v>
      </c>
      <c r="AV3" s="9">
        <v>94.832094808395667</v>
      </c>
      <c r="AW3" s="9">
        <v>27.389413819372326</v>
      </c>
      <c r="AX3" s="9">
        <v>30.413279653773522</v>
      </c>
      <c r="AY3" s="9">
        <v>30.413279653773522</v>
      </c>
      <c r="AZ3" s="9">
        <v>27.389413819372326</v>
      </c>
      <c r="BA3" s="9">
        <v>0</v>
      </c>
      <c r="BB3" s="9">
        <v>0</v>
      </c>
      <c r="BC3" s="9">
        <v>0</v>
      </c>
      <c r="BD3" s="9">
        <v>0</v>
      </c>
      <c r="BE3" s="9">
        <v>0</v>
      </c>
      <c r="BF3" s="9">
        <v>0</v>
      </c>
      <c r="BG3" s="9">
        <v>0</v>
      </c>
      <c r="BH3" s="9">
        <v>0</v>
      </c>
      <c r="BI3" s="9">
        <v>0</v>
      </c>
      <c r="BJ3" s="9">
        <v>0</v>
      </c>
      <c r="BK3" s="9">
        <v>0</v>
      </c>
      <c r="BL3" s="9">
        <v>0</v>
      </c>
      <c r="BM3" s="9">
        <v>0</v>
      </c>
      <c r="BN3" s="9">
        <v>0</v>
      </c>
      <c r="BO3" s="9">
        <v>0</v>
      </c>
      <c r="BP3" s="9">
        <v>0</v>
      </c>
      <c r="BQ3" s="9">
        <v>0</v>
      </c>
      <c r="BR3" s="9">
        <v>0</v>
      </c>
      <c r="BS3" s="9">
        <v>0</v>
      </c>
      <c r="BT3" s="9">
        <v>0</v>
      </c>
      <c r="BU3" s="9">
        <v>0</v>
      </c>
      <c r="BV3" s="9">
        <v>0</v>
      </c>
      <c r="BW3" s="9">
        <v>0</v>
      </c>
      <c r="BX3" s="9">
        <v>0</v>
      </c>
    </row>
    <row r="4" spans="1:76">
      <c r="A4" s="3" t="s">
        <v>66</v>
      </c>
      <c r="B4" t="s">
        <v>6</v>
      </c>
      <c r="C4" t="s">
        <v>152</v>
      </c>
      <c r="D4" t="s">
        <v>73</v>
      </c>
      <c r="E4" t="s">
        <v>4975</v>
      </c>
      <c r="F4" s="91" t="s">
        <v>68</v>
      </c>
      <c r="G4" t="s">
        <v>4976</v>
      </c>
      <c r="H4" s="3" t="s">
        <v>69</v>
      </c>
      <c r="I4" s="3" t="s">
        <v>40</v>
      </c>
      <c r="J4" s="124"/>
      <c r="K4" s="124"/>
      <c r="L4" s="6"/>
      <c r="M4" s="124">
        <v>1.2</v>
      </c>
      <c r="N4" s="9">
        <v>0</v>
      </c>
      <c r="O4" s="9">
        <v>0</v>
      </c>
      <c r="P4" s="9">
        <v>0</v>
      </c>
      <c r="Q4" s="9">
        <v>0</v>
      </c>
      <c r="R4" s="9">
        <v>0</v>
      </c>
      <c r="S4" s="9">
        <v>0</v>
      </c>
      <c r="T4" s="9">
        <v>0</v>
      </c>
      <c r="U4" s="9">
        <v>0</v>
      </c>
      <c r="V4" s="9">
        <v>0</v>
      </c>
      <c r="W4" s="9">
        <v>0</v>
      </c>
      <c r="X4" s="10">
        <v>8.6956026908328035</v>
      </c>
      <c r="Y4" s="9">
        <v>11.314608636877557</v>
      </c>
      <c r="Z4" s="9">
        <v>20.674305121546507</v>
      </c>
      <c r="AA4" s="9">
        <v>23.887866689219916</v>
      </c>
      <c r="AB4" s="9">
        <v>21.975142198028337</v>
      </c>
      <c r="AC4" s="9">
        <v>30.781065143741461</v>
      </c>
      <c r="AD4" s="9">
        <v>45.86839810733175</v>
      </c>
      <c r="AE4" s="9">
        <v>29.691656690213378</v>
      </c>
      <c r="AF4" s="9">
        <v>28.98537523536028</v>
      </c>
      <c r="AG4" s="9">
        <v>39.161009623856764</v>
      </c>
      <c r="AH4" s="9">
        <v>50.30910103784597</v>
      </c>
      <c r="AI4" s="9">
        <v>49.602819582992872</v>
      </c>
      <c r="AJ4" s="9">
        <v>49.602819582992872</v>
      </c>
      <c r="AK4" s="9">
        <v>43.633856617527755</v>
      </c>
      <c r="AL4" s="9">
        <v>32.792810094178016</v>
      </c>
      <c r="AM4" s="9">
        <v>24.680897116135647</v>
      </c>
      <c r="AN4" s="9">
        <v>21.823419115283961</v>
      </c>
      <c r="AO4" s="9">
        <v>22.664737552785116</v>
      </c>
      <c r="AP4" s="9">
        <v>27.196467990021457</v>
      </c>
      <c r="AQ4" s="9">
        <v>27.902749444874555</v>
      </c>
      <c r="AR4" s="9">
        <v>27.902749444874555</v>
      </c>
      <c r="AS4" s="9">
        <v>27.902749444874555</v>
      </c>
      <c r="AT4" s="9">
        <v>27.196467990021457</v>
      </c>
      <c r="AU4" s="9">
        <v>26.490186535168277</v>
      </c>
      <c r="AV4" s="9">
        <v>26.490186535168277</v>
      </c>
      <c r="AW4" s="9">
        <v>7.6508979647663997</v>
      </c>
      <c r="AX4" s="9">
        <v>8.4955779243566028</v>
      </c>
      <c r="AY4" s="9">
        <v>8.4955779243566028</v>
      </c>
      <c r="AZ4" s="9">
        <v>7.6508979647663997</v>
      </c>
      <c r="BA4" s="9">
        <v>0</v>
      </c>
      <c r="BB4" s="9">
        <v>0</v>
      </c>
      <c r="BC4" s="9">
        <v>0</v>
      </c>
      <c r="BD4" s="9">
        <v>0</v>
      </c>
      <c r="BE4" s="9">
        <v>0</v>
      </c>
      <c r="BF4" s="9">
        <v>0</v>
      </c>
      <c r="BG4" s="9">
        <v>0</v>
      </c>
      <c r="BH4" s="9">
        <v>0</v>
      </c>
      <c r="BI4" s="9">
        <v>0</v>
      </c>
      <c r="BJ4" s="9">
        <v>0</v>
      </c>
      <c r="BK4" s="9">
        <v>0</v>
      </c>
      <c r="BL4" s="9">
        <v>0</v>
      </c>
      <c r="BM4" s="9">
        <v>0</v>
      </c>
      <c r="BN4" s="9">
        <v>0</v>
      </c>
      <c r="BO4" s="9">
        <v>0</v>
      </c>
      <c r="BP4" s="9">
        <v>0</v>
      </c>
      <c r="BQ4" s="9">
        <v>0</v>
      </c>
      <c r="BR4" s="9">
        <v>0</v>
      </c>
      <c r="BS4" s="9">
        <v>0</v>
      </c>
      <c r="BT4" s="9">
        <v>0</v>
      </c>
      <c r="BU4" s="9">
        <v>0</v>
      </c>
      <c r="BV4" s="9">
        <v>0</v>
      </c>
      <c r="BW4" s="9">
        <v>0</v>
      </c>
      <c r="BX4" s="9">
        <v>0</v>
      </c>
    </row>
    <row r="5" spans="1:76">
      <c r="A5" s="3" t="s">
        <v>66</v>
      </c>
      <c r="B5" t="s">
        <v>6</v>
      </c>
      <c r="C5" t="s">
        <v>152</v>
      </c>
      <c r="D5" t="s">
        <v>5183</v>
      </c>
      <c r="E5" t="s">
        <v>5185</v>
      </c>
      <c r="F5" s="91" t="s">
        <v>4971</v>
      </c>
      <c r="G5" t="s">
        <v>4998</v>
      </c>
      <c r="H5" s="3" t="s">
        <v>5187</v>
      </c>
      <c r="I5" s="3" t="s">
        <v>40</v>
      </c>
      <c r="J5" s="124"/>
      <c r="K5" s="124"/>
      <c r="L5" s="6"/>
      <c r="M5" s="124">
        <v>1.2</v>
      </c>
      <c r="N5" s="9">
        <v>0</v>
      </c>
      <c r="O5" s="9">
        <v>0</v>
      </c>
      <c r="P5" s="9">
        <v>0</v>
      </c>
      <c r="Q5" s="9">
        <v>0</v>
      </c>
      <c r="R5" s="9">
        <v>0</v>
      </c>
      <c r="S5" s="9">
        <v>0</v>
      </c>
      <c r="T5" s="9">
        <v>0</v>
      </c>
      <c r="U5" s="9">
        <v>0</v>
      </c>
      <c r="V5" s="9">
        <v>0</v>
      </c>
      <c r="W5" s="9">
        <v>0</v>
      </c>
      <c r="X5" s="10">
        <v>11.714879194605858</v>
      </c>
      <c r="Y5" s="9">
        <v>27.53540516182478</v>
      </c>
      <c r="Z5" s="9">
        <v>18.795915552136108</v>
      </c>
      <c r="AA5" s="9">
        <v>29.287917292917843</v>
      </c>
      <c r="AB5" s="9">
        <v>20.548427683229171</v>
      </c>
      <c r="AC5" s="9">
        <v>26.267471785754427</v>
      </c>
      <c r="AD5" s="9">
        <v>56.605563117086504</v>
      </c>
      <c r="AE5" s="9">
        <v>49.998370545887205</v>
      </c>
      <c r="AF5" s="9">
        <v>42.917334188356939</v>
      </c>
      <c r="AG5" s="9">
        <v>48.245858414794263</v>
      </c>
      <c r="AH5" s="9">
        <v>48.245858414794263</v>
      </c>
      <c r="AI5" s="9">
        <v>41.164822057263883</v>
      </c>
      <c r="AJ5" s="9">
        <v>41.164822057263883</v>
      </c>
      <c r="AK5" s="9">
        <v>38.845891627588536</v>
      </c>
      <c r="AL5" s="9">
        <v>38.845891627588536</v>
      </c>
      <c r="AM5" s="9">
        <v>36.699618859446183</v>
      </c>
      <c r="AN5" s="9">
        <v>27.960129249757397</v>
      </c>
      <c r="AO5" s="9">
        <v>29.101044595091167</v>
      </c>
      <c r="AP5" s="9">
        <v>53.66106017199877</v>
      </c>
      <c r="AQ5" s="9">
        <v>60.742096529529036</v>
      </c>
      <c r="AR5" s="9">
        <v>60.742096529529036</v>
      </c>
      <c r="AS5" s="9">
        <v>60.742096529529036</v>
      </c>
      <c r="AT5" s="9">
        <v>53.66106017199877</v>
      </c>
      <c r="AU5" s="9">
        <v>46.580023814468511</v>
      </c>
      <c r="AV5" s="9">
        <v>46.580023814468511</v>
      </c>
      <c r="AW5" s="9">
        <v>34.95795843875468</v>
      </c>
      <c r="AX5" s="9">
        <v>43.455202067791042</v>
      </c>
      <c r="AY5" s="9">
        <v>43.455202067791042</v>
      </c>
      <c r="AZ5" s="9">
        <v>34.95795843875468</v>
      </c>
      <c r="BA5" s="9">
        <v>0</v>
      </c>
      <c r="BB5" s="9">
        <v>0</v>
      </c>
      <c r="BC5" s="9">
        <v>0</v>
      </c>
      <c r="BD5" s="9">
        <v>0</v>
      </c>
      <c r="BE5" s="9">
        <v>0</v>
      </c>
      <c r="BF5" s="9">
        <v>0</v>
      </c>
      <c r="BG5" s="9">
        <v>0</v>
      </c>
      <c r="BH5" s="9">
        <v>0</v>
      </c>
      <c r="BI5" s="9">
        <v>0</v>
      </c>
      <c r="BJ5" s="9">
        <v>0</v>
      </c>
      <c r="BK5" s="9">
        <v>0</v>
      </c>
      <c r="BL5" s="9">
        <v>0</v>
      </c>
      <c r="BM5" s="9">
        <v>0</v>
      </c>
      <c r="BN5" s="9">
        <v>0</v>
      </c>
      <c r="BO5" s="9">
        <v>0</v>
      </c>
      <c r="BP5" s="9">
        <v>0</v>
      </c>
      <c r="BQ5" s="9">
        <v>0</v>
      </c>
      <c r="BR5" s="9">
        <v>0</v>
      </c>
      <c r="BS5" s="9">
        <v>0</v>
      </c>
      <c r="BT5" s="9">
        <v>0</v>
      </c>
      <c r="BU5" s="9">
        <v>0</v>
      </c>
      <c r="BV5" s="9">
        <v>0</v>
      </c>
      <c r="BW5" s="9">
        <v>0</v>
      </c>
      <c r="BX5" s="9">
        <v>0</v>
      </c>
    </row>
    <row r="6" spans="1:76">
      <c r="A6" s="3" t="s">
        <v>66</v>
      </c>
      <c r="B6" t="s">
        <v>6</v>
      </c>
      <c r="C6" t="s">
        <v>152</v>
      </c>
      <c r="D6" t="s">
        <v>4967</v>
      </c>
      <c r="E6" t="s">
        <v>4968</v>
      </c>
      <c r="F6" s="91" t="s">
        <v>4973</v>
      </c>
      <c r="G6" t="s">
        <v>4983</v>
      </c>
      <c r="H6" s="3" t="s">
        <v>4984</v>
      </c>
      <c r="I6" s="3" t="s">
        <v>151</v>
      </c>
      <c r="J6" s="124"/>
      <c r="K6" s="124"/>
      <c r="L6" s="6"/>
      <c r="M6" s="124">
        <v>1.2</v>
      </c>
      <c r="N6" s="9">
        <v>0</v>
      </c>
      <c r="O6" s="9">
        <v>0</v>
      </c>
      <c r="P6" s="9">
        <v>0</v>
      </c>
      <c r="Q6" s="9">
        <v>0</v>
      </c>
      <c r="R6" s="9">
        <v>96.313717501683527</v>
      </c>
      <c r="S6" s="9">
        <v>113.38029656818192</v>
      </c>
      <c r="T6" s="9">
        <v>128.99158593013453</v>
      </c>
      <c r="U6" s="9">
        <v>1.0560000000000627</v>
      </c>
      <c r="V6" s="9">
        <v>82.486799999999974</v>
      </c>
      <c r="W6" s="9">
        <v>1.7171999999999799</v>
      </c>
      <c r="X6" s="10">
        <v>158.75488894838603</v>
      </c>
      <c r="Y6" s="9">
        <v>194.27770883780718</v>
      </c>
      <c r="Z6" s="9">
        <v>386.50595090767473</v>
      </c>
      <c r="AA6" s="9">
        <v>439.01304363242735</v>
      </c>
      <c r="AB6" s="9">
        <v>410.25522430013808</v>
      </c>
      <c r="AC6" s="9">
        <v>577.16868149891059</v>
      </c>
      <c r="AD6" s="9">
        <v>842.60470078911851</v>
      </c>
      <c r="AE6" s="9">
        <v>532.08087246023808</v>
      </c>
      <c r="AF6" s="9">
        <v>525.3158719031062</v>
      </c>
      <c r="AG6" s="9">
        <v>719.47185686929276</v>
      </c>
      <c r="AH6" s="9">
        <v>938.02054476910951</v>
      </c>
      <c r="AI6" s="9">
        <v>931.25554421197739</v>
      </c>
      <c r="AJ6" s="9">
        <v>931.25554421197739</v>
      </c>
      <c r="AK6" s="9">
        <v>816.55811948438998</v>
      </c>
      <c r="AL6" s="9">
        <v>604.02878103944101</v>
      </c>
      <c r="AM6" s="9">
        <v>447.14801753086425</v>
      </c>
      <c r="AN6" s="9">
        <v>399.86912295282747</v>
      </c>
      <c r="AO6" s="9">
        <v>415.22152774578018</v>
      </c>
      <c r="AP6" s="9">
        <v>479.50216696749095</v>
      </c>
      <c r="AQ6" s="9">
        <v>486.26716752462295</v>
      </c>
      <c r="AR6" s="9">
        <v>486.26716752462295</v>
      </c>
      <c r="AS6" s="9">
        <v>486.26716752462295</v>
      </c>
      <c r="AT6" s="9">
        <v>479.50216696749095</v>
      </c>
      <c r="AU6" s="9">
        <v>472.73716641035912</v>
      </c>
      <c r="AV6" s="9">
        <v>472.73716641035912</v>
      </c>
      <c r="AW6" s="9">
        <v>115.03127732915755</v>
      </c>
      <c r="AX6" s="9">
        <v>123.09325357089361</v>
      </c>
      <c r="AY6" s="9">
        <v>123.09325357089361</v>
      </c>
      <c r="AZ6" s="9">
        <v>115.03127732915755</v>
      </c>
      <c r="BA6" s="9">
        <v>0</v>
      </c>
      <c r="BB6" s="9">
        <v>0</v>
      </c>
      <c r="BC6" s="9">
        <v>0</v>
      </c>
      <c r="BD6" s="9">
        <v>0</v>
      </c>
      <c r="BE6" s="9">
        <v>0</v>
      </c>
      <c r="BF6" s="9">
        <v>0</v>
      </c>
      <c r="BG6" s="9">
        <v>0</v>
      </c>
      <c r="BH6" s="9">
        <v>0</v>
      </c>
      <c r="BI6" s="9">
        <v>0</v>
      </c>
      <c r="BJ6" s="9">
        <v>0</v>
      </c>
      <c r="BK6" s="9">
        <v>0</v>
      </c>
      <c r="BL6" s="9">
        <v>0</v>
      </c>
      <c r="BM6" s="9">
        <v>0</v>
      </c>
      <c r="BN6" s="9">
        <v>0</v>
      </c>
      <c r="BO6" s="9">
        <v>0</v>
      </c>
      <c r="BP6" s="9">
        <v>0</v>
      </c>
      <c r="BQ6" s="9">
        <v>0</v>
      </c>
      <c r="BR6" s="9">
        <v>0</v>
      </c>
      <c r="BS6" s="9">
        <v>0</v>
      </c>
      <c r="BT6" s="9">
        <v>0</v>
      </c>
      <c r="BU6" s="9">
        <v>0</v>
      </c>
      <c r="BV6" s="9">
        <v>0</v>
      </c>
      <c r="BW6" s="9">
        <v>0</v>
      </c>
      <c r="BX6" s="9">
        <v>0</v>
      </c>
    </row>
    <row r="7" spans="1:76">
      <c r="A7" s="3" t="s">
        <v>66</v>
      </c>
      <c r="B7" t="s">
        <v>7</v>
      </c>
      <c r="C7" t="s">
        <v>156</v>
      </c>
      <c r="D7" t="s">
        <v>71</v>
      </c>
      <c r="E7" t="s">
        <v>4974</v>
      </c>
      <c r="F7" s="91" t="s">
        <v>30</v>
      </c>
      <c r="G7" t="s">
        <v>34</v>
      </c>
      <c r="H7" s="3" t="s">
        <v>32</v>
      </c>
      <c r="I7" s="3" t="s">
        <v>41</v>
      </c>
      <c r="J7" s="124"/>
      <c r="K7" s="124"/>
      <c r="L7" s="6"/>
      <c r="M7" s="124">
        <v>1.1000000000000001</v>
      </c>
      <c r="N7" s="9">
        <v>0</v>
      </c>
      <c r="O7" s="9">
        <v>0</v>
      </c>
      <c r="P7" s="9">
        <v>0</v>
      </c>
      <c r="Q7" s="9">
        <v>0</v>
      </c>
      <c r="R7" s="9">
        <v>25.3</v>
      </c>
      <c r="S7" s="9">
        <v>129.76150000000001</v>
      </c>
      <c r="T7" s="9">
        <v>60.500000000000007</v>
      </c>
      <c r="U7" s="9">
        <v>-2.8709999983789203E-5</v>
      </c>
      <c r="V7" s="9">
        <v>56.142900000000019</v>
      </c>
      <c r="W7" s="9">
        <v>0</v>
      </c>
      <c r="X7" s="10">
        <v>0</v>
      </c>
      <c r="Y7" s="9">
        <v>0</v>
      </c>
      <c r="Z7" s="9">
        <v>9.501637398329283</v>
      </c>
      <c r="AA7" s="9">
        <v>9.501637398329283</v>
      </c>
      <c r="AB7" s="9">
        <v>9.501637398329283</v>
      </c>
      <c r="AC7" s="9">
        <v>9.501637398329283</v>
      </c>
      <c r="AD7" s="9">
        <v>18.639664917340035</v>
      </c>
      <c r="AE7" s="9">
        <v>9.1380275190107518</v>
      </c>
      <c r="AF7" s="9">
        <v>9.1380275190107518</v>
      </c>
      <c r="AG7" s="9">
        <v>18.216329367962608</v>
      </c>
      <c r="AH7" s="9">
        <v>27.613168123895232</v>
      </c>
      <c r="AI7" s="9">
        <v>27.613168123895232</v>
      </c>
      <c r="AJ7" s="9">
        <v>27.613168123895232</v>
      </c>
      <c r="AK7" s="9">
        <v>24.029627920361598</v>
      </c>
      <c r="AL7" s="9">
        <v>14.891600401350846</v>
      </c>
      <c r="AM7" s="9">
        <v>9.3968387559326203</v>
      </c>
      <c r="AN7" s="9">
        <v>8.6004964884807062</v>
      </c>
      <c r="AO7" s="9">
        <v>8.6004964884807062</v>
      </c>
      <c r="AP7" s="9">
        <v>8.6004964884807062</v>
      </c>
      <c r="AQ7" s="9">
        <v>8.6004964884807062</v>
      </c>
      <c r="AR7" s="9">
        <v>8.6004964884807062</v>
      </c>
      <c r="AS7" s="9">
        <v>8.6004964884807062</v>
      </c>
      <c r="AT7" s="9">
        <v>8.6004964884807062</v>
      </c>
      <c r="AU7" s="9">
        <v>8.6004964884807062</v>
      </c>
      <c r="AV7" s="9">
        <v>8.6004964884807062</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row>
    <row r="8" spans="1:76">
      <c r="A8" s="3" t="s">
        <v>66</v>
      </c>
      <c r="B8" t="s">
        <v>7</v>
      </c>
      <c r="C8" t="s">
        <v>156</v>
      </c>
      <c r="D8" t="s">
        <v>73</v>
      </c>
      <c r="E8" t="s">
        <v>4975</v>
      </c>
      <c r="F8" s="91" t="s">
        <v>68</v>
      </c>
      <c r="G8" t="s">
        <v>4976</v>
      </c>
      <c r="H8" s="3" t="s">
        <v>69</v>
      </c>
      <c r="I8" s="3" t="s">
        <v>41</v>
      </c>
      <c r="J8" s="124"/>
      <c r="K8" s="124"/>
      <c r="L8" s="6"/>
      <c r="M8" s="124">
        <v>1.1000000000000001</v>
      </c>
      <c r="N8" s="9">
        <v>0</v>
      </c>
      <c r="O8" s="9">
        <v>0</v>
      </c>
      <c r="P8" s="9">
        <v>0</v>
      </c>
      <c r="Q8" s="9">
        <v>0</v>
      </c>
      <c r="R8" s="9">
        <v>83.457000000000008</v>
      </c>
      <c r="S8" s="9">
        <v>167.816</v>
      </c>
      <c r="T8" s="9">
        <v>0</v>
      </c>
      <c r="U8" s="9">
        <v>0.18700000000000003</v>
      </c>
      <c r="V8" s="9">
        <v>28.193000000000001</v>
      </c>
      <c r="W8" s="9">
        <v>0</v>
      </c>
      <c r="X8" s="10">
        <v>0</v>
      </c>
      <c r="Y8" s="9">
        <v>0</v>
      </c>
      <c r="Z8" s="9">
        <v>251.70169505034306</v>
      </c>
      <c r="AA8" s="9">
        <v>251.70169505034306</v>
      </c>
      <c r="AB8" s="9">
        <v>251.70169505034306</v>
      </c>
      <c r="AC8" s="9">
        <v>251.70169505034306</v>
      </c>
      <c r="AD8" s="9">
        <v>493.77123733324652</v>
      </c>
      <c r="AE8" s="9">
        <v>242.06954228290343</v>
      </c>
      <c r="AF8" s="9">
        <v>242.06954228290343</v>
      </c>
      <c r="AG8" s="9">
        <v>482.55693069467674</v>
      </c>
      <c r="AH8" s="9">
        <v>731.48247308581051</v>
      </c>
      <c r="AI8" s="9">
        <v>731.48247308581051</v>
      </c>
      <c r="AJ8" s="9">
        <v>731.48247308581051</v>
      </c>
      <c r="AK8" s="9">
        <v>636.55324081800507</v>
      </c>
      <c r="AL8" s="9">
        <v>394.48369853510167</v>
      </c>
      <c r="AM8" s="9">
        <v>248.92554239113372</v>
      </c>
      <c r="AN8" s="9">
        <v>227.83015744273263</v>
      </c>
      <c r="AO8" s="9">
        <v>227.83015744273263</v>
      </c>
      <c r="AP8" s="9">
        <v>227.83015744273263</v>
      </c>
      <c r="AQ8" s="9">
        <v>227.83015744273263</v>
      </c>
      <c r="AR8" s="9">
        <v>227.83015744273263</v>
      </c>
      <c r="AS8" s="9">
        <v>227.83015744273263</v>
      </c>
      <c r="AT8" s="9">
        <v>227.83015744273263</v>
      </c>
      <c r="AU8" s="9">
        <v>227.83015744273263</v>
      </c>
      <c r="AV8" s="9">
        <v>227.83015744273263</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row>
    <row r="9" spans="1:76">
      <c r="A9" s="3" t="s">
        <v>66</v>
      </c>
      <c r="B9" t="s">
        <v>7</v>
      </c>
      <c r="C9" t="s">
        <v>156</v>
      </c>
      <c r="D9" t="s">
        <v>76</v>
      </c>
      <c r="E9" t="s">
        <v>5186</v>
      </c>
      <c r="F9" s="91" t="s">
        <v>77</v>
      </c>
      <c r="G9" t="s">
        <v>4992</v>
      </c>
      <c r="H9" s="3" t="s">
        <v>5171</v>
      </c>
      <c r="I9" s="3" t="s">
        <v>41</v>
      </c>
      <c r="J9" s="124"/>
      <c r="K9" s="124"/>
      <c r="L9" s="6"/>
      <c r="M9" s="124">
        <v>1.1000000000000001</v>
      </c>
      <c r="N9" s="9">
        <v>0</v>
      </c>
      <c r="O9" s="9">
        <v>0</v>
      </c>
      <c r="P9" s="9">
        <v>0</v>
      </c>
      <c r="Q9" s="9">
        <v>0</v>
      </c>
      <c r="R9" s="9">
        <v>0</v>
      </c>
      <c r="S9" s="9">
        <v>0</v>
      </c>
      <c r="T9" s="9">
        <v>175.49680610000001</v>
      </c>
      <c r="U9" s="9">
        <v>0</v>
      </c>
      <c r="V9" s="9">
        <v>1.6268999999999836</v>
      </c>
      <c r="W9" s="9">
        <v>0</v>
      </c>
      <c r="X9" s="10">
        <v>0</v>
      </c>
      <c r="Y9" s="9">
        <v>0</v>
      </c>
      <c r="Z9" s="9">
        <v>11.259578982772654</v>
      </c>
      <c r="AA9" s="9">
        <v>11.259578982772654</v>
      </c>
      <c r="AB9" s="9">
        <v>11.259578982772654</v>
      </c>
      <c r="AC9" s="9">
        <v>11.259578982772654</v>
      </c>
      <c r="AD9" s="9">
        <v>22.08827495207403</v>
      </c>
      <c r="AE9" s="9">
        <v>10.828695969301382</v>
      </c>
      <c r="AF9" s="9">
        <v>10.828695969301382</v>
      </c>
      <c r="AG9" s="9">
        <v>21.586616147953734</v>
      </c>
      <c r="AH9" s="9">
        <v>32.722007210067567</v>
      </c>
      <c r="AI9" s="9">
        <v>32.722007210067567</v>
      </c>
      <c r="AJ9" s="9">
        <v>32.722007210067567</v>
      </c>
      <c r="AK9" s="9">
        <v>28.475459771125848</v>
      </c>
      <c r="AL9" s="9">
        <v>17.646763801824463</v>
      </c>
      <c r="AM9" s="9">
        <v>11.135391062113834</v>
      </c>
      <c r="AN9" s="9">
        <v>10.191713853460124</v>
      </c>
      <c r="AO9" s="9">
        <v>10.191713853460124</v>
      </c>
      <c r="AP9" s="9">
        <v>10.191713853460124</v>
      </c>
      <c r="AQ9" s="9">
        <v>10.191713853460124</v>
      </c>
      <c r="AR9" s="9">
        <v>10.191713853460124</v>
      </c>
      <c r="AS9" s="9">
        <v>10.191713853460124</v>
      </c>
      <c r="AT9" s="9">
        <v>10.191713853460124</v>
      </c>
      <c r="AU9" s="9">
        <v>10.191713853460124</v>
      </c>
      <c r="AV9" s="9">
        <v>10.191713853460124</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row>
    <row r="10" spans="1:76">
      <c r="A10" s="3" t="s">
        <v>66</v>
      </c>
      <c r="B10" t="s">
        <v>7</v>
      </c>
      <c r="C10" t="s">
        <v>156</v>
      </c>
      <c r="D10" t="s">
        <v>5183</v>
      </c>
      <c r="E10" t="s">
        <v>5185</v>
      </c>
      <c r="F10" s="91" t="s">
        <v>4971</v>
      </c>
      <c r="G10" t="s">
        <v>4998</v>
      </c>
      <c r="H10" s="3" t="s">
        <v>5187</v>
      </c>
      <c r="I10" s="3" t="s">
        <v>41</v>
      </c>
      <c r="J10" s="124"/>
      <c r="K10" s="124"/>
      <c r="L10" s="6"/>
      <c r="M10" s="124">
        <v>1.1000000000000001</v>
      </c>
      <c r="N10" s="9">
        <v>0</v>
      </c>
      <c r="O10" s="9">
        <v>0</v>
      </c>
      <c r="P10" s="9">
        <v>355.322</v>
      </c>
      <c r="Q10" s="9">
        <v>398.81600000000009</v>
      </c>
      <c r="R10" s="9">
        <v>222.39799999999997</v>
      </c>
      <c r="S10" s="9">
        <v>0</v>
      </c>
      <c r="T10" s="9">
        <v>62.575538299999977</v>
      </c>
      <c r="U10" s="9">
        <v>1.6169999996691332E-4</v>
      </c>
      <c r="V10" s="9">
        <v>382.84290000000027</v>
      </c>
      <c r="W10" s="9">
        <v>0</v>
      </c>
      <c r="X10" s="10">
        <v>22.310057582799914</v>
      </c>
      <c r="Y10" s="9">
        <v>52.438993567163728</v>
      </c>
      <c r="Z10" s="9">
        <v>35.795329283693015</v>
      </c>
      <c r="AA10" s="9">
        <v>55.776513818951273</v>
      </c>
      <c r="AB10" s="9">
        <v>39.13284953548056</v>
      </c>
      <c r="AC10" s="9">
        <v>50.024315091921011</v>
      </c>
      <c r="AD10" s="9">
        <v>107.80080201172777</v>
      </c>
      <c r="AE10" s="9">
        <v>95.217928191571076</v>
      </c>
      <c r="AF10" s="9">
        <v>81.732656490677954</v>
      </c>
      <c r="AG10" s="9">
        <v>91.880407939783765</v>
      </c>
      <c r="AH10" s="9">
        <v>91.880407939783765</v>
      </c>
      <c r="AI10" s="9">
        <v>78.39513623889043</v>
      </c>
      <c r="AJ10" s="9">
        <v>78.39513623889043</v>
      </c>
      <c r="AK10" s="9">
        <v>73.9789172956865</v>
      </c>
      <c r="AL10" s="9">
        <v>73.9789172956865</v>
      </c>
      <c r="AM10" s="9">
        <v>69.891511164541825</v>
      </c>
      <c r="AN10" s="9">
        <v>53.247846881070878</v>
      </c>
      <c r="AO10" s="9">
        <v>55.420629598558634</v>
      </c>
      <c r="AP10" s="9">
        <v>102.1932298663932</v>
      </c>
      <c r="AQ10" s="9">
        <v>115.6785015672863</v>
      </c>
      <c r="AR10" s="9">
        <v>115.6785015672863</v>
      </c>
      <c r="AS10" s="9">
        <v>115.6785015672863</v>
      </c>
      <c r="AT10" s="9">
        <v>102.1932298663932</v>
      </c>
      <c r="AU10" s="9">
        <v>88.707958165500088</v>
      </c>
      <c r="AV10" s="9">
        <v>88.707958165500088</v>
      </c>
      <c r="AW10" s="9">
        <v>66.574657133882894</v>
      </c>
      <c r="AX10" s="9">
        <v>82.756983174954726</v>
      </c>
      <c r="AY10" s="9">
        <v>82.756983174954726</v>
      </c>
      <c r="AZ10" s="9">
        <v>66.574657133882894</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row>
    <row r="11" spans="1:76">
      <c r="A11" s="3" t="s">
        <v>66</v>
      </c>
      <c r="B11" t="s">
        <v>7</v>
      </c>
      <c r="C11" t="s">
        <v>156</v>
      </c>
      <c r="D11" t="s">
        <v>4967</v>
      </c>
      <c r="E11" t="s">
        <v>4968</v>
      </c>
      <c r="F11" s="91" t="s">
        <v>4973</v>
      </c>
      <c r="G11" t="s">
        <v>4983</v>
      </c>
      <c r="H11" s="3" t="s">
        <v>4984</v>
      </c>
      <c r="I11" s="3" t="s">
        <v>155</v>
      </c>
      <c r="J11" s="124"/>
      <c r="K11" s="124"/>
      <c r="L11" s="6"/>
      <c r="M11" s="124">
        <v>1.1000000000000001</v>
      </c>
      <c r="N11" s="9">
        <v>0</v>
      </c>
      <c r="O11" s="9">
        <v>0</v>
      </c>
      <c r="P11" s="9">
        <v>0</v>
      </c>
      <c r="Q11" s="9">
        <v>0</v>
      </c>
      <c r="R11" s="9">
        <v>117.39560250784062</v>
      </c>
      <c r="S11" s="9">
        <v>230.45528346396179</v>
      </c>
      <c r="T11" s="9">
        <v>302.16506962819773</v>
      </c>
      <c r="U11" s="9">
        <v>0</v>
      </c>
      <c r="V11" s="9">
        <v>190.76310000000007</v>
      </c>
      <c r="W11" s="9">
        <v>202.24489999999994</v>
      </c>
      <c r="X11" s="10">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row>
    <row r="12" spans="1:76">
      <c r="A12" s="3" t="s">
        <v>66</v>
      </c>
      <c r="B12" t="s">
        <v>5193</v>
      </c>
      <c r="C12" t="s">
        <v>5194</v>
      </c>
      <c r="D12" t="s">
        <v>4967</v>
      </c>
      <c r="E12" t="s">
        <v>4968</v>
      </c>
      <c r="F12" s="91" t="s">
        <v>4973</v>
      </c>
      <c r="G12" t="s">
        <v>4983</v>
      </c>
      <c r="H12" s="3" t="s">
        <v>4984</v>
      </c>
      <c r="I12" s="3" t="s">
        <v>159</v>
      </c>
      <c r="J12" s="124"/>
      <c r="K12" s="124"/>
      <c r="L12" s="6"/>
      <c r="M12" s="124">
        <v>1.05</v>
      </c>
      <c r="N12" s="9">
        <v>0</v>
      </c>
      <c r="O12" s="9">
        <v>0</v>
      </c>
      <c r="P12" s="9">
        <v>0</v>
      </c>
      <c r="Q12" s="9">
        <v>0</v>
      </c>
      <c r="R12" s="9">
        <v>5.8154118751016517</v>
      </c>
      <c r="S12" s="9">
        <v>6.8458900784680727</v>
      </c>
      <c r="T12" s="9">
        <v>7.7884980464302744</v>
      </c>
      <c r="U12" s="9">
        <v>356.60415000000006</v>
      </c>
      <c r="V12" s="9">
        <v>4.6462500000000118</v>
      </c>
      <c r="W12" s="9">
        <v>225.62715</v>
      </c>
      <c r="X12" s="10">
        <v>3020.4274437712088</v>
      </c>
      <c r="Y12" s="9">
        <v>4947.4713705057984</v>
      </c>
      <c r="Z12" s="9">
        <v>8867.568423715391</v>
      </c>
      <c r="AA12" s="9">
        <v>9373.9623904690943</v>
      </c>
      <c r="AB12" s="9">
        <v>8066.8549086894191</v>
      </c>
      <c r="AC12" s="9">
        <v>11045.861781402529</v>
      </c>
      <c r="AD12" s="9">
        <v>17548.63821232086</v>
      </c>
      <c r="AE12" s="9">
        <v>12209.252599653049</v>
      </c>
      <c r="AF12" s="9">
        <v>10510.328584753865</v>
      </c>
      <c r="AG12" s="9">
        <v>14815.388457233146</v>
      </c>
      <c r="AH12" s="9">
        <v>19996.840087951412</v>
      </c>
      <c r="AI12" s="9">
        <v>18297.916073052216</v>
      </c>
      <c r="AJ12" s="9">
        <v>18297.916073052216</v>
      </c>
      <c r="AK12" s="9">
        <v>16033.531004006052</v>
      </c>
      <c r="AL12" s="9">
        <v>12044.058538126259</v>
      </c>
      <c r="AM12" s="9">
        <v>9304.3624060458296</v>
      </c>
      <c r="AN12" s="9">
        <v>8189.0822634099877</v>
      </c>
      <c r="AO12" s="9">
        <v>8505.4867326420554</v>
      </c>
      <c r="AP12" s="9">
        <v>10660.650571212051</v>
      </c>
      <c r="AQ12" s="9">
        <v>11280.587016166968</v>
      </c>
      <c r="AR12" s="9">
        <v>11280.587016166968</v>
      </c>
      <c r="AS12" s="9">
        <v>11280.587016166968</v>
      </c>
      <c r="AT12" s="9">
        <v>10660.650571212051</v>
      </c>
      <c r="AU12" s="9">
        <v>10040.714126257137</v>
      </c>
      <c r="AV12" s="9">
        <v>10040.714126257137</v>
      </c>
      <c r="AW12" s="9">
        <v>3070.4547872301541</v>
      </c>
      <c r="AX12" s="9">
        <v>3878.2045648098938</v>
      </c>
      <c r="AY12" s="9">
        <v>3878.2045648098938</v>
      </c>
      <c r="AZ12" s="9">
        <v>3070.4547872301541</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row>
    <row r="13" spans="1:76">
      <c r="A13" s="3" t="s">
        <v>66</v>
      </c>
      <c r="B13" t="s">
        <v>2623</v>
      </c>
      <c r="C13" t="s">
        <v>169</v>
      </c>
      <c r="D13" t="s">
        <v>4967</v>
      </c>
      <c r="E13" t="s">
        <v>4968</v>
      </c>
      <c r="F13" s="91" t="s">
        <v>4973</v>
      </c>
      <c r="G13" t="s">
        <v>4983</v>
      </c>
      <c r="H13" s="3" t="s">
        <v>4984</v>
      </c>
      <c r="I13" s="3" t="s">
        <v>168</v>
      </c>
      <c r="J13" s="124"/>
      <c r="K13" s="124"/>
      <c r="L13" s="6"/>
      <c r="M13" s="124">
        <v>0.33</v>
      </c>
      <c r="N13" s="9">
        <v>0</v>
      </c>
      <c r="O13" s="9">
        <v>0</v>
      </c>
      <c r="P13" s="9">
        <v>0</v>
      </c>
      <c r="Q13" s="9">
        <v>0</v>
      </c>
      <c r="R13" s="9">
        <v>0</v>
      </c>
      <c r="S13" s="9">
        <v>0</v>
      </c>
      <c r="T13" s="9">
        <v>0</v>
      </c>
      <c r="U13" s="9">
        <v>0</v>
      </c>
      <c r="V13" s="9">
        <v>0</v>
      </c>
      <c r="W13" s="9">
        <v>0</v>
      </c>
      <c r="X13" s="10">
        <v>0</v>
      </c>
      <c r="Y13" s="9">
        <v>0</v>
      </c>
      <c r="Z13" s="9">
        <v>0</v>
      </c>
      <c r="AA13" s="9">
        <v>0</v>
      </c>
      <c r="AB13" s="9">
        <v>0</v>
      </c>
      <c r="AC13" s="9">
        <v>0</v>
      </c>
      <c r="AD13" s="9">
        <v>0</v>
      </c>
      <c r="AE13" s="9">
        <v>334.125</v>
      </c>
      <c r="AF13" s="9">
        <v>334.125</v>
      </c>
      <c r="AG13" s="9">
        <v>334.125</v>
      </c>
      <c r="AH13" s="9">
        <v>334.125</v>
      </c>
      <c r="AI13" s="9">
        <v>334.125</v>
      </c>
      <c r="AJ13" s="9">
        <v>334.125</v>
      </c>
      <c r="AK13" s="9">
        <v>334.125</v>
      </c>
      <c r="AL13" s="9">
        <v>334.125</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row>
    <row r="14" spans="1:76">
      <c r="A14" s="3" t="s">
        <v>66</v>
      </c>
      <c r="B14" t="s">
        <v>2624</v>
      </c>
      <c r="C14" t="s">
        <v>184</v>
      </c>
      <c r="D14" t="s">
        <v>4967</v>
      </c>
      <c r="E14" t="s">
        <v>4968</v>
      </c>
      <c r="F14" s="91" t="s">
        <v>4973</v>
      </c>
      <c r="G14" t="s">
        <v>4983</v>
      </c>
      <c r="H14" s="3" t="s">
        <v>4984</v>
      </c>
      <c r="I14" s="3" t="s">
        <v>183</v>
      </c>
      <c r="J14" s="124"/>
      <c r="K14" s="124"/>
      <c r="L14" s="6"/>
      <c r="M14" s="124">
        <v>1.1000000000000001</v>
      </c>
      <c r="N14" s="9">
        <v>0</v>
      </c>
      <c r="O14" s="9">
        <v>0</v>
      </c>
      <c r="P14" s="9">
        <v>0</v>
      </c>
      <c r="Q14" s="9">
        <v>0</v>
      </c>
      <c r="R14" s="9">
        <v>0</v>
      </c>
      <c r="S14" s="9">
        <v>0</v>
      </c>
      <c r="T14" s="9">
        <v>0</v>
      </c>
      <c r="U14" s="9">
        <v>0</v>
      </c>
      <c r="V14" s="9">
        <v>0</v>
      </c>
      <c r="W14" s="9">
        <v>0</v>
      </c>
      <c r="X14" s="10">
        <v>0</v>
      </c>
      <c r="Y14" s="9">
        <v>0</v>
      </c>
      <c r="Z14" s="9">
        <v>0</v>
      </c>
      <c r="AA14" s="9">
        <v>0</v>
      </c>
      <c r="AB14" s="9">
        <v>0</v>
      </c>
      <c r="AC14" s="9">
        <v>0</v>
      </c>
      <c r="AD14" s="9">
        <v>0</v>
      </c>
      <c r="AE14" s="9">
        <v>190.46912500000002</v>
      </c>
      <c r="AF14" s="9">
        <v>190.46912500000002</v>
      </c>
      <c r="AG14" s="9">
        <v>190.46912500000002</v>
      </c>
      <c r="AH14" s="9">
        <v>190.46912500000002</v>
      </c>
      <c r="AI14" s="9">
        <v>190.46912500000002</v>
      </c>
      <c r="AJ14" s="9">
        <v>190.46912500000002</v>
      </c>
      <c r="AK14" s="9">
        <v>190.46912500000002</v>
      </c>
      <c r="AL14" s="9">
        <v>190.46912500000002</v>
      </c>
      <c r="AM14" s="9">
        <v>0</v>
      </c>
      <c r="AN14" s="9">
        <v>0</v>
      </c>
      <c r="AO14" s="9">
        <v>0</v>
      </c>
      <c r="AP14" s="9">
        <v>0</v>
      </c>
      <c r="AQ14" s="9">
        <v>190.46912500000002</v>
      </c>
      <c r="AR14" s="9">
        <v>190.46912500000002</v>
      </c>
      <c r="AS14" s="9">
        <v>190.46912500000002</v>
      </c>
      <c r="AT14" s="9">
        <v>190.46912500000002</v>
      </c>
      <c r="AU14" s="9">
        <v>190.46912500000002</v>
      </c>
      <c r="AV14" s="9">
        <v>190.46912500000002</v>
      </c>
      <c r="AW14" s="9">
        <v>190.46912500000002</v>
      </c>
      <c r="AX14" s="9">
        <v>190.46912500000002</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row>
    <row r="15" spans="1:76">
      <c r="A15" s="3" t="s">
        <v>66</v>
      </c>
      <c r="B15" t="s">
        <v>12</v>
      </c>
      <c r="C15" t="s">
        <v>200</v>
      </c>
      <c r="D15" t="s">
        <v>71</v>
      </c>
      <c r="E15" t="s">
        <v>4974</v>
      </c>
      <c r="F15" s="91" t="s">
        <v>30</v>
      </c>
      <c r="G15" t="s">
        <v>34</v>
      </c>
      <c r="H15" s="3" t="s">
        <v>32</v>
      </c>
      <c r="I15" s="3" t="s">
        <v>46</v>
      </c>
      <c r="J15" s="124"/>
      <c r="K15" s="124"/>
      <c r="L15" s="6"/>
      <c r="M15" s="124">
        <v>1.25</v>
      </c>
      <c r="N15" s="9">
        <v>0</v>
      </c>
      <c r="O15" s="9">
        <v>0</v>
      </c>
      <c r="P15" s="9">
        <v>0</v>
      </c>
      <c r="Q15" s="9">
        <v>0</v>
      </c>
      <c r="R15" s="9">
        <v>428.75</v>
      </c>
      <c r="S15" s="9">
        <v>953.63749999999993</v>
      </c>
      <c r="T15" s="9">
        <v>661.90124999999989</v>
      </c>
      <c r="U15" s="9">
        <v>1328.1488749999994</v>
      </c>
      <c r="V15" s="9">
        <v>1814.5375000000001</v>
      </c>
      <c r="W15" s="9">
        <v>1297.8500000000008</v>
      </c>
      <c r="X15" s="10">
        <v>41.331465815495285</v>
      </c>
      <c r="Y15" s="9">
        <v>97.148134287701765</v>
      </c>
      <c r="Z15" s="9">
        <v>66.314191397872719</v>
      </c>
      <c r="AA15" s="9">
        <v>103.33120233597205</v>
      </c>
      <c r="AB15" s="9">
        <v>72.497259446143005</v>
      </c>
      <c r="AC15" s="9">
        <v>92.674716839785816</v>
      </c>
      <c r="AD15" s="9">
        <v>199.71105617700192</v>
      </c>
      <c r="AE15" s="9">
        <v>176.400106968182</v>
      </c>
      <c r="AF15" s="9">
        <v>151.41738138580456</v>
      </c>
      <c r="AG15" s="9">
        <v>170.2170389199122</v>
      </c>
      <c r="AH15" s="9">
        <v>170.2170389199122</v>
      </c>
      <c r="AI15" s="9">
        <v>145.2343133375343</v>
      </c>
      <c r="AJ15" s="9">
        <v>145.2343133375343</v>
      </c>
      <c r="AK15" s="9">
        <v>137.05285519439184</v>
      </c>
      <c r="AL15" s="9">
        <v>137.05285519439184</v>
      </c>
      <c r="AM15" s="9">
        <v>129.48055350236498</v>
      </c>
      <c r="AN15" s="9">
        <v>98.646610612535511</v>
      </c>
      <c r="AO15" s="9">
        <v>102.67189357198335</v>
      </c>
      <c r="AP15" s="9">
        <v>189.32250493401892</v>
      </c>
      <c r="AQ15" s="9">
        <v>214.30523051639639</v>
      </c>
      <c r="AR15" s="9">
        <v>214.30523051639639</v>
      </c>
      <c r="AS15" s="9">
        <v>214.30523051639639</v>
      </c>
      <c r="AT15" s="9">
        <v>189.32250493401892</v>
      </c>
      <c r="AU15" s="9">
        <v>164.33977935164148</v>
      </c>
      <c r="AV15" s="9">
        <v>164.33977935164148</v>
      </c>
      <c r="AW15" s="9">
        <v>123.3357715593162</v>
      </c>
      <c r="AX15" s="9">
        <v>153.31504225816934</v>
      </c>
      <c r="AY15" s="9">
        <v>153.31504225816934</v>
      </c>
      <c r="AZ15" s="9">
        <v>123.3357715593162</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row>
    <row r="16" spans="1:76">
      <c r="A16" s="3" t="s">
        <v>66</v>
      </c>
      <c r="B16" t="s">
        <v>12</v>
      </c>
      <c r="C16" t="s">
        <v>200</v>
      </c>
      <c r="D16" t="s">
        <v>73</v>
      </c>
      <c r="E16" t="s">
        <v>4975</v>
      </c>
      <c r="F16" s="91" t="s">
        <v>68</v>
      </c>
      <c r="G16" t="s">
        <v>4976</v>
      </c>
      <c r="H16" s="3" t="s">
        <v>69</v>
      </c>
      <c r="I16" s="3" t="s">
        <v>46</v>
      </c>
      <c r="J16" s="124"/>
      <c r="K16" s="124"/>
      <c r="L16" s="6"/>
      <c r="M16" s="124">
        <v>1.25</v>
      </c>
      <c r="N16" s="9">
        <v>0</v>
      </c>
      <c r="O16" s="9">
        <v>0</v>
      </c>
      <c r="P16" s="9">
        <v>0</v>
      </c>
      <c r="Q16" s="9">
        <v>0</v>
      </c>
      <c r="R16" s="9">
        <v>2208.75</v>
      </c>
      <c r="S16" s="9">
        <v>2452.5625</v>
      </c>
      <c r="T16" s="9">
        <v>-1789.1</v>
      </c>
      <c r="U16" s="9">
        <v>0</v>
      </c>
      <c r="V16" s="9">
        <v>1047.875</v>
      </c>
      <c r="W16" s="9">
        <v>0</v>
      </c>
      <c r="X16" s="10">
        <v>4.5414024794765382</v>
      </c>
      <c r="Y16" s="9">
        <v>10.674404336399935</v>
      </c>
      <c r="Z16" s="9">
        <v>7.2864445355788803</v>
      </c>
      <c r="AA16" s="9">
        <v>11.353785045773652</v>
      </c>
      <c r="AB16" s="9">
        <v>7.9658252449525992</v>
      </c>
      <c r="AC16" s="9">
        <v>10.182875940567364</v>
      </c>
      <c r="AD16" s="9">
        <v>21.943772566640739</v>
      </c>
      <c r="AE16" s="9">
        <v>19.382421294743732</v>
      </c>
      <c r="AF16" s="9">
        <v>16.637379238641387</v>
      </c>
      <c r="AG16" s="9">
        <v>18.703040585370061</v>
      </c>
      <c r="AH16" s="9">
        <v>18.703040585370061</v>
      </c>
      <c r="AI16" s="9">
        <v>15.95799852926767</v>
      </c>
      <c r="AJ16" s="9">
        <v>15.95799852926767</v>
      </c>
      <c r="AK16" s="9">
        <v>15.059039502194619</v>
      </c>
      <c r="AL16" s="9">
        <v>15.059039502194619</v>
      </c>
      <c r="AM16" s="9">
        <v>14.227013127107224</v>
      </c>
      <c r="AN16" s="9">
        <v>10.839053326286123</v>
      </c>
      <c r="AO16" s="9">
        <v>11.281341777758794</v>
      </c>
      <c r="AP16" s="9">
        <v>20.802303435503248</v>
      </c>
      <c r="AQ16" s="9">
        <v>23.547345491605594</v>
      </c>
      <c r="AR16" s="9">
        <v>23.547345491605594</v>
      </c>
      <c r="AS16" s="9">
        <v>23.547345491605594</v>
      </c>
      <c r="AT16" s="9">
        <v>20.802303435503248</v>
      </c>
      <c r="AU16" s="9">
        <v>18.057261379400906</v>
      </c>
      <c r="AV16" s="9">
        <v>18.057261379400906</v>
      </c>
      <c r="AW16" s="9">
        <v>13.551839203284217</v>
      </c>
      <c r="AX16" s="9">
        <v>16.84588967060705</v>
      </c>
      <c r="AY16" s="9">
        <v>16.84588967060705</v>
      </c>
      <c r="AZ16" s="9">
        <v>13.551839203284217</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row>
    <row r="17" spans="1:76">
      <c r="A17" s="3" t="s">
        <v>66</v>
      </c>
      <c r="B17" t="s">
        <v>12</v>
      </c>
      <c r="C17" t="s">
        <v>200</v>
      </c>
      <c r="D17" t="s">
        <v>76</v>
      </c>
      <c r="E17" t="s">
        <v>5186</v>
      </c>
      <c r="F17" s="91" t="s">
        <v>77</v>
      </c>
      <c r="G17" t="s">
        <v>4992</v>
      </c>
      <c r="H17" s="3" t="s">
        <v>5171</v>
      </c>
      <c r="I17" s="3" t="s">
        <v>46</v>
      </c>
      <c r="J17" s="124"/>
      <c r="K17" s="124"/>
      <c r="L17" s="6"/>
      <c r="M17" s="124">
        <v>1.25</v>
      </c>
      <c r="N17" s="9">
        <v>0</v>
      </c>
      <c r="O17" s="9">
        <v>0</v>
      </c>
      <c r="P17" s="9">
        <v>0</v>
      </c>
      <c r="Q17" s="9">
        <v>0</v>
      </c>
      <c r="R17" s="9">
        <v>457.5</v>
      </c>
      <c r="S17" s="9">
        <v>1223.75</v>
      </c>
      <c r="T17" s="9">
        <v>1131.25</v>
      </c>
      <c r="U17" s="9">
        <v>1439.1131250000001</v>
      </c>
      <c r="V17" s="9">
        <v>283.67437499999994</v>
      </c>
      <c r="W17" s="9">
        <v>241.10287500000027</v>
      </c>
      <c r="X17" s="10">
        <v>15.072965118866875</v>
      </c>
      <c r="Y17" s="9">
        <v>35.428466196148058</v>
      </c>
      <c r="Z17" s="9">
        <v>24.183790100453262</v>
      </c>
      <c r="AA17" s="9">
        <v>37.683338293721192</v>
      </c>
      <c r="AB17" s="9">
        <v>26.438662198026396</v>
      </c>
      <c r="AC17" s="9">
        <v>33.7970780074115</v>
      </c>
      <c r="AD17" s="9">
        <v>72.831624144321211</v>
      </c>
      <c r="AE17" s="9">
        <v>64.330470909622903</v>
      </c>
      <c r="AF17" s="9">
        <v>55.219645928036499</v>
      </c>
      <c r="AG17" s="9">
        <v>62.075598812049925</v>
      </c>
      <c r="AH17" s="9">
        <v>62.075598812049925</v>
      </c>
      <c r="AI17" s="9">
        <v>52.964773830463379</v>
      </c>
      <c r="AJ17" s="9">
        <v>52.964773830463379</v>
      </c>
      <c r="AK17" s="9">
        <v>49.981118864932903</v>
      </c>
      <c r="AL17" s="9">
        <v>49.981118864932903</v>
      </c>
      <c r="AM17" s="9">
        <v>47.219614112525427</v>
      </c>
      <c r="AN17" s="9">
        <v>35.974938016830478</v>
      </c>
      <c r="AO17" s="9">
        <v>37.442898284975136</v>
      </c>
      <c r="AP17" s="9">
        <v>69.043075457951119</v>
      </c>
      <c r="AQ17" s="9">
        <v>78.153900439537523</v>
      </c>
      <c r="AR17" s="9">
        <v>78.153900439537523</v>
      </c>
      <c r="AS17" s="9">
        <v>78.153900439537523</v>
      </c>
      <c r="AT17" s="9">
        <v>69.043075457951119</v>
      </c>
      <c r="AU17" s="9">
        <v>59.932250476364729</v>
      </c>
      <c r="AV17" s="9">
        <v>59.932250476364729</v>
      </c>
      <c r="AW17" s="9">
        <v>44.978704382779185</v>
      </c>
      <c r="AX17" s="9">
        <v>55.91169436068293</v>
      </c>
      <c r="AY17" s="9">
        <v>55.91169436068293</v>
      </c>
      <c r="AZ17" s="9">
        <v>44.978704382779185</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row>
    <row r="18" spans="1:76">
      <c r="A18" s="3" t="s">
        <v>66</v>
      </c>
      <c r="B18" t="s">
        <v>12</v>
      </c>
      <c r="C18" t="s">
        <v>200</v>
      </c>
      <c r="D18" t="s">
        <v>5183</v>
      </c>
      <c r="E18" t="s">
        <v>5185</v>
      </c>
      <c r="F18" s="91" t="s">
        <v>4971</v>
      </c>
      <c r="G18" t="s">
        <v>4998</v>
      </c>
      <c r="H18" s="3" t="s">
        <v>5187</v>
      </c>
      <c r="I18" s="3" t="s">
        <v>46</v>
      </c>
      <c r="J18" s="124"/>
      <c r="K18" s="124"/>
      <c r="L18" s="6"/>
      <c r="M18" s="124">
        <v>1.25</v>
      </c>
      <c r="N18" s="9">
        <v>0</v>
      </c>
      <c r="O18" s="9">
        <v>0</v>
      </c>
      <c r="P18" s="9">
        <v>2419.5</v>
      </c>
      <c r="Q18" s="9">
        <v>3382.2624999999998</v>
      </c>
      <c r="R18" s="9">
        <v>941.0125000000005</v>
      </c>
      <c r="S18" s="9">
        <v>0</v>
      </c>
      <c r="T18" s="9">
        <v>5503.0474999999988</v>
      </c>
      <c r="U18" s="9">
        <v>3895.9564687500006</v>
      </c>
      <c r="V18" s="9">
        <v>1896.7460312499998</v>
      </c>
      <c r="W18" s="9">
        <v>1723.75</v>
      </c>
      <c r="X18" s="10">
        <v>52.288335233294958</v>
      </c>
      <c r="Y18" s="9">
        <v>122.90186454069837</v>
      </c>
      <c r="Z18" s="9">
        <v>83.893919611166879</v>
      </c>
      <c r="AA18" s="9">
        <v>130.72404864424459</v>
      </c>
      <c r="AB18" s="9">
        <v>91.7161037147131</v>
      </c>
      <c r="AC18" s="9">
        <v>117.24255518546597</v>
      </c>
      <c r="AD18" s="9">
        <v>252.65396349101979</v>
      </c>
      <c r="AE18" s="9">
        <v>223.16333927076482</v>
      </c>
      <c r="AF18" s="9">
        <v>191.55775489289283</v>
      </c>
      <c r="AG18" s="9">
        <v>215.34115516721911</v>
      </c>
      <c r="AH18" s="9">
        <v>215.34115516721911</v>
      </c>
      <c r="AI18" s="9">
        <v>183.73557078934664</v>
      </c>
      <c r="AJ18" s="9">
        <v>183.73557078934664</v>
      </c>
      <c r="AK18" s="9">
        <v>173.38522831672563</v>
      </c>
      <c r="AL18" s="9">
        <v>173.38522831672563</v>
      </c>
      <c r="AM18" s="9">
        <v>163.80552816459826</v>
      </c>
      <c r="AN18" s="9">
        <v>124.79758323506628</v>
      </c>
      <c r="AO18" s="9">
        <v>129.88995875670986</v>
      </c>
      <c r="AP18" s="9">
        <v>239.51143299364477</v>
      </c>
      <c r="AQ18" s="9">
        <v>271.11701737151679</v>
      </c>
      <c r="AR18" s="9">
        <v>271.11701737151679</v>
      </c>
      <c r="AS18" s="9">
        <v>271.11701737151679</v>
      </c>
      <c r="AT18" s="9">
        <v>239.51143299364477</v>
      </c>
      <c r="AU18" s="9">
        <v>207.90584861577287</v>
      </c>
      <c r="AV18" s="9">
        <v>207.90584861577287</v>
      </c>
      <c r="AW18" s="9">
        <v>156.0317797181259</v>
      </c>
      <c r="AX18" s="9">
        <v>193.9584809715725</v>
      </c>
      <c r="AY18" s="9">
        <v>193.9584809715725</v>
      </c>
      <c r="AZ18" s="9">
        <v>156.0317797181259</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row>
    <row r="19" spans="1:76">
      <c r="A19" s="3" t="s">
        <v>66</v>
      </c>
      <c r="B19" t="s">
        <v>12</v>
      </c>
      <c r="C19" t="s">
        <v>200</v>
      </c>
      <c r="D19" t="s">
        <v>4967</v>
      </c>
      <c r="E19" t="s">
        <v>4968</v>
      </c>
      <c r="F19" s="91" t="s">
        <v>4973</v>
      </c>
      <c r="G19" t="s">
        <v>4983</v>
      </c>
      <c r="H19" s="3" t="s">
        <v>4984</v>
      </c>
      <c r="I19" s="3" t="s">
        <v>199</v>
      </c>
      <c r="J19" s="124"/>
      <c r="K19" s="124"/>
      <c r="L19" s="6"/>
      <c r="M19" s="124">
        <v>1.25</v>
      </c>
      <c r="N19" s="9">
        <v>0</v>
      </c>
      <c r="O19" s="9">
        <v>0</v>
      </c>
      <c r="P19" s="9">
        <v>1493.2699996140836</v>
      </c>
      <c r="Q19" s="9">
        <v>6221.6200003859149</v>
      </c>
      <c r="R19" s="9">
        <v>0</v>
      </c>
      <c r="S19" s="9">
        <v>0</v>
      </c>
      <c r="T19" s="9">
        <v>0</v>
      </c>
      <c r="U19" s="9">
        <v>0</v>
      </c>
      <c r="V19" s="9">
        <v>0</v>
      </c>
      <c r="W19" s="9">
        <v>1281.6846250000015</v>
      </c>
      <c r="X19" s="10">
        <v>5297.0066268050341</v>
      </c>
      <c r="Y19" s="9">
        <v>5144.0879260912207</v>
      </c>
      <c r="Z19" s="9">
        <v>8899.0914248767222</v>
      </c>
      <c r="AA19" s="9">
        <v>6448.6392741648724</v>
      </c>
      <c r="AB19" s="9">
        <v>6376.2044113891307</v>
      </c>
      <c r="AC19" s="9">
        <v>3943.8406687253755</v>
      </c>
      <c r="AD19" s="9">
        <v>6323.4730376675616</v>
      </c>
      <c r="AE19" s="9">
        <v>12213.045280856115</v>
      </c>
      <c r="AF19" s="9">
        <v>9713.2201561671973</v>
      </c>
      <c r="AG19" s="9">
        <v>8272.9745756235134</v>
      </c>
      <c r="AH19" s="9">
        <v>8272.9745756235134</v>
      </c>
      <c r="AI19" s="9">
        <v>2515.7105873685646</v>
      </c>
      <c r="AJ19" s="9">
        <v>2515.7105873685646</v>
      </c>
      <c r="AK19" s="9">
        <v>2538.1250019769318</v>
      </c>
      <c r="AL19" s="9">
        <v>2538.1250019769318</v>
      </c>
      <c r="AM19" s="9">
        <v>2558.8705349485808</v>
      </c>
      <c r="AN19" s="9">
        <v>2643.3450586644581</v>
      </c>
      <c r="AO19" s="9">
        <v>2632.3171514637497</v>
      </c>
      <c r="AP19" s="9">
        <v>2394.9239270340586</v>
      </c>
      <c r="AQ19" s="9">
        <v>2326.4797500361205</v>
      </c>
      <c r="AR19" s="9">
        <v>2326.4797500361205</v>
      </c>
      <c r="AS19" s="9">
        <v>2326.4797500361205</v>
      </c>
      <c r="AT19" s="9">
        <v>2394.9239270340586</v>
      </c>
      <c r="AU19" s="9">
        <v>2463.3681040319971</v>
      </c>
      <c r="AV19" s="9">
        <v>2463.3681040319971</v>
      </c>
      <c r="AW19" s="9">
        <v>2492.6017578281644</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0</v>
      </c>
      <c r="BW19" s="9">
        <v>0</v>
      </c>
      <c r="BX19" s="9">
        <v>0</v>
      </c>
    </row>
    <row r="20" spans="1:76">
      <c r="A20" s="3" t="s">
        <v>66</v>
      </c>
      <c r="B20" t="s">
        <v>2626</v>
      </c>
      <c r="C20" t="s">
        <v>205</v>
      </c>
      <c r="D20" t="s">
        <v>4967</v>
      </c>
      <c r="E20" t="s">
        <v>4968</v>
      </c>
      <c r="F20" s="91" t="s">
        <v>4973</v>
      </c>
      <c r="G20" t="s">
        <v>4983</v>
      </c>
      <c r="H20" s="3" t="s">
        <v>4984</v>
      </c>
      <c r="I20" s="3" t="s">
        <v>204</v>
      </c>
      <c r="J20" s="124"/>
      <c r="K20" s="124"/>
      <c r="L20" s="6"/>
      <c r="M20" s="124">
        <f>1.2*1.13</f>
        <v>1.3559999999999999</v>
      </c>
      <c r="N20" s="9">
        <v>0</v>
      </c>
      <c r="O20" s="9">
        <v>0</v>
      </c>
      <c r="P20" s="9">
        <v>0</v>
      </c>
      <c r="Q20" s="9">
        <v>0</v>
      </c>
      <c r="R20" s="9">
        <v>0</v>
      </c>
      <c r="S20" s="9">
        <v>0</v>
      </c>
      <c r="T20" s="9">
        <v>0</v>
      </c>
      <c r="U20" s="9">
        <v>0</v>
      </c>
      <c r="V20" s="9">
        <v>0</v>
      </c>
      <c r="W20" s="9">
        <v>0</v>
      </c>
      <c r="X20" s="10">
        <v>0</v>
      </c>
      <c r="Y20" s="9">
        <v>0</v>
      </c>
      <c r="Z20" s="9">
        <v>0</v>
      </c>
      <c r="AA20" s="9">
        <v>0</v>
      </c>
      <c r="AB20" s="9">
        <v>0</v>
      </c>
      <c r="AC20" s="9">
        <v>0</v>
      </c>
      <c r="AD20" s="9">
        <v>0</v>
      </c>
      <c r="AE20" s="9">
        <v>2542.4999999999995</v>
      </c>
      <c r="AF20" s="9">
        <v>2542.4999999999995</v>
      </c>
      <c r="AG20" s="9">
        <v>2542.4999999999995</v>
      </c>
      <c r="AH20" s="9">
        <v>2542.4999999999995</v>
      </c>
      <c r="AI20" s="9">
        <v>2542.4999999999995</v>
      </c>
      <c r="AJ20" s="9">
        <v>2542.4999999999995</v>
      </c>
      <c r="AK20" s="9">
        <v>2542.4999999999995</v>
      </c>
      <c r="AL20" s="9">
        <v>2542.4999999999995</v>
      </c>
      <c r="AM20" s="9">
        <v>0</v>
      </c>
      <c r="AN20" s="9">
        <v>0</v>
      </c>
      <c r="AO20" s="9">
        <v>0</v>
      </c>
      <c r="AP20" s="9">
        <v>0</v>
      </c>
      <c r="AQ20" s="9">
        <v>2542.4999999999995</v>
      </c>
      <c r="AR20" s="9">
        <v>2542.4999999999995</v>
      </c>
      <c r="AS20" s="9">
        <v>2542.4999999999995</v>
      </c>
      <c r="AT20" s="9">
        <v>2542.4999999999995</v>
      </c>
      <c r="AU20" s="9">
        <v>2542.4999999999995</v>
      </c>
      <c r="AV20" s="9">
        <v>2542.4999999999995</v>
      </c>
      <c r="AW20" s="9">
        <v>2542.4999999999995</v>
      </c>
      <c r="AX20" s="9">
        <v>2542.4999999999995</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row>
    <row r="21" spans="1:76">
      <c r="A21" s="3" t="s">
        <v>66</v>
      </c>
      <c r="B21" t="s">
        <v>2640</v>
      </c>
      <c r="C21" t="s">
        <v>252</v>
      </c>
      <c r="D21" t="s">
        <v>4967</v>
      </c>
      <c r="E21" t="s">
        <v>4968</v>
      </c>
      <c r="F21" s="91" t="s">
        <v>4973</v>
      </c>
      <c r="G21" t="s">
        <v>4983</v>
      </c>
      <c r="H21" s="3" t="s">
        <v>4984</v>
      </c>
      <c r="I21" s="3" t="s">
        <v>251</v>
      </c>
      <c r="J21" s="124"/>
      <c r="K21" s="124"/>
      <c r="L21" s="6"/>
      <c r="M21" s="124">
        <f>1.13*1.2</f>
        <v>1.3559999999999999</v>
      </c>
      <c r="N21" s="9">
        <v>0</v>
      </c>
      <c r="O21" s="9">
        <v>0</v>
      </c>
      <c r="P21" s="9">
        <v>0</v>
      </c>
      <c r="Q21" s="9">
        <v>0</v>
      </c>
      <c r="R21" s="9">
        <v>0</v>
      </c>
      <c r="S21" s="9">
        <v>0</v>
      </c>
      <c r="T21" s="9">
        <v>0</v>
      </c>
      <c r="U21" s="9">
        <v>0</v>
      </c>
      <c r="V21" s="9">
        <v>0</v>
      </c>
      <c r="W21" s="9">
        <v>0</v>
      </c>
      <c r="X21" s="10">
        <v>160.5504</v>
      </c>
      <c r="Y21" s="9">
        <v>443.6261052631578</v>
      </c>
      <c r="Z21" s="9">
        <v>955.26314385964895</v>
      </c>
      <c r="AA21" s="9">
        <v>902.45051228070167</v>
      </c>
      <c r="AB21" s="9">
        <v>902.45051228070167</v>
      </c>
      <c r="AC21" s="9">
        <v>741.90011228070171</v>
      </c>
      <c r="AD21" s="9">
        <v>511.63703859649115</v>
      </c>
      <c r="AE21" s="9">
        <v>472.11558596491221</v>
      </c>
      <c r="AF21" s="9">
        <v>632.34911017543857</v>
      </c>
      <c r="AG21" s="9">
        <v>535.96605754385962</v>
      </c>
      <c r="AH21" s="9">
        <v>588.7786891228069</v>
      </c>
      <c r="AI21" s="9">
        <v>655.67468912280697</v>
      </c>
      <c r="AJ21" s="9">
        <v>532.44521543859651</v>
      </c>
      <c r="AK21" s="9">
        <v>266.41038596491228</v>
      </c>
      <c r="AL21" s="9">
        <v>266.41038596491228</v>
      </c>
      <c r="AM21" s="9">
        <v>266.41038596491228</v>
      </c>
      <c r="AN21" s="9">
        <v>266.41038596491228</v>
      </c>
      <c r="AO21" s="9">
        <v>458.29628070175437</v>
      </c>
      <c r="AP21" s="9">
        <v>458.29628070175437</v>
      </c>
      <c r="AQ21" s="9">
        <v>511.10891228070165</v>
      </c>
      <c r="AR21" s="9">
        <v>616.73417543859637</v>
      </c>
      <c r="AS21" s="9">
        <v>616.73417543859648</v>
      </c>
      <c r="AT21" s="9">
        <v>616.73417543859637</v>
      </c>
      <c r="AU21" s="9">
        <v>616.73417543859648</v>
      </c>
      <c r="AV21" s="9">
        <v>511.10891228070165</v>
      </c>
      <c r="AW21" s="9">
        <v>458.29628070175437</v>
      </c>
      <c r="AX21" s="9">
        <v>458.29628070175437</v>
      </c>
      <c r="AY21" s="9">
        <v>458.29628070175437</v>
      </c>
      <c r="AZ21" s="9">
        <v>458.29628070175437</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row>
    <row r="22" spans="1:76">
      <c r="A22" s="3" t="s">
        <v>66</v>
      </c>
      <c r="B22" t="s">
        <v>2641</v>
      </c>
      <c r="C22" t="s">
        <v>256</v>
      </c>
      <c r="D22" t="s">
        <v>4967</v>
      </c>
      <c r="E22" t="s">
        <v>4968</v>
      </c>
      <c r="F22" s="91" t="s">
        <v>4973</v>
      </c>
      <c r="G22" t="s">
        <v>4983</v>
      </c>
      <c r="H22" s="3" t="s">
        <v>4984</v>
      </c>
      <c r="I22" s="3" t="s">
        <v>255</v>
      </c>
      <c r="J22" s="124"/>
      <c r="K22" s="124"/>
      <c r="L22" s="6"/>
      <c r="M22" s="124">
        <v>1.2</v>
      </c>
      <c r="N22" s="9">
        <v>0</v>
      </c>
      <c r="O22" s="9">
        <v>0</v>
      </c>
      <c r="P22" s="9">
        <v>0</v>
      </c>
      <c r="Q22" s="9">
        <v>0</v>
      </c>
      <c r="R22" s="9">
        <v>0</v>
      </c>
      <c r="S22" s="9">
        <v>0</v>
      </c>
      <c r="T22" s="9">
        <v>0</v>
      </c>
      <c r="U22" s="9">
        <v>0</v>
      </c>
      <c r="V22" s="9">
        <v>0</v>
      </c>
      <c r="W22" s="9">
        <v>0</v>
      </c>
      <c r="X22" s="10">
        <v>70.079331157838723</v>
      </c>
      <c r="Y22" s="9">
        <v>193.64025714665965</v>
      </c>
      <c r="Z22" s="9">
        <v>612.55294763101494</v>
      </c>
      <c r="AA22" s="9">
        <v>589.50053606593633</v>
      </c>
      <c r="AB22" s="9">
        <v>589.50053606593633</v>
      </c>
      <c r="AC22" s="9">
        <v>519.42120490809759</v>
      </c>
      <c r="AD22" s="9">
        <v>418.91269048435521</v>
      </c>
      <c r="AE22" s="9">
        <v>398.69837749648821</v>
      </c>
      <c r="AF22" s="9">
        <v>661.26201918493632</v>
      </c>
      <c r="AG22" s="9">
        <v>619.19136807866801</v>
      </c>
      <c r="AH22" s="9">
        <v>642.24377964374651</v>
      </c>
      <c r="AI22" s="9">
        <v>671.44350095951256</v>
      </c>
      <c r="AJ22" s="9">
        <v>521.34322814099608</v>
      </c>
      <c r="AK22" s="9">
        <v>308.9092344505072</v>
      </c>
      <c r="AL22" s="9">
        <v>212.59792195050721</v>
      </c>
      <c r="AM22" s="9">
        <v>116.28660945050726</v>
      </c>
      <c r="AN22" s="9">
        <v>116.28660945050726</v>
      </c>
      <c r="AO22" s="9">
        <v>200.0437048036259</v>
      </c>
      <c r="AP22" s="9">
        <v>200.0437048036259</v>
      </c>
      <c r="AQ22" s="9">
        <v>417.88204161870442</v>
      </c>
      <c r="AR22" s="9">
        <v>658.77278999886141</v>
      </c>
      <c r="AS22" s="9">
        <v>658.77278999886141</v>
      </c>
      <c r="AT22" s="9">
        <v>658.77278999886141</v>
      </c>
      <c r="AU22" s="9">
        <v>658.77278999886141</v>
      </c>
      <c r="AV22" s="9">
        <v>417.88204161870442</v>
      </c>
      <c r="AW22" s="9">
        <v>200.0437048036259</v>
      </c>
      <c r="AX22" s="9">
        <v>200.0437048036259</v>
      </c>
      <c r="AY22" s="9">
        <v>200.0437048036259</v>
      </c>
      <c r="AZ22" s="9">
        <v>200.0437048036259</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row>
    <row r="23" spans="1:76">
      <c r="A23" s="3" t="s">
        <v>66</v>
      </c>
      <c r="B23" t="s">
        <v>2642</v>
      </c>
      <c r="C23" t="s">
        <v>261</v>
      </c>
      <c r="D23" t="s">
        <v>4967</v>
      </c>
      <c r="E23" t="s">
        <v>4968</v>
      </c>
      <c r="F23" s="91" t="s">
        <v>4973</v>
      </c>
      <c r="G23" t="s">
        <v>4983</v>
      </c>
      <c r="H23" s="3" t="s">
        <v>4984</v>
      </c>
      <c r="I23" s="3" t="s">
        <v>260</v>
      </c>
      <c r="J23" s="124"/>
      <c r="K23" s="124"/>
      <c r="L23" s="6"/>
      <c r="M23" s="124">
        <v>1.05</v>
      </c>
      <c r="N23" s="9">
        <v>0</v>
      </c>
      <c r="O23" s="9">
        <v>0</v>
      </c>
      <c r="P23" s="9">
        <v>0</v>
      </c>
      <c r="Q23" s="9">
        <v>0</v>
      </c>
      <c r="R23" s="9">
        <v>0</v>
      </c>
      <c r="S23" s="9">
        <v>0</v>
      </c>
      <c r="T23" s="9">
        <v>0</v>
      </c>
      <c r="U23" s="9">
        <v>0</v>
      </c>
      <c r="V23" s="9">
        <v>0</v>
      </c>
      <c r="W23" s="9">
        <v>0</v>
      </c>
      <c r="X23" s="10">
        <v>1305.8101134750002</v>
      </c>
      <c r="Y23" s="9">
        <v>3608.1595240756578</v>
      </c>
      <c r="Z23" s="9">
        <v>10179.605136220589</v>
      </c>
      <c r="AA23" s="9">
        <v>9750.0623357353907</v>
      </c>
      <c r="AB23" s="9">
        <v>9750.0623357353907</v>
      </c>
      <c r="AC23" s="9">
        <v>8444.2522222603911</v>
      </c>
      <c r="AD23" s="9">
        <v>6571.4456121449302</v>
      </c>
      <c r="AE23" s="9">
        <v>6213.4872889485059</v>
      </c>
      <c r="AF23" s="9">
        <v>9890.333433120597</v>
      </c>
      <c r="AG23" s="9">
        <v>9106.4178222351093</v>
      </c>
      <c r="AH23" s="9">
        <v>9535.9606227203076</v>
      </c>
      <c r="AI23" s="9">
        <v>10080.048170001559</v>
      </c>
      <c r="AJ23" s="9">
        <v>7890.9749917860945</v>
      </c>
      <c r="AK23" s="9">
        <v>4540.4180810586631</v>
      </c>
      <c r="AL23" s="9">
        <v>3353.6114373086625</v>
      </c>
      <c r="AM23" s="9">
        <v>2166.8047935586624</v>
      </c>
      <c r="AN23" s="9">
        <v>2166.8047935586624</v>
      </c>
      <c r="AO23" s="9">
        <v>3727.4769686548798</v>
      </c>
      <c r="AP23" s="9">
        <v>3727.4769686548798</v>
      </c>
      <c r="AQ23" s="9">
        <v>6557.2905597150775</v>
      </c>
      <c r="AR23" s="9">
        <v>9816.6469512604708</v>
      </c>
      <c r="AS23" s="9">
        <v>9816.6469512604708</v>
      </c>
      <c r="AT23" s="9">
        <v>9816.6469512604708</v>
      </c>
      <c r="AU23" s="9">
        <v>9816.6469512604708</v>
      </c>
      <c r="AV23" s="9">
        <v>6557.2905597150775</v>
      </c>
      <c r="AW23" s="9">
        <v>3727.4769686548798</v>
      </c>
      <c r="AX23" s="9">
        <v>3727.4769686548798</v>
      </c>
      <c r="AY23" s="9">
        <v>3727.4769686548798</v>
      </c>
      <c r="AZ23" s="9">
        <v>3727.4769686548798</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row>
    <row r="24" spans="1:76">
      <c r="A24" s="3" t="s">
        <v>66</v>
      </c>
      <c r="B24" t="s">
        <v>2643</v>
      </c>
      <c r="C24" t="s">
        <v>265</v>
      </c>
      <c r="D24" t="s">
        <v>4967</v>
      </c>
      <c r="E24" t="s">
        <v>4968</v>
      </c>
      <c r="F24" s="91" t="s">
        <v>4973</v>
      </c>
      <c r="G24" t="s">
        <v>4983</v>
      </c>
      <c r="H24" s="3" t="s">
        <v>4984</v>
      </c>
      <c r="I24" s="3" t="s">
        <v>264</v>
      </c>
      <c r="J24" s="124"/>
      <c r="K24" s="124"/>
      <c r="L24" s="6"/>
      <c r="M24" s="124">
        <v>1.05</v>
      </c>
      <c r="N24" s="9">
        <v>0</v>
      </c>
      <c r="O24" s="9">
        <v>0</v>
      </c>
      <c r="P24" s="9">
        <v>0</v>
      </c>
      <c r="Q24" s="9">
        <v>0</v>
      </c>
      <c r="R24" s="9">
        <v>0</v>
      </c>
      <c r="S24" s="9">
        <v>0</v>
      </c>
      <c r="T24" s="9">
        <v>0</v>
      </c>
      <c r="U24" s="9">
        <v>0</v>
      </c>
      <c r="V24" s="9">
        <v>0</v>
      </c>
      <c r="W24" s="9">
        <v>0</v>
      </c>
      <c r="X24" s="10">
        <v>0</v>
      </c>
      <c r="Y24" s="9">
        <v>0</v>
      </c>
      <c r="Z24" s="9">
        <v>0</v>
      </c>
      <c r="AA24" s="9">
        <v>0</v>
      </c>
      <c r="AB24" s="9">
        <v>0</v>
      </c>
      <c r="AC24" s="9">
        <v>2484.2864267064142</v>
      </c>
      <c r="AD24" s="9">
        <v>2484.2864267064142</v>
      </c>
      <c r="AE24" s="9">
        <v>2906.6926461245885</v>
      </c>
      <c r="AF24" s="9">
        <v>3511.4512810752467</v>
      </c>
      <c r="AG24" s="9">
        <v>3149.2566467722036</v>
      </c>
      <c r="AH24" s="9">
        <v>2138.3410402754935</v>
      </c>
      <c r="AI24" s="9">
        <v>1773.534272286184</v>
      </c>
      <c r="AJ24" s="9">
        <v>1571.4099199013153</v>
      </c>
      <c r="AK24" s="9">
        <v>906.28805715460521</v>
      </c>
      <c r="AL24" s="9">
        <v>665.93735814144736</v>
      </c>
      <c r="AM24" s="9">
        <v>578.49204564144736</v>
      </c>
      <c r="AN24" s="9">
        <v>578.49204564144736</v>
      </c>
      <c r="AO24" s="9">
        <v>995.15922388980255</v>
      </c>
      <c r="AP24" s="9">
        <v>995.15922388980255</v>
      </c>
      <c r="AQ24" s="9">
        <v>1286.6930450246709</v>
      </c>
      <c r="AR24" s="9">
        <v>1692.9059060444079</v>
      </c>
      <c r="AS24" s="9">
        <v>1692.9059060444079</v>
      </c>
      <c r="AT24" s="9">
        <v>1692.9059060444079</v>
      </c>
      <c r="AU24" s="9">
        <v>1692.9059060444079</v>
      </c>
      <c r="AV24" s="9">
        <v>1286.6930450246709</v>
      </c>
      <c r="AW24" s="9">
        <v>995.15922388980255</v>
      </c>
      <c r="AX24" s="9">
        <v>995.15922388980255</v>
      </c>
      <c r="AY24" s="9">
        <v>995.15922388980255</v>
      </c>
      <c r="AZ24" s="9">
        <v>995.15922388980255</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row>
    <row r="25" spans="1:76">
      <c r="A25" s="3" t="s">
        <v>66</v>
      </c>
      <c r="B25" t="s">
        <v>2650</v>
      </c>
      <c r="C25" t="s">
        <v>300</v>
      </c>
      <c r="D25" t="s">
        <v>4967</v>
      </c>
      <c r="E25" t="s">
        <v>4968</v>
      </c>
      <c r="F25" s="91" t="s">
        <v>4973</v>
      </c>
      <c r="G25" t="s">
        <v>4983</v>
      </c>
      <c r="H25" s="3" t="s">
        <v>4984</v>
      </c>
      <c r="I25" s="3" t="s">
        <v>299</v>
      </c>
      <c r="J25" s="124"/>
      <c r="K25" s="124"/>
      <c r="L25" s="6"/>
      <c r="M25" s="124">
        <v>1.05</v>
      </c>
      <c r="N25" s="9">
        <v>0</v>
      </c>
      <c r="O25" s="9">
        <v>0</v>
      </c>
      <c r="P25" s="9">
        <v>0</v>
      </c>
      <c r="Q25" s="9">
        <v>0</v>
      </c>
      <c r="R25" s="9">
        <v>0</v>
      </c>
      <c r="S25" s="9">
        <v>0</v>
      </c>
      <c r="T25" s="9">
        <v>0</v>
      </c>
      <c r="U25" s="9">
        <v>0</v>
      </c>
      <c r="V25" s="9">
        <v>0</v>
      </c>
      <c r="W25" s="9">
        <v>0</v>
      </c>
      <c r="X25" s="10">
        <v>0</v>
      </c>
      <c r="Y25" s="9">
        <v>0</v>
      </c>
      <c r="Z25" s="9">
        <v>0</v>
      </c>
      <c r="AA25" s="9">
        <v>0</v>
      </c>
      <c r="AB25" s="9">
        <v>0</v>
      </c>
      <c r="AC25" s="9">
        <v>55.353768749999993</v>
      </c>
      <c r="AD25" s="9">
        <v>55.353768749999993</v>
      </c>
      <c r="AE25" s="9">
        <v>66.082471874999996</v>
      </c>
      <c r="AF25" s="9">
        <v>80.755644375000003</v>
      </c>
      <c r="AG25" s="9">
        <v>72.921003749999997</v>
      </c>
      <c r="AH25" s="9">
        <v>49.437753749999992</v>
      </c>
      <c r="AI25" s="9">
        <v>41.546610000000001</v>
      </c>
      <c r="AJ25" s="9">
        <v>36.378641250000001</v>
      </c>
      <c r="AK25" s="9">
        <v>21.195562499999998</v>
      </c>
      <c r="AL25" s="9">
        <v>15.200718749999995</v>
      </c>
      <c r="AM25" s="9">
        <v>12.513374999999996</v>
      </c>
      <c r="AN25" s="9">
        <v>12.513374999999996</v>
      </c>
      <c r="AO25" s="9">
        <v>21.526312499999996</v>
      </c>
      <c r="AP25" s="9">
        <v>21.526312499999996</v>
      </c>
      <c r="AQ25" s="9">
        <v>29.441986874999994</v>
      </c>
      <c r="AR25" s="9">
        <v>39.838286249999996</v>
      </c>
      <c r="AS25" s="9">
        <v>39.838286249999996</v>
      </c>
      <c r="AT25" s="9">
        <v>39.838286249999996</v>
      </c>
      <c r="AU25" s="9">
        <v>39.838286249999996</v>
      </c>
      <c r="AV25" s="9">
        <v>29.441986874999994</v>
      </c>
      <c r="AW25" s="9">
        <v>21.526312499999996</v>
      </c>
      <c r="AX25" s="9">
        <v>21.526312499999996</v>
      </c>
      <c r="AY25" s="9">
        <v>21.526312499999996</v>
      </c>
      <c r="AZ25" s="9">
        <v>21.526312499999996</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row>
    <row r="26" spans="1:76">
      <c r="A26" s="3" t="s">
        <v>66</v>
      </c>
      <c r="B26" t="s">
        <v>21</v>
      </c>
      <c r="C26" t="s">
        <v>328</v>
      </c>
      <c r="D26" t="s">
        <v>72</v>
      </c>
      <c r="E26" t="s">
        <v>4974</v>
      </c>
      <c r="F26" s="91" t="s">
        <v>30</v>
      </c>
      <c r="G26" t="s">
        <v>34</v>
      </c>
      <c r="H26" s="3" t="s">
        <v>32</v>
      </c>
      <c r="I26" s="3" t="s">
        <v>55</v>
      </c>
      <c r="J26" s="124"/>
      <c r="K26" s="124"/>
      <c r="L26" s="6"/>
      <c r="M26" s="124">
        <v>2</v>
      </c>
      <c r="N26" s="9">
        <v>0</v>
      </c>
      <c r="O26" s="9">
        <v>0</v>
      </c>
      <c r="P26" s="9">
        <v>0</v>
      </c>
      <c r="Q26" s="9">
        <v>0</v>
      </c>
      <c r="R26" s="9">
        <v>0</v>
      </c>
      <c r="S26" s="9">
        <v>0</v>
      </c>
      <c r="T26" s="9">
        <v>461.02600000000001</v>
      </c>
      <c r="U26" s="9">
        <v>1366.2538700144996</v>
      </c>
      <c r="V26" s="9">
        <v>2700.8489299855019</v>
      </c>
      <c r="W26" s="9">
        <v>2036.9420000000009</v>
      </c>
      <c r="X26" s="10">
        <v>1303.815942781458</v>
      </c>
      <c r="Y26" s="9">
        <v>2048.8536243708622</v>
      </c>
      <c r="Z26" s="9">
        <v>1885.8766315231778</v>
      </c>
      <c r="AA26" s="9">
        <v>1024.4268121854295</v>
      </c>
      <c r="AB26" s="9">
        <v>1024.4268121854295</v>
      </c>
      <c r="AC26" s="9">
        <v>1024.4268121854295</v>
      </c>
      <c r="AD26" s="9">
        <v>1024.4268121854295</v>
      </c>
      <c r="AE26" s="9">
        <v>1024.4268121854295</v>
      </c>
      <c r="AF26" s="9">
        <v>768.3201091390722</v>
      </c>
      <c r="AG26" s="9">
        <v>1024.4268121854295</v>
      </c>
      <c r="AH26" s="9">
        <v>768.3201091390722</v>
      </c>
      <c r="AI26" s="9">
        <v>1024.4268121854295</v>
      </c>
      <c r="AJ26" s="9">
        <v>1024.4268121854295</v>
      </c>
      <c r="AK26" s="9">
        <v>1024.4268121854295</v>
      </c>
      <c r="AL26" s="9">
        <v>1024.4268121854295</v>
      </c>
      <c r="AM26" s="9">
        <v>1024.4268121854295</v>
      </c>
      <c r="AN26" s="9">
        <v>1024.4268121854295</v>
      </c>
      <c r="AO26" s="9">
        <v>1024.4268121854295</v>
      </c>
      <c r="AP26" s="9">
        <v>1024.4268121854295</v>
      </c>
      <c r="AQ26" s="9">
        <v>768.3201091390722</v>
      </c>
      <c r="AR26" s="9">
        <v>908.0146744370852</v>
      </c>
      <c r="AS26" s="9">
        <v>558.77826119205417</v>
      </c>
      <c r="AT26" s="9">
        <v>419.08369589403867</v>
      </c>
      <c r="AU26" s="9">
        <v>558.77826119205417</v>
      </c>
      <c r="AV26" s="9">
        <v>558.77826119205417</v>
      </c>
      <c r="AW26" s="9">
        <v>558.77826119205417</v>
      </c>
      <c r="AX26" s="9">
        <v>558.77826119205417</v>
      </c>
      <c r="AY26" s="9">
        <v>360.87762701986645</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row>
    <row r="27" spans="1:76">
      <c r="A27" s="3" t="s">
        <v>66</v>
      </c>
      <c r="B27" t="s">
        <v>21</v>
      </c>
      <c r="C27" t="s">
        <v>328</v>
      </c>
      <c r="D27" t="s">
        <v>74</v>
      </c>
      <c r="E27" t="s">
        <v>4975</v>
      </c>
      <c r="F27" s="91" t="s">
        <v>68</v>
      </c>
      <c r="G27" t="s">
        <v>4976</v>
      </c>
      <c r="H27" s="3" t="s">
        <v>69</v>
      </c>
      <c r="I27" s="3" t="s">
        <v>55</v>
      </c>
      <c r="J27" s="124"/>
      <c r="K27" s="124"/>
      <c r="L27" s="6"/>
      <c r="M27" s="124">
        <v>2</v>
      </c>
      <c r="N27" s="9">
        <v>0</v>
      </c>
      <c r="O27" s="9">
        <v>0</v>
      </c>
      <c r="P27" s="9">
        <v>0</v>
      </c>
      <c r="Q27" s="9">
        <v>0</v>
      </c>
      <c r="R27" s="9">
        <v>205.7</v>
      </c>
      <c r="S27" s="9">
        <v>1493.66</v>
      </c>
      <c r="T27" s="9">
        <v>1281.652</v>
      </c>
      <c r="U27" s="9">
        <v>2801.38</v>
      </c>
      <c r="V27" s="9">
        <v>1678.02</v>
      </c>
      <c r="W27" s="9">
        <v>4287.5200000000004</v>
      </c>
      <c r="X27" s="10">
        <v>3480.0970020120772</v>
      </c>
      <c r="Y27" s="9">
        <v>3859.743947686125</v>
      </c>
      <c r="Z27" s="9">
        <v>2446.6136498993869</v>
      </c>
      <c r="AA27" s="9">
        <v>2446.6136498993869</v>
      </c>
      <c r="AB27" s="9">
        <v>2678.6201167002114</v>
      </c>
      <c r="AC27" s="9">
        <v>2066.9667042253514</v>
      </c>
      <c r="AD27" s="9">
        <v>1708.4112555332001</v>
      </c>
      <c r="AE27" s="9">
        <v>1708.4112555332001</v>
      </c>
      <c r="AF27" s="9">
        <v>569.47041851106599</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row>
    <row r="28" spans="1:76">
      <c r="A28" s="3" t="s">
        <v>66</v>
      </c>
      <c r="B28" t="s">
        <v>21</v>
      </c>
      <c r="C28" t="s">
        <v>328</v>
      </c>
      <c r="D28" t="s">
        <v>5184</v>
      </c>
      <c r="E28" t="s">
        <v>5185</v>
      </c>
      <c r="F28" s="91" t="s">
        <v>4971</v>
      </c>
      <c r="G28" t="s">
        <v>4998</v>
      </c>
      <c r="H28" s="3" t="s">
        <v>5187</v>
      </c>
      <c r="I28" s="3" t="s">
        <v>55</v>
      </c>
      <c r="J28" s="124"/>
      <c r="K28" s="124"/>
      <c r="L28" s="6"/>
      <c r="M28" s="124">
        <v>2</v>
      </c>
      <c r="N28" s="9">
        <v>0</v>
      </c>
      <c r="O28" s="9">
        <v>0</v>
      </c>
      <c r="P28" s="9">
        <v>0</v>
      </c>
      <c r="Q28" s="9">
        <v>0</v>
      </c>
      <c r="R28" s="9">
        <v>0</v>
      </c>
      <c r="S28" s="9">
        <v>0</v>
      </c>
      <c r="T28" s="9">
        <v>0</v>
      </c>
      <c r="U28" s="9">
        <v>262.26123000000013</v>
      </c>
      <c r="V28" s="9">
        <v>625.2967699999997</v>
      </c>
      <c r="W28" s="9">
        <v>1081.2200000000003</v>
      </c>
      <c r="X28" s="10">
        <v>855.8878853503187</v>
      </c>
      <c r="Y28" s="9">
        <v>855.8878853503187</v>
      </c>
      <c r="Z28" s="9">
        <v>855.8878853503187</v>
      </c>
      <c r="AA28" s="9">
        <v>855.8878853503187</v>
      </c>
      <c r="AB28" s="9">
        <v>855.8878853503187</v>
      </c>
      <c r="AC28" s="9">
        <v>1632.1582929936305</v>
      </c>
      <c r="AD28" s="9">
        <v>1632.1582929936305</v>
      </c>
      <c r="AE28" s="9">
        <v>2030.2456815286614</v>
      </c>
      <c r="AF28" s="9">
        <v>2030.2456815286614</v>
      </c>
      <c r="AG28" s="9">
        <v>1074.8359490445857</v>
      </c>
      <c r="AH28" s="9">
        <v>1472.9233375796186</v>
      </c>
      <c r="AI28" s="9">
        <v>1472.9233375796186</v>
      </c>
      <c r="AJ28" s="9">
        <v>1433.1145987261152</v>
      </c>
      <c r="AK28" s="9">
        <v>1433.1145987261152</v>
      </c>
      <c r="AL28" s="9">
        <v>258.75680254777058</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row>
    <row r="29" spans="1:76">
      <c r="A29" s="3" t="s">
        <v>66</v>
      </c>
      <c r="B29" t="s">
        <v>21</v>
      </c>
      <c r="C29" t="s">
        <v>328</v>
      </c>
      <c r="D29" t="s">
        <v>4967</v>
      </c>
      <c r="E29" t="s">
        <v>4968</v>
      </c>
      <c r="F29" s="91" t="s">
        <v>4973</v>
      </c>
      <c r="G29" t="s">
        <v>4983</v>
      </c>
      <c r="H29" s="3" t="s">
        <v>4984</v>
      </c>
      <c r="I29" s="3" t="s">
        <v>327</v>
      </c>
      <c r="J29" s="124"/>
      <c r="K29" s="124"/>
      <c r="L29" s="6"/>
      <c r="M29" s="124">
        <v>2</v>
      </c>
      <c r="N29" s="9">
        <v>0</v>
      </c>
      <c r="O29" s="9">
        <v>0</v>
      </c>
      <c r="P29" s="9">
        <v>966.00684041541888</v>
      </c>
      <c r="Q29" s="9">
        <v>2371.0609595845813</v>
      </c>
      <c r="R29" s="9">
        <v>153.43553813127767</v>
      </c>
      <c r="S29" s="9">
        <v>0</v>
      </c>
      <c r="T29" s="9">
        <v>0</v>
      </c>
      <c r="U29" s="9">
        <v>905.86489998549951</v>
      </c>
      <c r="V29" s="9">
        <v>1641.4963000144971</v>
      </c>
      <c r="W29" s="9">
        <v>0</v>
      </c>
      <c r="X29" s="10">
        <v>3565.708839423311</v>
      </c>
      <c r="Y29" s="9">
        <v>3593.3427053922514</v>
      </c>
      <c r="Z29" s="9">
        <v>4955.9735033062507</v>
      </c>
      <c r="AA29" s="9">
        <v>6798.7123117230612</v>
      </c>
      <c r="AB29" s="9">
        <v>14029.630163447957</v>
      </c>
      <c r="AC29" s="9">
        <v>12111.820575720863</v>
      </c>
      <c r="AD29" s="9">
        <v>12637.232318953013</v>
      </c>
      <c r="AE29" s="9">
        <v>12459.684239983997</v>
      </c>
      <c r="AF29" s="9">
        <v>12244.653844233617</v>
      </c>
      <c r="AG29" s="9">
        <v>15058.688314006858</v>
      </c>
      <c r="AH29" s="9">
        <v>17606.072889336116</v>
      </c>
      <c r="AI29" s="9">
        <v>20056.400755526141</v>
      </c>
      <c r="AJ29" s="9">
        <v>22057.077337696217</v>
      </c>
      <c r="AK29" s="9">
        <v>22057.077337696217</v>
      </c>
      <c r="AL29" s="9">
        <v>18634.915082263295</v>
      </c>
      <c r="AM29" s="9">
        <v>19520.748694209513</v>
      </c>
      <c r="AN29" s="9">
        <v>19520.748694209513</v>
      </c>
      <c r="AO29" s="9">
        <v>18957.886046361335</v>
      </c>
      <c r="AP29" s="9">
        <v>19538.23452258937</v>
      </c>
      <c r="AQ29" s="9">
        <v>19902.199870642129</v>
      </c>
      <c r="AR29" s="9">
        <v>19420.057812073454</v>
      </c>
      <c r="AS29" s="9">
        <v>23039.64075230583</v>
      </c>
      <c r="AT29" s="9">
        <v>24284.711210185676</v>
      </c>
      <c r="AU29" s="9">
        <v>22712.544422612806</v>
      </c>
      <c r="AV29" s="9">
        <v>22712.544422612806</v>
      </c>
      <c r="AW29" s="9">
        <v>22373.881653991473</v>
      </c>
      <c r="AX29" s="9">
        <v>23138.788523119332</v>
      </c>
      <c r="AY29" s="9">
        <v>22955.549362605878</v>
      </c>
      <c r="AZ29" s="9">
        <v>16486.204502477285</v>
      </c>
      <c r="BA29" s="9">
        <v>11251.581877489158</v>
      </c>
      <c r="BB29" s="9">
        <v>7977.8951808112979</v>
      </c>
      <c r="BC29" s="9">
        <v>4728.0462419247579</v>
      </c>
      <c r="BD29" s="9">
        <v>4728.0462419247579</v>
      </c>
      <c r="BE29" s="9">
        <v>3658.6072110132054</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row>
    <row r="30" spans="1:76">
      <c r="A30" s="3" t="s">
        <v>66</v>
      </c>
      <c r="B30" t="s">
        <v>25</v>
      </c>
      <c r="C30" t="s">
        <v>344</v>
      </c>
      <c r="D30" t="s">
        <v>72</v>
      </c>
      <c r="E30" t="s">
        <v>4974</v>
      </c>
      <c r="F30" s="91" t="s">
        <v>30</v>
      </c>
      <c r="G30" t="s">
        <v>34</v>
      </c>
      <c r="H30" s="3" t="s">
        <v>32</v>
      </c>
      <c r="I30" s="3" t="s">
        <v>59</v>
      </c>
      <c r="J30" s="124"/>
      <c r="K30" s="124"/>
      <c r="L30" s="6"/>
      <c r="M30" s="124">
        <v>1.2</v>
      </c>
      <c r="N30" s="9">
        <v>0</v>
      </c>
      <c r="O30" s="9">
        <v>0</v>
      </c>
      <c r="P30" s="9">
        <v>0</v>
      </c>
      <c r="Q30" s="9">
        <v>0</v>
      </c>
      <c r="R30" s="9">
        <v>0</v>
      </c>
      <c r="S30" s="9">
        <v>0</v>
      </c>
      <c r="T30" s="9">
        <v>0</v>
      </c>
      <c r="U30" s="9">
        <v>0</v>
      </c>
      <c r="V30" s="9">
        <v>0</v>
      </c>
      <c r="W30" s="9">
        <v>0</v>
      </c>
      <c r="X30" s="10">
        <v>0</v>
      </c>
      <c r="Y30" s="9">
        <v>0</v>
      </c>
      <c r="Z30" s="9">
        <v>0</v>
      </c>
      <c r="AA30" s="9">
        <v>1819.946147859923</v>
      </c>
      <c r="AB30" s="9">
        <v>3275.9030661478614</v>
      </c>
      <c r="AC30" s="9">
        <v>909.97307392995936</v>
      </c>
      <c r="AD30" s="9">
        <v>0</v>
      </c>
      <c r="AE30" s="9">
        <v>0</v>
      </c>
      <c r="AF30" s="9">
        <v>0</v>
      </c>
      <c r="AG30" s="9">
        <v>0</v>
      </c>
      <c r="AH30" s="9">
        <v>0</v>
      </c>
      <c r="AI30" s="9">
        <v>0</v>
      </c>
      <c r="AJ30" s="9">
        <v>0</v>
      </c>
      <c r="AK30" s="9">
        <v>0</v>
      </c>
      <c r="AL30" s="9">
        <v>0</v>
      </c>
      <c r="AM30" s="9">
        <v>0</v>
      </c>
      <c r="AN30" s="9">
        <v>0</v>
      </c>
      <c r="AO30" s="9">
        <v>0</v>
      </c>
      <c r="AP30" s="9">
        <v>0</v>
      </c>
      <c r="AQ30" s="9">
        <v>0</v>
      </c>
      <c r="AR30" s="9">
        <v>0</v>
      </c>
      <c r="AS30" s="9">
        <v>2183.9353774319088</v>
      </c>
      <c r="AT30" s="9">
        <v>3039.3100669260698</v>
      </c>
      <c r="AU30" s="9">
        <v>6588.2050552529336</v>
      </c>
      <c r="AV30" s="9">
        <v>6588.2050552529336</v>
      </c>
      <c r="AW30" s="9">
        <v>6588.2050552529336</v>
      </c>
      <c r="AX30" s="9">
        <v>6588.2050552529336</v>
      </c>
      <c r="AY30" s="9">
        <v>6588.2050552529336</v>
      </c>
      <c r="AZ30" s="9">
        <v>2602.5229914396887</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row>
    <row r="31" spans="1:76">
      <c r="A31" s="3" t="s">
        <v>66</v>
      </c>
      <c r="B31" t="s">
        <v>25</v>
      </c>
      <c r="C31" t="s">
        <v>344</v>
      </c>
      <c r="D31" t="s">
        <v>74</v>
      </c>
      <c r="E31" t="s">
        <v>4975</v>
      </c>
      <c r="F31" s="91" t="s">
        <v>68</v>
      </c>
      <c r="G31" t="s">
        <v>4976</v>
      </c>
      <c r="H31" s="3" t="s">
        <v>69</v>
      </c>
      <c r="I31" s="3" t="s">
        <v>59</v>
      </c>
      <c r="J31" s="124"/>
      <c r="K31" s="124"/>
      <c r="L31" s="6"/>
      <c r="M31" s="124">
        <v>1.2</v>
      </c>
      <c r="N31" s="9">
        <v>0</v>
      </c>
      <c r="O31" s="9">
        <v>0</v>
      </c>
      <c r="P31" s="9">
        <v>0</v>
      </c>
      <c r="Q31" s="9">
        <v>0</v>
      </c>
      <c r="R31" s="9">
        <v>0</v>
      </c>
      <c r="S31" s="9">
        <v>0</v>
      </c>
      <c r="T31" s="9">
        <v>0</v>
      </c>
      <c r="U31" s="9">
        <v>0</v>
      </c>
      <c r="V31" s="9">
        <v>0</v>
      </c>
      <c r="W31" s="9">
        <v>0</v>
      </c>
      <c r="X31" s="10">
        <v>0</v>
      </c>
      <c r="Y31" s="9">
        <v>0</v>
      </c>
      <c r="Z31" s="9">
        <v>0</v>
      </c>
      <c r="AA31" s="9">
        <v>0</v>
      </c>
      <c r="AB31" s="9">
        <v>0</v>
      </c>
      <c r="AC31" s="9">
        <v>4716.5301167999996</v>
      </c>
      <c r="AD31" s="9">
        <v>4544.2367792000105</v>
      </c>
      <c r="AE31" s="9">
        <v>4522.7001119999995</v>
      </c>
      <c r="AF31" s="9">
        <v>5513.38680320001</v>
      </c>
      <c r="AG31" s="9">
        <v>6482.5368272000096</v>
      </c>
      <c r="AH31" s="9">
        <v>5556.4601375999991</v>
      </c>
      <c r="AI31" s="9">
        <v>969.15002399999992</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row>
    <row r="32" spans="1:76">
      <c r="A32" s="3" t="s">
        <v>66</v>
      </c>
      <c r="B32" t="s">
        <v>25</v>
      </c>
      <c r="C32" t="s">
        <v>344</v>
      </c>
      <c r="D32" t="s">
        <v>5184</v>
      </c>
      <c r="E32" t="s">
        <v>5185</v>
      </c>
      <c r="F32" s="91" t="s">
        <v>4971</v>
      </c>
      <c r="G32" t="s">
        <v>4998</v>
      </c>
      <c r="H32" s="3" t="s">
        <v>5187</v>
      </c>
      <c r="I32" s="3" t="s">
        <v>59</v>
      </c>
      <c r="J32" s="124"/>
      <c r="K32" s="124"/>
      <c r="L32" s="6"/>
      <c r="M32" s="124">
        <v>1.2</v>
      </c>
      <c r="N32" s="9">
        <v>0</v>
      </c>
      <c r="O32" s="9">
        <v>0</v>
      </c>
      <c r="P32" s="9">
        <v>0</v>
      </c>
      <c r="Q32" s="9">
        <v>0</v>
      </c>
      <c r="R32" s="9">
        <v>0</v>
      </c>
      <c r="S32" s="9">
        <v>0</v>
      </c>
      <c r="T32" s="9">
        <v>0</v>
      </c>
      <c r="U32" s="9">
        <v>0</v>
      </c>
      <c r="V32" s="9">
        <v>0</v>
      </c>
      <c r="W32" s="9">
        <v>0</v>
      </c>
      <c r="X32" s="10">
        <v>0</v>
      </c>
      <c r="Y32" s="9">
        <v>0</v>
      </c>
      <c r="Z32" s="9">
        <v>0</v>
      </c>
      <c r="AA32" s="9">
        <v>0</v>
      </c>
      <c r="AB32" s="9">
        <v>0</v>
      </c>
      <c r="AC32" s="9">
        <v>0</v>
      </c>
      <c r="AD32" s="9">
        <v>0</v>
      </c>
      <c r="AE32" s="9">
        <v>0</v>
      </c>
      <c r="AF32" s="9">
        <v>0</v>
      </c>
      <c r="AG32" s="9">
        <v>0</v>
      </c>
      <c r="AH32" s="9">
        <v>0</v>
      </c>
      <c r="AI32" s="9">
        <v>0</v>
      </c>
      <c r="AJ32" s="9">
        <v>0</v>
      </c>
      <c r="AK32" s="9">
        <v>0</v>
      </c>
      <c r="AL32" s="9">
        <v>9889.8293647058745</v>
      </c>
      <c r="AM32" s="9">
        <v>9889.8293647058745</v>
      </c>
      <c r="AN32" s="9">
        <v>8241.5244705882487</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row>
    <row r="33" spans="1:76">
      <c r="A33" s="3" t="s">
        <v>66</v>
      </c>
      <c r="B33" t="s">
        <v>25</v>
      </c>
      <c r="C33" t="s">
        <v>344</v>
      </c>
      <c r="D33" t="s">
        <v>4967</v>
      </c>
      <c r="E33" t="s">
        <v>4968</v>
      </c>
      <c r="F33" s="91" t="s">
        <v>4973</v>
      </c>
      <c r="G33" t="s">
        <v>4983</v>
      </c>
      <c r="H33" s="3" t="s">
        <v>4984</v>
      </c>
      <c r="I33" s="3" t="s">
        <v>343</v>
      </c>
      <c r="J33" s="124"/>
      <c r="K33" s="124"/>
      <c r="L33" s="6"/>
      <c r="M33" s="124">
        <v>1.2</v>
      </c>
      <c r="N33" s="9">
        <v>0</v>
      </c>
      <c r="O33" s="9">
        <v>0</v>
      </c>
      <c r="P33" s="9">
        <v>0</v>
      </c>
      <c r="Q33" s="9">
        <v>0</v>
      </c>
      <c r="R33" s="9">
        <v>0</v>
      </c>
      <c r="S33" s="9">
        <v>0</v>
      </c>
      <c r="T33" s="9">
        <v>0</v>
      </c>
      <c r="U33" s="9">
        <v>0</v>
      </c>
      <c r="V33" s="9">
        <v>0</v>
      </c>
      <c r="W33" s="9">
        <v>0</v>
      </c>
      <c r="X33" s="10">
        <v>0</v>
      </c>
      <c r="Y33" s="9">
        <v>0</v>
      </c>
      <c r="Z33" s="9">
        <v>0</v>
      </c>
      <c r="AA33" s="9">
        <v>2394.9338521400769</v>
      </c>
      <c r="AB33" s="9">
        <v>2044.3929338521384</v>
      </c>
      <c r="AC33" s="9">
        <v>8315.1148092700405</v>
      </c>
      <c r="AD33" s="9">
        <v>8317.3104207999877</v>
      </c>
      <c r="AE33" s="9">
        <v>1684.3118880000002</v>
      </c>
      <c r="AF33" s="9">
        <v>794.52239679999002</v>
      </c>
      <c r="AG33" s="9">
        <v>410.54037279999102</v>
      </c>
      <c r="AH33" s="9">
        <v>498.95946240000046</v>
      </c>
      <c r="AI33" s="9">
        <v>194.33397599999998</v>
      </c>
      <c r="AJ33" s="9">
        <v>0</v>
      </c>
      <c r="AK33" s="9">
        <v>0</v>
      </c>
      <c r="AL33" s="9">
        <v>4528.2426352941184</v>
      </c>
      <c r="AM33" s="9">
        <v>3105.3918352941173</v>
      </c>
      <c r="AN33" s="9">
        <v>625.63552941176351</v>
      </c>
      <c r="AO33" s="9">
        <v>0</v>
      </c>
      <c r="AP33" s="9">
        <v>7249.5936000000002</v>
      </c>
      <c r="AQ33" s="9">
        <v>10115.712</v>
      </c>
      <c r="AR33" s="9">
        <v>10115.712</v>
      </c>
      <c r="AS33" s="9">
        <v>12559.935422568093</v>
      </c>
      <c r="AT33" s="9">
        <v>1077.5671330739299</v>
      </c>
      <c r="AU33" s="9">
        <v>702.88214474706581</v>
      </c>
      <c r="AV33" s="9">
        <v>765.09254474706643</v>
      </c>
      <c r="AW33" s="9">
        <v>1046.1013447470652</v>
      </c>
      <c r="AX33" s="9">
        <v>1157.9893447470661</v>
      </c>
      <c r="AY33" s="9">
        <v>15388.246944747065</v>
      </c>
      <c r="AZ33" s="9">
        <v>17783.699808560312</v>
      </c>
      <c r="BA33" s="9">
        <v>16904.736000000001</v>
      </c>
      <c r="BB33" s="9">
        <v>18217.584000000003</v>
      </c>
      <c r="BC33" s="9">
        <v>29846.13</v>
      </c>
      <c r="BD33" s="9">
        <v>33083.217600000004</v>
      </c>
      <c r="BE33" s="9">
        <v>32856.981599999999</v>
      </c>
      <c r="BF33" s="9">
        <v>33196.608</v>
      </c>
      <c r="BG33" s="9">
        <v>33271.200000000004</v>
      </c>
      <c r="BH33" s="9">
        <v>32710.754400000002</v>
      </c>
      <c r="BI33" s="9">
        <v>32316.408000000003</v>
      </c>
      <c r="BJ33" s="9">
        <v>26566.214400000001</v>
      </c>
      <c r="BK33" s="9">
        <v>21270.762000000002</v>
      </c>
      <c r="BL33" s="9">
        <v>7586.7840000000006</v>
      </c>
      <c r="BM33" s="9">
        <v>0</v>
      </c>
      <c r="BN33" s="9">
        <v>0</v>
      </c>
      <c r="BO33" s="9">
        <v>0</v>
      </c>
      <c r="BP33" s="9">
        <v>0</v>
      </c>
      <c r="BQ33" s="9">
        <v>0</v>
      </c>
      <c r="BR33" s="9">
        <v>0</v>
      </c>
      <c r="BS33" s="9">
        <v>0</v>
      </c>
      <c r="BT33" s="9">
        <v>0</v>
      </c>
      <c r="BU33" s="9">
        <v>0</v>
      </c>
      <c r="BV33" s="9">
        <v>0</v>
      </c>
      <c r="BW33" s="9">
        <v>0</v>
      </c>
      <c r="BX33" s="9">
        <v>0</v>
      </c>
    </row>
    <row r="34" spans="1:76">
      <c r="A34" s="3" t="s">
        <v>66</v>
      </c>
      <c r="B34" t="s">
        <v>26</v>
      </c>
      <c r="C34" t="s">
        <v>348</v>
      </c>
      <c r="D34" t="s">
        <v>72</v>
      </c>
      <c r="E34" t="s">
        <v>4974</v>
      </c>
      <c r="F34" s="91" t="s">
        <v>30</v>
      </c>
      <c r="G34" t="s">
        <v>34</v>
      </c>
      <c r="H34" s="3" t="s">
        <v>32</v>
      </c>
      <c r="I34" s="3" t="s">
        <v>60</v>
      </c>
      <c r="J34" s="124"/>
      <c r="K34" s="124"/>
      <c r="L34" s="6"/>
      <c r="M34" s="124">
        <f>1.05*0.39</f>
        <v>0.40950000000000003</v>
      </c>
      <c r="N34" s="9">
        <v>0</v>
      </c>
      <c r="O34" s="9">
        <v>0</v>
      </c>
      <c r="P34" s="9">
        <v>0</v>
      </c>
      <c r="Q34" s="9">
        <v>0</v>
      </c>
      <c r="R34" s="9">
        <v>0</v>
      </c>
      <c r="S34" s="9">
        <v>0</v>
      </c>
      <c r="T34" s="9">
        <v>0</v>
      </c>
      <c r="U34" s="9">
        <v>0</v>
      </c>
      <c r="V34" s="9">
        <v>0</v>
      </c>
      <c r="W34" s="9">
        <v>0</v>
      </c>
      <c r="X34" s="10">
        <v>66.821721854304712</v>
      </c>
      <c r="Y34" s="9">
        <v>105.00556291390735</v>
      </c>
      <c r="Z34" s="9">
        <v>96.652847682119173</v>
      </c>
      <c r="AA34" s="9">
        <v>52.502781456953606</v>
      </c>
      <c r="AB34" s="9">
        <v>52.502781456953606</v>
      </c>
      <c r="AC34" s="9">
        <v>52.502781456953606</v>
      </c>
      <c r="AD34" s="9">
        <v>52.502781456953606</v>
      </c>
      <c r="AE34" s="9">
        <v>52.502781456953606</v>
      </c>
      <c r="AF34" s="9">
        <v>39.37708609271521</v>
      </c>
      <c r="AG34" s="9">
        <v>52.502781456953606</v>
      </c>
      <c r="AH34" s="9">
        <v>39.37708609271521</v>
      </c>
      <c r="AI34" s="9">
        <v>52.502781456953606</v>
      </c>
      <c r="AJ34" s="9">
        <v>52.502781456953606</v>
      </c>
      <c r="AK34" s="9">
        <v>52.502781456953606</v>
      </c>
      <c r="AL34" s="9">
        <v>52.502781456953606</v>
      </c>
      <c r="AM34" s="9">
        <v>52.502781456953606</v>
      </c>
      <c r="AN34" s="9">
        <v>52.502781456953606</v>
      </c>
      <c r="AO34" s="9">
        <v>52.502781456953606</v>
      </c>
      <c r="AP34" s="9">
        <v>52.502781456953606</v>
      </c>
      <c r="AQ34" s="9">
        <v>39.37708609271521</v>
      </c>
      <c r="AR34" s="9">
        <v>46.536556291390689</v>
      </c>
      <c r="AS34" s="9">
        <v>28.637880794702053</v>
      </c>
      <c r="AT34" s="9">
        <v>21.478410596026439</v>
      </c>
      <c r="AU34" s="9">
        <v>28.637880794702053</v>
      </c>
      <c r="AV34" s="9">
        <v>28.637880794702053</v>
      </c>
      <c r="AW34" s="9">
        <v>28.637880794702053</v>
      </c>
      <c r="AX34" s="9">
        <v>28.637880794702053</v>
      </c>
      <c r="AY34" s="9">
        <v>18.49529801324498</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row>
    <row r="35" spans="1:76">
      <c r="A35" s="3" t="s">
        <v>66</v>
      </c>
      <c r="B35" t="s">
        <v>26</v>
      </c>
      <c r="C35" t="s">
        <v>348</v>
      </c>
      <c r="D35" t="s">
        <v>74</v>
      </c>
      <c r="E35" t="s">
        <v>4975</v>
      </c>
      <c r="F35" s="91" t="s">
        <v>68</v>
      </c>
      <c r="G35" t="s">
        <v>4976</v>
      </c>
      <c r="H35" s="3" t="s">
        <v>69</v>
      </c>
      <c r="I35" s="3" t="s">
        <v>60</v>
      </c>
      <c r="J35" s="124"/>
      <c r="K35" s="124"/>
      <c r="L35" s="6"/>
      <c r="M35" s="124">
        <f t="shared" ref="M35:M37" si="0">1.05*0.39</f>
        <v>0.40950000000000003</v>
      </c>
      <c r="N35" s="9">
        <v>0</v>
      </c>
      <c r="O35" s="9">
        <v>0</v>
      </c>
      <c r="P35" s="9">
        <v>0</v>
      </c>
      <c r="Q35" s="9">
        <v>0</v>
      </c>
      <c r="R35" s="9">
        <v>0</v>
      </c>
      <c r="S35" s="9">
        <v>0</v>
      </c>
      <c r="T35" s="9">
        <v>0</v>
      </c>
      <c r="U35" s="9">
        <v>0</v>
      </c>
      <c r="V35" s="9">
        <v>0</v>
      </c>
      <c r="W35" s="9">
        <v>0</v>
      </c>
      <c r="X35" s="10">
        <v>179.45492957746504</v>
      </c>
      <c r="Y35" s="9">
        <v>199.03183098591595</v>
      </c>
      <c r="Z35" s="9">
        <v>126.16225352112627</v>
      </c>
      <c r="AA35" s="9">
        <v>126.16225352112627</v>
      </c>
      <c r="AB35" s="9">
        <v>138.12591549295826</v>
      </c>
      <c r="AC35" s="9">
        <v>106.58535211267601</v>
      </c>
      <c r="AD35" s="9">
        <v>88.09605633802822</v>
      </c>
      <c r="AE35" s="9">
        <v>88.09605633802822</v>
      </c>
      <c r="AF35" s="9">
        <v>29.365352112676035</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row>
    <row r="36" spans="1:76">
      <c r="A36" s="3" t="s">
        <v>66</v>
      </c>
      <c r="B36" t="s">
        <v>26</v>
      </c>
      <c r="C36" t="s">
        <v>348</v>
      </c>
      <c r="D36" t="s">
        <v>5184</v>
      </c>
      <c r="E36" t="s">
        <v>5185</v>
      </c>
      <c r="F36" s="91" t="s">
        <v>4971</v>
      </c>
      <c r="G36" t="s">
        <v>4998</v>
      </c>
      <c r="H36" s="3" t="s">
        <v>5187</v>
      </c>
      <c r="I36" s="3" t="s">
        <v>60</v>
      </c>
      <c r="J36" s="124"/>
      <c r="K36" s="124"/>
      <c r="L36" s="6"/>
      <c r="M36" s="124">
        <f t="shared" si="0"/>
        <v>0.40950000000000003</v>
      </c>
      <c r="N36" s="9">
        <v>0</v>
      </c>
      <c r="O36" s="9">
        <v>0</v>
      </c>
      <c r="P36" s="9">
        <v>0</v>
      </c>
      <c r="Q36" s="9">
        <v>0</v>
      </c>
      <c r="R36" s="9">
        <v>0</v>
      </c>
      <c r="S36" s="9">
        <v>0</v>
      </c>
      <c r="T36" s="9">
        <v>0</v>
      </c>
      <c r="U36" s="9">
        <v>0</v>
      </c>
      <c r="V36" s="9">
        <v>0</v>
      </c>
      <c r="W36" s="9">
        <v>0</v>
      </c>
      <c r="X36" s="10">
        <v>38.133057324840777</v>
      </c>
      <c r="Y36" s="9">
        <v>38.133057324840777</v>
      </c>
      <c r="Z36" s="9">
        <v>38.133057324840777</v>
      </c>
      <c r="AA36" s="9">
        <v>38.133057324840777</v>
      </c>
      <c r="AB36" s="9">
        <v>38.133057324840777</v>
      </c>
      <c r="AC36" s="9">
        <v>72.718853503184718</v>
      </c>
      <c r="AD36" s="9">
        <v>72.718853503184718</v>
      </c>
      <c r="AE36" s="9">
        <v>90.455159235668731</v>
      </c>
      <c r="AF36" s="9">
        <v>90.455159235668731</v>
      </c>
      <c r="AG36" s="9">
        <v>47.888025477707004</v>
      </c>
      <c r="AH36" s="9">
        <v>65.624331210191116</v>
      </c>
      <c r="AI36" s="9">
        <v>65.624331210191116</v>
      </c>
      <c r="AJ36" s="9">
        <v>63.850700636942705</v>
      </c>
      <c r="AK36" s="9">
        <v>63.850700636942705</v>
      </c>
      <c r="AL36" s="9">
        <v>11.528598726114646</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row>
    <row r="37" spans="1:76">
      <c r="A37" s="3" t="s">
        <v>66</v>
      </c>
      <c r="B37" t="s">
        <v>26</v>
      </c>
      <c r="C37" t="s">
        <v>348</v>
      </c>
      <c r="D37" t="s">
        <v>4967</v>
      </c>
      <c r="E37" t="s">
        <v>4968</v>
      </c>
      <c r="F37" s="91" t="s">
        <v>4973</v>
      </c>
      <c r="G37" t="s">
        <v>4983</v>
      </c>
      <c r="H37" s="3" t="s">
        <v>4984</v>
      </c>
      <c r="I37" s="3" t="s">
        <v>347</v>
      </c>
      <c r="J37" s="124"/>
      <c r="K37" s="124"/>
      <c r="L37" s="6"/>
      <c r="M37" s="124">
        <f t="shared" si="0"/>
        <v>0.40950000000000003</v>
      </c>
      <c r="N37" s="9">
        <v>0</v>
      </c>
      <c r="O37" s="9">
        <v>0</v>
      </c>
      <c r="P37" s="9">
        <v>0</v>
      </c>
      <c r="Q37" s="9">
        <v>0</v>
      </c>
      <c r="R37" s="9">
        <v>0</v>
      </c>
      <c r="S37" s="9">
        <v>0</v>
      </c>
      <c r="T37" s="9">
        <v>0</v>
      </c>
      <c r="U37" s="9">
        <v>0</v>
      </c>
      <c r="V37" s="9">
        <v>0</v>
      </c>
      <c r="W37" s="9">
        <v>0</v>
      </c>
      <c r="X37" s="10">
        <v>256.51665993985563</v>
      </c>
      <c r="Y37" s="9">
        <v>45.029987822961246</v>
      </c>
      <c r="Z37" s="9">
        <v>65.334970065925603</v>
      </c>
      <c r="AA37" s="9">
        <v>82.781557736082547</v>
      </c>
      <c r="AB37" s="9">
        <v>176.79732627944117</v>
      </c>
      <c r="AC37" s="9">
        <v>98.648560045417653</v>
      </c>
      <c r="AD37" s="9">
        <v>102.95163283771713</v>
      </c>
      <c r="AE37" s="9">
        <v>101.90500120211343</v>
      </c>
      <c r="AF37" s="9">
        <v>118.6854762719987</v>
      </c>
      <c r="AG37" s="9">
        <v>159.96810897667365</v>
      </c>
      <c r="AH37" s="9">
        <v>197.08168385062905</v>
      </c>
      <c r="AI37" s="9">
        <v>229.0181085479677</v>
      </c>
      <c r="AJ37" s="9">
        <v>264.17108731497683</v>
      </c>
      <c r="AK37" s="9">
        <v>264.17108731497683</v>
      </c>
      <c r="AL37" s="9">
        <v>261.41726470609962</v>
      </c>
      <c r="AM37" s="9">
        <v>297.98037457753486</v>
      </c>
      <c r="AN37" s="9">
        <v>297.98037457753486</v>
      </c>
      <c r="AO37" s="9">
        <v>289.63553752909468</v>
      </c>
      <c r="AP37" s="9">
        <v>295.47692346300278</v>
      </c>
      <c r="AQ37" s="9">
        <v>286.07155879645268</v>
      </c>
      <c r="AR37" s="9">
        <v>288.92589305590548</v>
      </c>
      <c r="AS37" s="9">
        <v>391.94190644668407</v>
      </c>
      <c r="AT37" s="9">
        <v>412.45311592286401</v>
      </c>
      <c r="AU37" s="9">
        <v>391.94190644668407</v>
      </c>
      <c r="AV37" s="9">
        <v>391.94190644668407</v>
      </c>
      <c r="AW37" s="9">
        <v>391.94190644668407</v>
      </c>
      <c r="AX37" s="9">
        <v>376.92119975949174</v>
      </c>
      <c r="AY37" s="9">
        <v>372.87755955860047</v>
      </c>
      <c r="AZ37" s="9">
        <v>274.54513889368263</v>
      </c>
      <c r="BA37" s="9">
        <v>196.93815434318878</v>
      </c>
      <c r="BB37" s="9">
        <v>136.85532759441932</v>
      </c>
      <c r="BC37" s="9">
        <v>70.096631206897712</v>
      </c>
      <c r="BD37" s="9">
        <v>70.096631206897712</v>
      </c>
      <c r="BE37" s="9">
        <v>54.241440814861313</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row>
    <row r="38" spans="1:76">
      <c r="A38" s="3" t="s">
        <v>66</v>
      </c>
      <c r="B38" t="s">
        <v>29</v>
      </c>
      <c r="C38" t="s">
        <v>360</v>
      </c>
      <c r="D38" t="s">
        <v>72</v>
      </c>
      <c r="E38" t="s">
        <v>4974</v>
      </c>
      <c r="F38" s="91" t="s">
        <v>30</v>
      </c>
      <c r="G38" t="s">
        <v>34</v>
      </c>
      <c r="H38" s="3" t="s">
        <v>32</v>
      </c>
      <c r="I38" s="3" t="s">
        <v>63</v>
      </c>
      <c r="J38" s="124"/>
      <c r="K38" s="124"/>
      <c r="L38" s="6"/>
      <c r="M38" s="124">
        <v>1.1000000000000001</v>
      </c>
      <c r="N38" s="9">
        <v>0</v>
      </c>
      <c r="O38" s="9">
        <v>0</v>
      </c>
      <c r="P38" s="9">
        <v>0</v>
      </c>
      <c r="Q38" s="9">
        <v>0</v>
      </c>
      <c r="R38" s="9">
        <v>0</v>
      </c>
      <c r="S38" s="9">
        <v>0</v>
      </c>
      <c r="T38" s="9">
        <v>0</v>
      </c>
      <c r="U38" s="9">
        <v>0</v>
      </c>
      <c r="V38" s="9">
        <v>0</v>
      </c>
      <c r="W38" s="9">
        <v>0</v>
      </c>
      <c r="X38" s="10">
        <v>9.3729907284768323</v>
      </c>
      <c r="Y38" s="9">
        <v>14.728985430463588</v>
      </c>
      <c r="Z38" s="9">
        <v>13.557361589403969</v>
      </c>
      <c r="AA38" s="9">
        <v>7.3644927152317825</v>
      </c>
      <c r="AB38" s="9">
        <v>7.3644927152317825</v>
      </c>
      <c r="AC38" s="9">
        <v>7.3644927152317825</v>
      </c>
      <c r="AD38" s="9">
        <v>7.3644927152317825</v>
      </c>
      <c r="AE38" s="9">
        <v>7.3644927152317825</v>
      </c>
      <c r="AF38" s="9">
        <v>5.5233695364238375</v>
      </c>
      <c r="AG38" s="9">
        <v>7.3644927152317825</v>
      </c>
      <c r="AH38" s="9">
        <v>5.5233695364238375</v>
      </c>
      <c r="AI38" s="9">
        <v>7.3644927152317825</v>
      </c>
      <c r="AJ38" s="9">
        <v>7.3644927152317825</v>
      </c>
      <c r="AK38" s="9">
        <v>7.3644927152317825</v>
      </c>
      <c r="AL38" s="9">
        <v>7.3644927152317825</v>
      </c>
      <c r="AM38" s="9">
        <v>7.3644927152317825</v>
      </c>
      <c r="AN38" s="9">
        <v>7.3644927152317825</v>
      </c>
      <c r="AO38" s="9">
        <v>7.3644927152317825</v>
      </c>
      <c r="AP38" s="9">
        <v>7.3644927152317825</v>
      </c>
      <c r="AQ38" s="9">
        <v>5.5233695364238375</v>
      </c>
      <c r="AR38" s="9">
        <v>6.5276185430463523</v>
      </c>
      <c r="AS38" s="9">
        <v>4.0169960264900757</v>
      </c>
      <c r="AT38" s="9">
        <v>3.0127470198675428</v>
      </c>
      <c r="AU38" s="9">
        <v>4.0169960264900757</v>
      </c>
      <c r="AV38" s="9">
        <v>4.0169960264900757</v>
      </c>
      <c r="AW38" s="9">
        <v>4.0169960264900757</v>
      </c>
      <c r="AX38" s="9">
        <v>4.0169960264900757</v>
      </c>
      <c r="AY38" s="9">
        <v>2.5943099337748268</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row>
    <row r="39" spans="1:76">
      <c r="A39" s="3" t="s">
        <v>66</v>
      </c>
      <c r="B39" t="s">
        <v>29</v>
      </c>
      <c r="C39" t="s">
        <v>360</v>
      </c>
      <c r="D39" t="s">
        <v>74</v>
      </c>
      <c r="E39" t="s">
        <v>4975</v>
      </c>
      <c r="F39" s="91" t="s">
        <v>68</v>
      </c>
      <c r="G39" t="s">
        <v>4976</v>
      </c>
      <c r="H39" s="3" t="s">
        <v>69</v>
      </c>
      <c r="I39" s="3" t="s">
        <v>63</v>
      </c>
      <c r="J39" s="124"/>
      <c r="K39" s="124"/>
      <c r="L39" s="6"/>
      <c r="M39" s="124">
        <v>1.1000000000000001</v>
      </c>
      <c r="N39" s="9">
        <v>0</v>
      </c>
      <c r="O39" s="9">
        <v>0</v>
      </c>
      <c r="P39" s="9">
        <v>0</v>
      </c>
      <c r="Q39" s="9">
        <v>0</v>
      </c>
      <c r="R39" s="9">
        <v>0</v>
      </c>
      <c r="S39" s="9">
        <v>0</v>
      </c>
      <c r="T39" s="9">
        <v>0</v>
      </c>
      <c r="U39" s="9">
        <v>0</v>
      </c>
      <c r="V39" s="9">
        <v>0</v>
      </c>
      <c r="W39" s="9">
        <v>0</v>
      </c>
      <c r="X39" s="10">
        <v>38.921342052313939</v>
      </c>
      <c r="Y39" s="9">
        <v>43.167306639839133</v>
      </c>
      <c r="Z39" s="9">
        <v>27.362882897384203</v>
      </c>
      <c r="AA39" s="9">
        <v>27.362882897384203</v>
      </c>
      <c r="AB39" s="9">
        <v>29.957639034205346</v>
      </c>
      <c r="AC39" s="9">
        <v>23.116918309859145</v>
      </c>
      <c r="AD39" s="9">
        <v>19.10684064386319</v>
      </c>
      <c r="AE39" s="9">
        <v>19.10684064386319</v>
      </c>
      <c r="AF39" s="9">
        <v>6.3689468812877221</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row>
    <row r="40" spans="1:76">
      <c r="A40" s="3" t="s">
        <v>66</v>
      </c>
      <c r="B40" t="s">
        <v>29</v>
      </c>
      <c r="C40" t="s">
        <v>360</v>
      </c>
      <c r="D40" t="s">
        <v>5184</v>
      </c>
      <c r="E40" t="s">
        <v>5185</v>
      </c>
      <c r="F40" s="91" t="s">
        <v>4971</v>
      </c>
      <c r="G40" t="s">
        <v>4998</v>
      </c>
      <c r="H40" s="3" t="s">
        <v>5187</v>
      </c>
      <c r="I40" s="3" t="s">
        <v>63</v>
      </c>
      <c r="J40" s="124"/>
      <c r="K40" s="124"/>
      <c r="L40" s="6"/>
      <c r="M40" s="124">
        <v>1.1000000000000001</v>
      </c>
      <c r="N40" s="9">
        <v>0</v>
      </c>
      <c r="O40" s="9">
        <v>0</v>
      </c>
      <c r="P40" s="9">
        <v>0</v>
      </c>
      <c r="Q40" s="9">
        <v>0</v>
      </c>
      <c r="R40" s="9">
        <v>0</v>
      </c>
      <c r="S40" s="9">
        <v>0</v>
      </c>
      <c r="T40" s="9">
        <v>0</v>
      </c>
      <c r="U40" s="9">
        <v>0</v>
      </c>
      <c r="V40" s="9">
        <v>0</v>
      </c>
      <c r="W40" s="9">
        <v>0</v>
      </c>
      <c r="X40" s="10">
        <v>5.4994535031847152</v>
      </c>
      <c r="Y40" s="9">
        <v>5.4994535031847152</v>
      </c>
      <c r="Z40" s="9">
        <v>5.4994535031847152</v>
      </c>
      <c r="AA40" s="9">
        <v>5.4994535031847152</v>
      </c>
      <c r="AB40" s="9">
        <v>5.4994535031847152</v>
      </c>
      <c r="AC40" s="9">
        <v>10.487329936305732</v>
      </c>
      <c r="AD40" s="9">
        <v>10.487329936305732</v>
      </c>
      <c r="AE40" s="9">
        <v>13.045215286624197</v>
      </c>
      <c r="AF40" s="9">
        <v>13.045215286624197</v>
      </c>
      <c r="AG40" s="9">
        <v>6.906290445859872</v>
      </c>
      <c r="AH40" s="9">
        <v>9.4641757961783508</v>
      </c>
      <c r="AI40" s="9">
        <v>9.4641757961783508</v>
      </c>
      <c r="AJ40" s="9">
        <v>9.2083872611465019</v>
      </c>
      <c r="AK40" s="9">
        <v>9.2083872611465019</v>
      </c>
      <c r="AL40" s="9">
        <v>1.6626254777070058</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row>
    <row r="41" spans="1:76">
      <c r="A41" s="3" t="s">
        <v>66</v>
      </c>
      <c r="B41" t="s">
        <v>29</v>
      </c>
      <c r="C41" t="s">
        <v>360</v>
      </c>
      <c r="D41" t="s">
        <v>4967</v>
      </c>
      <c r="E41" t="s">
        <v>4968</v>
      </c>
      <c r="F41" s="91" t="s">
        <v>4973</v>
      </c>
      <c r="G41" t="s">
        <v>4983</v>
      </c>
      <c r="H41" s="3" t="s">
        <v>4984</v>
      </c>
      <c r="I41" s="3" t="s">
        <v>359</v>
      </c>
      <c r="J41" s="124"/>
      <c r="K41" s="124"/>
      <c r="L41" s="6"/>
      <c r="M41" s="124">
        <v>1.1000000000000001</v>
      </c>
      <c r="N41" s="9">
        <v>0</v>
      </c>
      <c r="O41" s="9">
        <v>0</v>
      </c>
      <c r="P41" s="9">
        <v>0</v>
      </c>
      <c r="Q41" s="9">
        <v>0</v>
      </c>
      <c r="R41" s="9">
        <v>0</v>
      </c>
      <c r="S41" s="9">
        <v>0</v>
      </c>
      <c r="T41" s="9">
        <v>0</v>
      </c>
      <c r="U41" s="9">
        <v>0</v>
      </c>
      <c r="V41" s="9">
        <v>0</v>
      </c>
      <c r="W41" s="9">
        <v>0</v>
      </c>
      <c r="X41" s="10">
        <v>47.66634618169369</v>
      </c>
      <c r="Y41" s="9">
        <v>62.363455172620064</v>
      </c>
      <c r="Z41" s="9">
        <v>64.989821780482686</v>
      </c>
      <c r="AA41" s="9">
        <v>79.61868878655379</v>
      </c>
      <c r="AB41" s="9">
        <v>152.27606276461671</v>
      </c>
      <c r="AC41" s="9">
        <v>129.22104358540102</v>
      </c>
      <c r="AD41" s="9">
        <v>130.61249937952186</v>
      </c>
      <c r="AE41" s="9">
        <v>132.50306099193344</v>
      </c>
      <c r="AF41" s="9">
        <v>126.61463587696197</v>
      </c>
      <c r="AG41" s="9">
        <v>147.33854337821327</v>
      </c>
      <c r="AH41" s="9">
        <v>172.62455881358878</v>
      </c>
      <c r="AI41" s="9">
        <v>198.99897165354031</v>
      </c>
      <c r="AJ41" s="9">
        <v>219.20856713170457</v>
      </c>
      <c r="AK41" s="9">
        <v>219.20856713170457</v>
      </c>
      <c r="AL41" s="9">
        <v>181.57049004885761</v>
      </c>
      <c r="AM41" s="9">
        <v>192.62759346795895</v>
      </c>
      <c r="AN41" s="9">
        <v>192.62759346795895</v>
      </c>
      <c r="AO41" s="9">
        <v>186.70015254081608</v>
      </c>
      <c r="AP41" s="9">
        <v>196.85132506865421</v>
      </c>
      <c r="AQ41" s="9">
        <v>197.4106534783044</v>
      </c>
      <c r="AR41" s="9">
        <v>198.54807945270755</v>
      </c>
      <c r="AS41" s="9">
        <v>244.69704946808639</v>
      </c>
      <c r="AT41" s="9">
        <v>261.85328837443598</v>
      </c>
      <c r="AU41" s="9">
        <v>247.99440345386256</v>
      </c>
      <c r="AV41" s="9">
        <v>247.99440345386256</v>
      </c>
      <c r="AW41" s="9">
        <v>245.18546142842735</v>
      </c>
      <c r="AX41" s="9">
        <v>253.72005915795378</v>
      </c>
      <c r="AY41" s="9">
        <v>249.84129711776603</v>
      </c>
      <c r="AZ41" s="9">
        <v>178.15915435038957</v>
      </c>
      <c r="BA41" s="9">
        <v>123.03395372796076</v>
      </c>
      <c r="BB41" s="9">
        <v>86.816945711033014</v>
      </c>
      <c r="BC41" s="9">
        <v>49.79050378800023</v>
      </c>
      <c r="BD41" s="9">
        <v>49.79050378800023</v>
      </c>
      <c r="BE41" s="9">
        <v>38.528366026428742</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row>
    <row r="42" spans="1:76">
      <c r="A42" s="3"/>
      <c r="F42" s="91"/>
      <c r="H42" s="3"/>
      <c r="I42" s="3"/>
      <c r="J42" s="124"/>
      <c r="K42" s="124"/>
      <c r="L42" s="6"/>
      <c r="M42" s="124"/>
      <c r="N42" s="9"/>
      <c r="O42" s="9"/>
      <c r="P42" s="9"/>
      <c r="Q42" s="9"/>
      <c r="R42" s="9"/>
      <c r="S42" s="9"/>
      <c r="T42" s="9"/>
      <c r="U42" s="9"/>
      <c r="V42" s="9"/>
      <c r="W42" s="9"/>
      <c r="X42" s="10"/>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row>
    <row r="43" spans="1:76">
      <c r="A43" s="3" t="s">
        <v>66</v>
      </c>
      <c r="B43" t="s">
        <v>5338</v>
      </c>
      <c r="D43" t="s">
        <v>4967</v>
      </c>
      <c r="E43" t="s">
        <v>4968</v>
      </c>
      <c r="F43" s="91" t="s">
        <v>4973</v>
      </c>
      <c r="G43" t="s">
        <v>4983</v>
      </c>
      <c r="H43" s="3" t="s">
        <v>4984</v>
      </c>
      <c r="I43" s="3"/>
      <c r="J43" s="124"/>
      <c r="K43" s="124"/>
      <c r="L43" s="6"/>
      <c r="M43" s="124"/>
      <c r="N43" s="9">
        <f>+SUM(N2:N41)</f>
        <v>0</v>
      </c>
      <c r="O43" s="9">
        <f t="shared" ref="O43:BX43" si="1">+SUM(O2:O41)</f>
        <v>0</v>
      </c>
      <c r="P43" s="9">
        <f t="shared" si="1"/>
        <v>5234.0988400295028</v>
      </c>
      <c r="Q43" s="9">
        <f t="shared" si="1"/>
        <v>12373.759459970497</v>
      </c>
      <c r="R43" s="9">
        <f t="shared" si="1"/>
        <v>4945.8277700159042</v>
      </c>
      <c r="S43" s="9">
        <f t="shared" si="1"/>
        <v>6771.8689701106114</v>
      </c>
      <c r="T43" s="9">
        <f t="shared" si="1"/>
        <v>7987.2942480047614</v>
      </c>
      <c r="U43" s="9">
        <f t="shared" si="1"/>
        <v>12356.825751740002</v>
      </c>
      <c r="V43" s="9">
        <f t="shared" si="1"/>
        <v>12435.196756249999</v>
      </c>
      <c r="W43" s="9">
        <f t="shared" si="1"/>
        <v>12379.658750000006</v>
      </c>
      <c r="X43" s="9">
        <f t="shared" si="1"/>
        <v>20047.609030381343</v>
      </c>
      <c r="Y43" s="9">
        <f t="shared" si="1"/>
        <v>25799.997685749426</v>
      </c>
      <c r="Z43" s="9">
        <f t="shared" si="1"/>
        <v>41086.050000841482</v>
      </c>
      <c r="AA43" s="9">
        <f t="shared" si="1"/>
        <v>44013.597565170465</v>
      </c>
      <c r="AB43" s="9">
        <f t="shared" si="1"/>
        <v>51236.251524883482</v>
      </c>
      <c r="AC43" s="9">
        <f t="shared" si="1"/>
        <v>59833.34656380758</v>
      </c>
      <c r="AD43" s="9">
        <f t="shared" si="1"/>
        <v>66560.086274482979</v>
      </c>
      <c r="AE43" s="9">
        <f t="shared" si="1"/>
        <v>73539.821427957009</v>
      </c>
      <c r="AF43" s="9">
        <f t="shared" si="1"/>
        <v>72376.413122752361</v>
      </c>
      <c r="AG43" s="9">
        <f t="shared" si="1"/>
        <v>76639.854731553511</v>
      </c>
      <c r="AH43" s="9">
        <f t="shared" si="1"/>
        <v>83750.813524876401</v>
      </c>
      <c r="AI43" s="9">
        <f t="shared" si="1"/>
        <v>74350.877323153327</v>
      </c>
      <c r="AJ43" s="9">
        <f t="shared" si="1"/>
        <v>72531.899075753739</v>
      </c>
      <c r="AK43" s="9">
        <f t="shared" si="1"/>
        <v>65506.654211756555</v>
      </c>
      <c r="AL43" s="9">
        <f t="shared" si="1"/>
        <v>58684.793969411847</v>
      </c>
      <c r="AM43" s="9">
        <f t="shared" si="1"/>
        <v>50385.577653093642</v>
      </c>
      <c r="AN43" s="9">
        <f t="shared" si="1"/>
        <v>45033.651907438449</v>
      </c>
      <c r="AO43" s="9">
        <f t="shared" si="1"/>
        <v>38190.275985011751</v>
      </c>
      <c r="AP43" s="9">
        <f t="shared" si="1"/>
        <v>48347.742564359869</v>
      </c>
      <c r="AQ43" s="9">
        <f t="shared" si="1"/>
        <v>58081.292383230721</v>
      </c>
      <c r="AR43" s="9">
        <f t="shared" si="1"/>
        <v>61773.481932877403</v>
      </c>
      <c r="AS43" s="9">
        <f t="shared" si="1"/>
        <v>69800.742945257647</v>
      </c>
      <c r="AT43" s="9">
        <f t="shared" si="1"/>
        <v>70158.126518316407</v>
      </c>
      <c r="AU43" s="9">
        <f t="shared" si="1"/>
        <v>71223.155472149825</v>
      </c>
      <c r="AV43" s="9">
        <f t="shared" si="1"/>
        <v>67262.884308671637</v>
      </c>
      <c r="AW43" s="9">
        <f t="shared" si="1"/>
        <v>54470.77902003764</v>
      </c>
      <c r="AX43" s="9">
        <f t="shared" si="1"/>
        <v>44828.97890406278</v>
      </c>
      <c r="AY43" s="9">
        <f t="shared" si="1"/>
        <v>55925.639913261883</v>
      </c>
      <c r="AZ43" s="9">
        <f t="shared" si="1"/>
        <v>46387.59117305102</v>
      </c>
      <c r="BA43" s="9">
        <f t="shared" si="1"/>
        <v>28476.289985560306</v>
      </c>
      <c r="BB43" s="9">
        <f t="shared" si="1"/>
        <v>26419.151454116753</v>
      </c>
      <c r="BC43" s="9">
        <f t="shared" si="1"/>
        <v>34694.063376919657</v>
      </c>
      <c r="BD43" s="9">
        <f t="shared" si="1"/>
        <v>37931.150976919656</v>
      </c>
      <c r="BE43" s="9">
        <f t="shared" si="1"/>
        <v>36608.358617854501</v>
      </c>
      <c r="BF43" s="9">
        <f t="shared" si="1"/>
        <v>33196.608</v>
      </c>
      <c r="BG43" s="9">
        <f t="shared" si="1"/>
        <v>33271.200000000004</v>
      </c>
      <c r="BH43" s="9">
        <f t="shared" si="1"/>
        <v>32710.754400000002</v>
      </c>
      <c r="BI43" s="9">
        <f t="shared" si="1"/>
        <v>32316.408000000003</v>
      </c>
      <c r="BJ43" s="9">
        <f t="shared" si="1"/>
        <v>26566.214400000001</v>
      </c>
      <c r="BK43" s="9">
        <f t="shared" si="1"/>
        <v>21270.762000000002</v>
      </c>
      <c r="BL43" s="9">
        <f t="shared" si="1"/>
        <v>7586.7840000000006</v>
      </c>
      <c r="BM43" s="9">
        <f t="shared" si="1"/>
        <v>0</v>
      </c>
      <c r="BN43" s="9">
        <f t="shared" si="1"/>
        <v>0</v>
      </c>
      <c r="BO43" s="9">
        <f t="shared" si="1"/>
        <v>0</v>
      </c>
      <c r="BP43" s="9">
        <f t="shared" si="1"/>
        <v>0</v>
      </c>
      <c r="BQ43" s="9">
        <f t="shared" si="1"/>
        <v>0</v>
      </c>
      <c r="BR43" s="9">
        <f t="shared" si="1"/>
        <v>0</v>
      </c>
      <c r="BS43" s="9">
        <f t="shared" si="1"/>
        <v>0</v>
      </c>
      <c r="BT43" s="9">
        <f t="shared" si="1"/>
        <v>0</v>
      </c>
      <c r="BU43" s="9">
        <f t="shared" si="1"/>
        <v>0</v>
      </c>
      <c r="BV43" s="9">
        <f t="shared" si="1"/>
        <v>0</v>
      </c>
      <c r="BW43" s="9">
        <f t="shared" si="1"/>
        <v>0</v>
      </c>
      <c r="BX43" s="9">
        <f t="shared" si="1"/>
        <v>0</v>
      </c>
    </row>
    <row r="44" spans="1:76">
      <c r="A44" s="3"/>
      <c r="F44" s="91"/>
      <c r="H44" s="3"/>
      <c r="I44" s="3"/>
      <c r="J44" s="124"/>
      <c r="K44" s="124"/>
      <c r="L44" s="6"/>
      <c r="M44" s="124"/>
      <c r="N44" s="9"/>
      <c r="O44" s="9"/>
      <c r="P44" s="9"/>
      <c r="Q44" s="9"/>
      <c r="R44" s="9"/>
      <c r="S44" s="9"/>
      <c r="T44" s="9"/>
      <c r="U44" s="9"/>
      <c r="V44" s="9"/>
      <c r="W44" s="9"/>
      <c r="X44" s="10"/>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row>
    <row r="45" spans="1:76">
      <c r="A45" s="3"/>
      <c r="F45" s="91"/>
      <c r="H45" s="3"/>
      <c r="I45" s="3"/>
      <c r="J45" s="124"/>
      <c r="K45" s="124"/>
      <c r="L45" s="6"/>
      <c r="M45" s="124"/>
      <c r="N45" s="9"/>
      <c r="O45" s="9"/>
      <c r="P45" s="9"/>
      <c r="Q45" s="9"/>
      <c r="R45" s="9"/>
      <c r="S45" s="9"/>
      <c r="T45" s="9"/>
      <c r="U45" s="9"/>
      <c r="V45" s="9"/>
      <c r="W45" s="9"/>
      <c r="X45" s="10"/>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row>
    <row r="46" spans="1:76">
      <c r="A46" s="3"/>
      <c r="F46" s="91"/>
      <c r="H46" s="3"/>
      <c r="I46" s="3"/>
      <c r="J46" s="124"/>
      <c r="K46" s="124"/>
      <c r="L46" s="6"/>
      <c r="M46" s="124"/>
      <c r="N46" s="9"/>
      <c r="O46" s="9"/>
      <c r="P46" s="9"/>
      <c r="Q46" s="9"/>
      <c r="R46" s="9"/>
      <c r="S46" s="9"/>
      <c r="T46" s="9"/>
      <c r="U46" s="9"/>
      <c r="V46" s="9"/>
      <c r="W46" s="9"/>
      <c r="X46" s="10"/>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row>
    <row r="47" spans="1:76">
      <c r="A47" s="3"/>
      <c r="F47" s="91"/>
      <c r="H47" s="3"/>
      <c r="I47" s="3"/>
      <c r="J47" s="124"/>
      <c r="K47" s="124"/>
      <c r="L47" s="6"/>
      <c r="M47" s="124"/>
      <c r="N47" s="9"/>
      <c r="O47" s="9"/>
      <c r="P47" s="9"/>
      <c r="Q47" s="9"/>
      <c r="R47" s="9"/>
      <c r="S47" s="9"/>
      <c r="T47" s="9"/>
      <c r="U47" s="9"/>
      <c r="V47" s="9"/>
      <c r="W47" s="9"/>
      <c r="X47" s="10"/>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row>
    <row r="48" spans="1:76">
      <c r="A48" s="3"/>
      <c r="F48" s="91"/>
      <c r="H48" s="3"/>
      <c r="I48" s="3"/>
      <c r="J48" s="124"/>
      <c r="K48" s="124"/>
      <c r="L48" s="6"/>
      <c r="M48" s="124"/>
      <c r="N48" s="9"/>
      <c r="O48" s="9"/>
      <c r="P48" s="9"/>
      <c r="Q48" s="9"/>
      <c r="R48" s="9"/>
      <c r="S48" s="9"/>
      <c r="T48" s="9"/>
      <c r="U48" s="9"/>
      <c r="V48" s="9"/>
      <c r="W48" s="9"/>
      <c r="X48" s="10"/>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row>
    <row r="49" spans="1:76">
      <c r="A49" s="3"/>
      <c r="F49" s="91"/>
      <c r="H49" s="3"/>
      <c r="I49" s="3"/>
      <c r="J49" s="124"/>
      <c r="K49" s="124"/>
      <c r="L49" s="6"/>
      <c r="M49" s="124"/>
      <c r="N49" s="9"/>
      <c r="O49" s="9"/>
      <c r="P49" s="9"/>
      <c r="Q49" s="9"/>
      <c r="R49" s="9"/>
      <c r="S49" s="9"/>
      <c r="T49" s="9"/>
      <c r="U49" s="9"/>
      <c r="V49" s="9"/>
      <c r="W49" s="9"/>
      <c r="X49" s="10"/>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row>
    <row r="50" spans="1:76">
      <c r="A50" s="3"/>
      <c r="F50" s="91"/>
      <c r="H50" s="3"/>
      <c r="I50" s="3"/>
      <c r="J50" s="124"/>
      <c r="K50" s="124"/>
      <c r="L50" s="6"/>
      <c r="M50" s="124"/>
      <c r="N50" s="9"/>
      <c r="O50" s="9"/>
      <c r="P50" s="9"/>
      <c r="Q50" s="9"/>
      <c r="R50" s="9"/>
      <c r="S50" s="9"/>
      <c r="T50" s="9"/>
      <c r="U50" s="9"/>
      <c r="V50" s="9"/>
      <c r="W50" s="9"/>
      <c r="X50" s="10"/>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row>
    <row r="51" spans="1:76">
      <c r="A51" s="3"/>
      <c r="F51" s="91"/>
      <c r="H51" s="3"/>
      <c r="I51" s="3"/>
      <c r="J51" s="124"/>
      <c r="K51" s="124"/>
      <c r="L51" s="6"/>
      <c r="M51" s="124"/>
      <c r="N51" s="9"/>
      <c r="O51" s="9"/>
      <c r="P51" s="9"/>
      <c r="Q51" s="9"/>
      <c r="R51" s="9"/>
      <c r="S51" s="9"/>
      <c r="T51" s="9"/>
      <c r="U51" s="9"/>
      <c r="V51" s="9"/>
      <c r="W51" s="9"/>
      <c r="X51" s="10"/>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row>
    <row r="52" spans="1:76">
      <c r="A52" s="3"/>
      <c r="F52" s="91"/>
      <c r="H52" s="3"/>
      <c r="I52" s="3"/>
      <c r="J52" s="124"/>
      <c r="K52" s="124"/>
      <c r="L52" s="6"/>
      <c r="M52" s="124"/>
      <c r="N52" s="9"/>
      <c r="O52" s="9"/>
      <c r="P52" s="9"/>
      <c r="Q52" s="9"/>
      <c r="R52" s="9"/>
      <c r="S52" s="9"/>
      <c r="T52" s="9"/>
      <c r="U52" s="9"/>
      <c r="V52" s="9"/>
      <c r="W52" s="9"/>
      <c r="X52" s="10"/>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row>
    <row r="53" spans="1:76">
      <c r="A53" s="3"/>
      <c r="F53" s="91"/>
      <c r="H53" s="3"/>
      <c r="I53" s="3"/>
      <c r="J53" s="124"/>
      <c r="K53" s="124"/>
      <c r="L53" s="6"/>
      <c r="M53" s="124"/>
      <c r="N53" s="9"/>
      <c r="O53" s="9"/>
      <c r="P53" s="9"/>
      <c r="Q53" s="9"/>
      <c r="R53" s="9"/>
      <c r="S53" s="9"/>
      <c r="T53" s="9"/>
      <c r="U53" s="9"/>
      <c r="V53" s="9"/>
      <c r="W53" s="9"/>
      <c r="X53" s="10"/>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row>
    <row r="54" spans="1:76">
      <c r="A54" s="3"/>
      <c r="F54" s="91"/>
      <c r="H54" s="3"/>
      <c r="I54" s="3"/>
      <c r="J54" s="124"/>
      <c r="K54" s="124"/>
      <c r="L54" s="6"/>
      <c r="M54" s="124"/>
      <c r="N54" s="9"/>
      <c r="O54" s="9"/>
      <c r="P54" s="9"/>
      <c r="Q54" s="9"/>
      <c r="R54" s="9"/>
      <c r="S54" s="9"/>
      <c r="T54" s="9"/>
      <c r="U54" s="9"/>
      <c r="V54" s="9"/>
      <c r="W54" s="9"/>
      <c r="X54" s="10"/>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row>
    <row r="55" spans="1:76">
      <c r="A55" s="3"/>
      <c r="F55" s="91"/>
      <c r="H55" s="3"/>
      <c r="I55" s="3"/>
      <c r="J55" s="124"/>
      <c r="K55" s="124"/>
      <c r="L55" s="6"/>
      <c r="M55" s="124"/>
      <c r="N55" s="9"/>
      <c r="O55" s="9"/>
      <c r="P55" s="9"/>
      <c r="Q55" s="9"/>
      <c r="R55" s="9"/>
      <c r="S55" s="9"/>
      <c r="T55" s="9"/>
      <c r="U55" s="9"/>
      <c r="V55" s="9"/>
      <c r="W55" s="9"/>
      <c r="X55" s="10"/>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row>
    <row r="56" spans="1:76">
      <c r="A56" s="3"/>
      <c r="F56" s="91"/>
      <c r="H56" s="3"/>
      <c r="I56" s="3"/>
      <c r="J56" s="124"/>
      <c r="K56" s="124"/>
      <c r="L56" s="6"/>
      <c r="M56" s="124"/>
      <c r="N56" s="9"/>
      <c r="O56" s="9"/>
      <c r="P56" s="9"/>
      <c r="Q56" s="9"/>
      <c r="R56" s="9"/>
      <c r="S56" s="9"/>
      <c r="T56" s="9"/>
      <c r="U56" s="9"/>
      <c r="V56" s="9"/>
      <c r="W56" s="9"/>
      <c r="X56" s="10"/>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row>
    <row r="57" spans="1:76">
      <c r="A57" s="3"/>
      <c r="F57" s="91"/>
      <c r="H57" s="3"/>
      <c r="I57" s="3"/>
      <c r="J57" s="124"/>
      <c r="K57" s="124"/>
      <c r="L57" s="6"/>
      <c r="M57" s="124"/>
      <c r="N57" s="9"/>
      <c r="O57" s="9"/>
      <c r="P57" s="9"/>
      <c r="Q57" s="9"/>
      <c r="R57" s="9"/>
      <c r="S57" s="9"/>
      <c r="T57" s="9"/>
      <c r="U57" s="9"/>
      <c r="V57" s="9"/>
      <c r="W57" s="9"/>
      <c r="X57" s="10"/>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row>
    <row r="58" spans="1:76">
      <c r="A58" s="3"/>
      <c r="F58" s="91"/>
      <c r="H58" s="3"/>
      <c r="I58" s="3"/>
      <c r="J58" s="124"/>
      <c r="K58" s="124"/>
      <c r="L58" s="6"/>
      <c r="M58" s="124"/>
      <c r="N58" s="9"/>
      <c r="O58" s="9"/>
      <c r="P58" s="9"/>
      <c r="Q58" s="9"/>
      <c r="R58" s="9"/>
      <c r="S58" s="9"/>
      <c r="T58" s="9"/>
      <c r="U58" s="9"/>
      <c r="V58" s="9"/>
      <c r="W58" s="9"/>
      <c r="X58" s="10"/>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row>
    <row r="59" spans="1:76">
      <c r="A59" s="3"/>
      <c r="F59" s="91"/>
      <c r="H59" s="3"/>
      <c r="I59" s="3"/>
      <c r="J59" s="124"/>
      <c r="K59" s="124"/>
      <c r="L59" s="6"/>
      <c r="M59" s="124"/>
      <c r="N59" s="9"/>
      <c r="O59" s="9"/>
      <c r="P59" s="9"/>
      <c r="Q59" s="9"/>
      <c r="R59" s="9"/>
      <c r="S59" s="9"/>
      <c r="T59" s="9"/>
      <c r="U59" s="9"/>
      <c r="V59" s="9"/>
      <c r="W59" s="9"/>
      <c r="X59" s="10"/>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row>
    <row r="60" spans="1:76">
      <c r="A60" s="3"/>
      <c r="F60" s="91"/>
      <c r="H60" s="3"/>
      <c r="I60" s="3"/>
      <c r="J60" s="124"/>
      <c r="K60" s="124"/>
      <c r="L60" s="6"/>
      <c r="M60" s="124"/>
      <c r="N60" s="9"/>
      <c r="O60" s="9"/>
      <c r="P60" s="9"/>
      <c r="Q60" s="9"/>
      <c r="R60" s="9"/>
      <c r="S60" s="9"/>
      <c r="T60" s="9"/>
      <c r="U60" s="9"/>
      <c r="V60" s="9"/>
      <c r="W60" s="9"/>
      <c r="X60" s="10"/>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row>
    <row r="61" spans="1:76">
      <c r="A61" s="3"/>
      <c r="F61" s="91"/>
      <c r="H61" s="3"/>
      <c r="I61" s="3"/>
      <c r="J61" s="124"/>
      <c r="K61" s="124"/>
      <c r="L61" s="6"/>
      <c r="M61" s="124"/>
      <c r="N61" s="9"/>
      <c r="O61" s="9"/>
      <c r="P61" s="9"/>
      <c r="Q61" s="9"/>
      <c r="R61" s="9"/>
      <c r="S61" s="9"/>
      <c r="T61" s="9"/>
      <c r="U61" s="9"/>
      <c r="V61" s="9"/>
      <c r="W61" s="9"/>
      <c r="X61" s="10"/>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row>
    <row r="62" spans="1:76">
      <c r="A62" s="3"/>
      <c r="F62" s="91"/>
      <c r="H62" s="3"/>
      <c r="I62" s="3"/>
      <c r="J62" s="124"/>
      <c r="K62" s="124"/>
      <c r="L62" s="6"/>
      <c r="M62" s="124"/>
      <c r="N62" s="9"/>
      <c r="O62" s="9"/>
      <c r="P62" s="9"/>
      <c r="Q62" s="9"/>
      <c r="R62" s="9"/>
      <c r="S62" s="9"/>
      <c r="T62" s="9"/>
      <c r="U62" s="9"/>
      <c r="V62" s="9"/>
      <c r="W62" s="9"/>
      <c r="X62" s="10"/>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row>
    <row r="63" spans="1:76">
      <c r="A63" s="3"/>
      <c r="F63" s="91"/>
      <c r="H63" s="3"/>
      <c r="I63" s="3"/>
      <c r="J63" s="124"/>
      <c r="K63" s="124"/>
      <c r="L63" s="6"/>
      <c r="M63" s="124"/>
      <c r="N63" s="9"/>
      <c r="O63" s="9"/>
      <c r="P63" s="9"/>
      <c r="Q63" s="9"/>
      <c r="R63" s="9"/>
      <c r="S63" s="9"/>
      <c r="T63" s="9"/>
      <c r="U63" s="9"/>
      <c r="V63" s="9"/>
      <c r="W63" s="9"/>
      <c r="X63" s="10"/>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row>
    <row r="64" spans="1:76">
      <c r="A64" s="3"/>
      <c r="F64" s="91"/>
      <c r="H64" s="3"/>
      <c r="I64" s="3"/>
      <c r="J64" s="124"/>
      <c r="K64" s="124"/>
      <c r="L64" s="6"/>
      <c r="M64" s="124"/>
      <c r="N64" s="9"/>
      <c r="O64" s="9"/>
      <c r="P64" s="9"/>
      <c r="Q64" s="9"/>
      <c r="R64" s="9"/>
      <c r="S64" s="9"/>
      <c r="T64" s="9"/>
      <c r="U64" s="9"/>
      <c r="V64" s="9"/>
      <c r="W64" s="9"/>
      <c r="X64" s="10"/>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row>
    <row r="65" spans="1:76">
      <c r="A65" s="3"/>
      <c r="F65" s="91"/>
      <c r="H65" s="3"/>
      <c r="I65" s="3"/>
      <c r="J65" s="124"/>
      <c r="K65" s="124"/>
      <c r="L65" s="6"/>
      <c r="M65" s="124"/>
      <c r="N65" s="9"/>
      <c r="O65" s="9"/>
      <c r="P65" s="9"/>
      <c r="Q65" s="9"/>
      <c r="R65" s="9"/>
      <c r="S65" s="9"/>
      <c r="T65" s="9"/>
      <c r="U65" s="9"/>
      <c r="V65" s="9"/>
      <c r="W65" s="9"/>
      <c r="X65" s="10"/>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row>
  </sheetData>
  <autoFilter ref="A1:BX41" xr:uid="{B62C7C55-CBB8-47DA-A060-FE8636154A55}">
    <sortState xmlns:xlrd2="http://schemas.microsoft.com/office/spreadsheetml/2017/richdata2" ref="A2:BX41">
      <sortCondition ref="B1:B4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ACFD-BE1C-4523-9919-C3D53E66E54C}">
  <sheetPr codeName="Sheet13">
    <tabColor theme="6" tint="0.79998168889431442"/>
  </sheetPr>
  <dimension ref="A1:BX24"/>
  <sheetViews>
    <sheetView workbookViewId="0">
      <selection activeCell="H29" sqref="H29"/>
    </sheetView>
  </sheetViews>
  <sheetFormatPr defaultRowHeight="14.5"/>
  <cols>
    <col min="2" max="2" width="18.54296875" bestFit="1" customWidth="1"/>
    <col min="3" max="3" width="18.7265625" bestFit="1" customWidth="1"/>
    <col min="7" max="7" width="21.81640625" bestFit="1" customWidth="1"/>
    <col min="9" max="9" width="10.26953125" bestFit="1" customWidth="1"/>
    <col min="10" max="10" width="13.36328125" bestFit="1" customWidth="1"/>
    <col min="11" max="11" width="10.26953125" bestFit="1" customWidth="1"/>
    <col min="12" max="12" width="14.7265625" bestFit="1" customWidth="1"/>
    <col min="13" max="13" width="11.81640625" bestFit="1" customWidth="1"/>
  </cols>
  <sheetData>
    <row r="1" spans="1:76">
      <c r="A1" s="127" t="s">
        <v>0</v>
      </c>
      <c r="B1" s="127" t="s">
        <v>1</v>
      </c>
      <c r="C1" s="127" t="s">
        <v>4966</v>
      </c>
      <c r="D1" s="127" t="s">
        <v>3</v>
      </c>
      <c r="E1" s="127" t="s">
        <v>5162</v>
      </c>
      <c r="F1" s="128" t="s">
        <v>4</v>
      </c>
      <c r="G1" s="127" t="s">
        <v>5163</v>
      </c>
      <c r="H1" s="127" t="s">
        <v>31</v>
      </c>
      <c r="I1" s="127" t="s">
        <v>65</v>
      </c>
      <c r="J1" s="129" t="s">
        <v>35</v>
      </c>
      <c r="K1" s="129" t="s">
        <v>36</v>
      </c>
      <c r="L1" s="129" t="s">
        <v>67</v>
      </c>
      <c r="M1" s="129" t="s">
        <v>37</v>
      </c>
      <c r="N1" s="130" t="s">
        <v>5273</v>
      </c>
      <c r="O1" s="130" t="s">
        <v>5274</v>
      </c>
      <c r="P1" s="130" t="s">
        <v>5275</v>
      </c>
      <c r="Q1" s="130" t="s">
        <v>5276</v>
      </c>
      <c r="R1" s="130" t="s">
        <v>5277</v>
      </c>
      <c r="S1" s="130" t="s">
        <v>5278</v>
      </c>
      <c r="T1" s="130" t="s">
        <v>5279</v>
      </c>
      <c r="U1" s="130" t="s">
        <v>5280</v>
      </c>
      <c r="V1" s="130" t="s">
        <v>5281</v>
      </c>
      <c r="W1" s="131" t="s">
        <v>5282</v>
      </c>
      <c r="X1" s="132" t="s">
        <v>5283</v>
      </c>
      <c r="Y1" s="130" t="s">
        <v>5284</v>
      </c>
      <c r="Z1" s="130" t="s">
        <v>5285</v>
      </c>
      <c r="AA1" s="130" t="s">
        <v>5286</v>
      </c>
      <c r="AB1" s="130" t="s">
        <v>5287</v>
      </c>
      <c r="AC1" s="130" t="s">
        <v>5288</v>
      </c>
      <c r="AD1" s="130" t="s">
        <v>5289</v>
      </c>
      <c r="AE1" s="130" t="s">
        <v>5290</v>
      </c>
      <c r="AF1" s="130" t="s">
        <v>5291</v>
      </c>
      <c r="AG1" s="130" t="s">
        <v>5292</v>
      </c>
      <c r="AH1" s="130" t="s">
        <v>5293</v>
      </c>
      <c r="AI1" s="130" t="s">
        <v>5294</v>
      </c>
      <c r="AJ1" s="130" t="s">
        <v>5295</v>
      </c>
      <c r="AK1" s="130" t="s">
        <v>5296</v>
      </c>
      <c r="AL1" s="130" t="s">
        <v>5297</v>
      </c>
      <c r="AM1" s="130" t="s">
        <v>5298</v>
      </c>
      <c r="AN1" s="130" t="s">
        <v>5299</v>
      </c>
      <c r="AO1" s="130" t="s">
        <v>5300</v>
      </c>
      <c r="AP1" s="130" t="s">
        <v>5301</v>
      </c>
      <c r="AQ1" s="130" t="s">
        <v>5302</v>
      </c>
      <c r="AR1" s="130" t="s">
        <v>5303</v>
      </c>
      <c r="AS1" s="130" t="s">
        <v>5304</v>
      </c>
      <c r="AT1" s="130" t="s">
        <v>5305</v>
      </c>
      <c r="AU1" s="130" t="s">
        <v>5306</v>
      </c>
      <c r="AV1" s="130" t="s">
        <v>5307</v>
      </c>
      <c r="AW1" s="130" t="s">
        <v>5308</v>
      </c>
      <c r="AX1" s="130" t="s">
        <v>5309</v>
      </c>
      <c r="AY1" s="130" t="s">
        <v>5310</v>
      </c>
      <c r="AZ1" s="130" t="s">
        <v>5311</v>
      </c>
      <c r="BA1" s="130" t="s">
        <v>5312</v>
      </c>
      <c r="BB1" s="130" t="s">
        <v>5313</v>
      </c>
      <c r="BC1" s="130" t="s">
        <v>5314</v>
      </c>
      <c r="BD1" s="130" t="s">
        <v>5315</v>
      </c>
      <c r="BE1" s="130" t="s">
        <v>5316</v>
      </c>
      <c r="BF1" s="130" t="s">
        <v>5317</v>
      </c>
      <c r="BG1" s="130" t="s">
        <v>5318</v>
      </c>
      <c r="BH1" s="130" t="s">
        <v>5319</v>
      </c>
      <c r="BI1" s="130" t="s">
        <v>5320</v>
      </c>
      <c r="BJ1" s="130" t="s">
        <v>5321</v>
      </c>
      <c r="BK1" s="130" t="s">
        <v>5322</v>
      </c>
      <c r="BL1" s="130" t="s">
        <v>5323</v>
      </c>
      <c r="BM1" s="130" t="s">
        <v>5324</v>
      </c>
      <c r="BN1" s="130" t="s">
        <v>5325</v>
      </c>
      <c r="BO1" s="130" t="s">
        <v>5326</v>
      </c>
      <c r="BP1" s="130" t="s">
        <v>5327</v>
      </c>
      <c r="BQ1" s="130" t="s">
        <v>5328</v>
      </c>
      <c r="BR1" s="130" t="s">
        <v>5329</v>
      </c>
      <c r="BS1" s="130" t="s">
        <v>5330</v>
      </c>
      <c r="BT1" s="130" t="s">
        <v>5331</v>
      </c>
      <c r="BU1" s="130" t="s">
        <v>5332</v>
      </c>
      <c r="BV1" s="130" t="s">
        <v>5333</v>
      </c>
      <c r="BW1" s="130" t="s">
        <v>5334</v>
      </c>
      <c r="BX1" s="130" t="s">
        <v>5335</v>
      </c>
    </row>
    <row r="2" spans="1:76">
      <c r="A2" s="3" t="s">
        <v>66</v>
      </c>
      <c r="B2" t="s">
        <v>2618</v>
      </c>
      <c r="C2" t="s">
        <v>5337</v>
      </c>
      <c r="D2" t="s">
        <v>4967</v>
      </c>
      <c r="F2" t="s">
        <v>4973</v>
      </c>
      <c r="G2" t="s">
        <v>4983</v>
      </c>
      <c r="H2" t="s">
        <v>4984</v>
      </c>
      <c r="M2">
        <v>1.05</v>
      </c>
      <c r="N2">
        <v>0</v>
      </c>
      <c r="O2">
        <v>0</v>
      </c>
      <c r="P2">
        <v>0</v>
      </c>
      <c r="Q2">
        <v>0</v>
      </c>
      <c r="R2">
        <v>0</v>
      </c>
      <c r="S2">
        <v>0</v>
      </c>
      <c r="T2">
        <v>0</v>
      </c>
      <c r="U2">
        <v>0</v>
      </c>
      <c r="V2">
        <v>0</v>
      </c>
      <c r="W2">
        <v>0</v>
      </c>
      <c r="X2">
        <v>0</v>
      </c>
      <c r="Y2">
        <v>78750</v>
      </c>
      <c r="Z2">
        <v>52500</v>
      </c>
      <c r="AA2">
        <v>52500</v>
      </c>
      <c r="AB2">
        <v>52500</v>
      </c>
      <c r="AC2">
        <v>26250</v>
      </c>
      <c r="AD2">
        <v>52500</v>
      </c>
      <c r="AE2">
        <v>52500</v>
      </c>
      <c r="AF2">
        <v>105000</v>
      </c>
      <c r="AG2">
        <v>105000</v>
      </c>
      <c r="AH2">
        <v>131250</v>
      </c>
      <c r="AI2">
        <v>131250</v>
      </c>
      <c r="AJ2">
        <v>131250</v>
      </c>
      <c r="AK2">
        <v>131250</v>
      </c>
      <c r="AL2">
        <v>105000</v>
      </c>
      <c r="AM2">
        <v>52500</v>
      </c>
      <c r="AN2">
        <v>21000</v>
      </c>
      <c r="AO2">
        <v>21000</v>
      </c>
      <c r="AP2">
        <v>21000</v>
      </c>
      <c r="AQ2">
        <v>42000</v>
      </c>
      <c r="AR2">
        <v>42000</v>
      </c>
      <c r="AS2">
        <v>105000</v>
      </c>
      <c r="AT2">
        <v>105000</v>
      </c>
      <c r="AU2">
        <v>105000</v>
      </c>
      <c r="AV2">
        <v>105000</v>
      </c>
      <c r="AW2">
        <v>105000</v>
      </c>
      <c r="AX2">
        <v>105000</v>
      </c>
      <c r="AY2">
        <v>70066.5</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row>
    <row r="3" spans="1:76">
      <c r="A3" s="3" t="s">
        <v>66</v>
      </c>
      <c r="B3" t="s">
        <v>2619</v>
      </c>
      <c r="C3" t="s">
        <v>5337</v>
      </c>
      <c r="D3" t="s">
        <v>4967</v>
      </c>
      <c r="F3" t="s">
        <v>4973</v>
      </c>
      <c r="G3" t="s">
        <v>4983</v>
      </c>
      <c r="H3" t="s">
        <v>4984</v>
      </c>
      <c r="M3">
        <v>1.05</v>
      </c>
      <c r="N3">
        <v>0</v>
      </c>
      <c r="O3">
        <v>0</v>
      </c>
      <c r="P3">
        <v>0</v>
      </c>
      <c r="Q3">
        <v>0</v>
      </c>
      <c r="R3">
        <v>0</v>
      </c>
      <c r="S3">
        <v>0</v>
      </c>
      <c r="T3">
        <v>0</v>
      </c>
      <c r="U3">
        <v>0</v>
      </c>
      <c r="V3">
        <v>0</v>
      </c>
      <c r="W3">
        <v>0</v>
      </c>
      <c r="X3">
        <v>0</v>
      </c>
      <c r="Y3">
        <v>0</v>
      </c>
      <c r="Z3">
        <v>0</v>
      </c>
      <c r="AA3">
        <v>0</v>
      </c>
      <c r="AB3">
        <v>0</v>
      </c>
      <c r="AC3">
        <v>0</v>
      </c>
      <c r="AD3">
        <v>0</v>
      </c>
      <c r="AE3">
        <v>10500</v>
      </c>
      <c r="AF3">
        <v>10500</v>
      </c>
      <c r="AG3">
        <v>10500</v>
      </c>
      <c r="AH3">
        <v>10500</v>
      </c>
      <c r="AI3">
        <v>10500</v>
      </c>
      <c r="AJ3">
        <v>10500</v>
      </c>
      <c r="AK3">
        <v>10500</v>
      </c>
      <c r="AL3">
        <v>0</v>
      </c>
      <c r="AM3">
        <v>0</v>
      </c>
      <c r="AN3">
        <v>0</v>
      </c>
      <c r="AO3">
        <v>0</v>
      </c>
      <c r="AP3">
        <v>0</v>
      </c>
      <c r="AQ3">
        <v>0</v>
      </c>
      <c r="AR3">
        <v>0</v>
      </c>
      <c r="AS3">
        <v>0</v>
      </c>
      <c r="AT3">
        <v>10500</v>
      </c>
      <c r="AU3">
        <v>10500</v>
      </c>
      <c r="AV3">
        <v>10500</v>
      </c>
      <c r="AW3">
        <v>8946</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row>
    <row r="4" spans="1:76">
      <c r="A4" s="3" t="s">
        <v>66</v>
      </c>
      <c r="B4" t="s">
        <v>6</v>
      </c>
      <c r="C4" t="s">
        <v>5337</v>
      </c>
      <c r="D4" t="s">
        <v>4967</v>
      </c>
      <c r="F4" t="s">
        <v>4973</v>
      </c>
      <c r="G4" t="s">
        <v>4983</v>
      </c>
      <c r="H4" t="s">
        <v>4984</v>
      </c>
      <c r="M4">
        <v>1.5</v>
      </c>
      <c r="N4">
        <v>0</v>
      </c>
      <c r="O4">
        <v>0</v>
      </c>
      <c r="P4">
        <v>0</v>
      </c>
      <c r="Q4">
        <v>0</v>
      </c>
      <c r="R4">
        <v>120.39214687710441</v>
      </c>
      <c r="S4">
        <v>141.72537071022739</v>
      </c>
      <c r="T4">
        <v>161.23948241266817</v>
      </c>
      <c r="U4">
        <v>1.3200000000000784</v>
      </c>
      <c r="V4">
        <v>103.10849999999996</v>
      </c>
      <c r="W4">
        <v>2.1464999999999748</v>
      </c>
      <c r="X4">
        <v>262.86839776628733</v>
      </c>
      <c r="Y4">
        <v>342.04104643191073</v>
      </c>
      <c r="Z4">
        <v>624.98502466788432</v>
      </c>
      <c r="AA4">
        <v>722.13111223099304</v>
      </c>
      <c r="AB4">
        <v>664.30937862097721</v>
      </c>
      <c r="AC4">
        <v>930.51276185895858</v>
      </c>
      <c r="AD4">
        <v>1386.6034071786357</v>
      </c>
      <c r="AE4">
        <v>897.57990316316364</v>
      </c>
      <c r="AF4">
        <v>876.22898810755623</v>
      </c>
      <c r="AG4">
        <v>1183.8387999932249</v>
      </c>
      <c r="AH4">
        <v>1520.8460244880685</v>
      </c>
      <c r="AI4">
        <v>1499.4951094324608</v>
      </c>
      <c r="AJ4">
        <v>1499.4951094324608</v>
      </c>
      <c r="AK4">
        <v>1319.0531335459286</v>
      </c>
      <c r="AL4">
        <v>991.32788769183242</v>
      </c>
      <c r="AM4">
        <v>746.10445198845605</v>
      </c>
      <c r="AN4">
        <v>659.72278409921569</v>
      </c>
      <c r="AO4">
        <v>685.15587224045771</v>
      </c>
      <c r="AP4">
        <v>822.15025451609711</v>
      </c>
      <c r="AQ4">
        <v>843.50116957170462</v>
      </c>
      <c r="AR4">
        <v>843.50116957170462</v>
      </c>
      <c r="AS4">
        <v>843.50116957170462</v>
      </c>
      <c r="AT4">
        <v>822.15025451609711</v>
      </c>
      <c r="AU4">
        <v>800.79933946048948</v>
      </c>
      <c r="AV4">
        <v>800.79933946048948</v>
      </c>
      <c r="AW4">
        <v>231.2869344400637</v>
      </c>
      <c r="AX4">
        <v>256.82164152101848</v>
      </c>
      <c r="AY4">
        <v>256.82164152101848</v>
      </c>
      <c r="AZ4">
        <v>231.2869344400637</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row>
    <row r="5" spans="1:76">
      <c r="A5" s="3" t="s">
        <v>66</v>
      </c>
      <c r="B5" t="s">
        <v>7</v>
      </c>
      <c r="C5" t="s">
        <v>5337</v>
      </c>
      <c r="D5" t="s">
        <v>4967</v>
      </c>
      <c r="F5" t="s">
        <v>4973</v>
      </c>
      <c r="G5" t="s">
        <v>4983</v>
      </c>
      <c r="H5" t="s">
        <v>4984</v>
      </c>
      <c r="M5">
        <v>1.33</v>
      </c>
      <c r="N5">
        <v>0</v>
      </c>
      <c r="O5">
        <v>0</v>
      </c>
      <c r="P5">
        <v>429.61660000000001</v>
      </c>
      <c r="Q5">
        <v>482.20480000000009</v>
      </c>
      <c r="R5">
        <v>542.33845575947998</v>
      </c>
      <c r="S5">
        <v>638.43963818824466</v>
      </c>
      <c r="T5">
        <v>726.34614605227546</v>
      </c>
      <c r="U5">
        <v>0.22626079699997961</v>
      </c>
      <c r="V5">
        <v>797.47864000000038</v>
      </c>
      <c r="W5">
        <v>244.5324699999999</v>
      </c>
      <c r="X5">
        <v>26.974887804658074</v>
      </c>
      <c r="Y5">
        <v>63.403510403934327</v>
      </c>
      <c r="Z5">
        <v>372.71223650103047</v>
      </c>
      <c r="AA5">
        <v>396.87130507547909</v>
      </c>
      <c r="AB5">
        <v>376.74760189637362</v>
      </c>
      <c r="AC5">
        <v>389.9163738873425</v>
      </c>
      <c r="AD5">
        <v>776.59906577739685</v>
      </c>
      <c r="AE5">
        <v>431.95279815500567</v>
      </c>
      <c r="AF5">
        <v>415.64787873483488</v>
      </c>
      <c r="AG5">
        <v>742.67234356363747</v>
      </c>
      <c r="AH5">
        <v>1068.4712863256464</v>
      </c>
      <c r="AI5">
        <v>1052.1663669054753</v>
      </c>
      <c r="AJ5">
        <v>1052.1663669054753</v>
      </c>
      <c r="AK5">
        <v>922.58139720080737</v>
      </c>
      <c r="AL5">
        <v>605.75573040470124</v>
      </c>
      <c r="AM5">
        <v>410.30413353368203</v>
      </c>
      <c r="AN5">
        <v>362.5703504594909</v>
      </c>
      <c r="AO5">
        <v>365.19744229063514</v>
      </c>
      <c r="AP5">
        <v>421.74976806901697</v>
      </c>
      <c r="AQ5">
        <v>438.05468748918764</v>
      </c>
      <c r="AR5">
        <v>438.05468748918764</v>
      </c>
      <c r="AS5">
        <v>438.05468748918764</v>
      </c>
      <c r="AT5">
        <v>421.74976806901697</v>
      </c>
      <c r="AU5">
        <v>405.44484864884623</v>
      </c>
      <c r="AV5">
        <v>405.44484864884623</v>
      </c>
      <c r="AW5">
        <v>80.494812716422032</v>
      </c>
      <c r="AX5">
        <v>100.06071602062707</v>
      </c>
      <c r="AY5">
        <v>100.06071602062707</v>
      </c>
      <c r="AZ5">
        <v>80.494812716422032</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row>
    <row r="6" spans="1:76">
      <c r="A6" s="3" t="s">
        <v>66</v>
      </c>
      <c r="B6" t="s">
        <v>5193</v>
      </c>
      <c r="C6" t="s">
        <v>5337</v>
      </c>
      <c r="D6" t="s">
        <v>4967</v>
      </c>
      <c r="F6" t="s">
        <v>4973</v>
      </c>
      <c r="G6" t="s">
        <v>4983</v>
      </c>
      <c r="H6" t="s">
        <v>4984</v>
      </c>
      <c r="M6">
        <v>1.2705</v>
      </c>
      <c r="N6">
        <v>0</v>
      </c>
      <c r="O6">
        <v>0</v>
      </c>
      <c r="P6">
        <v>0</v>
      </c>
      <c r="Q6">
        <v>0</v>
      </c>
      <c r="R6">
        <v>7.0366483688729984</v>
      </c>
      <c r="S6">
        <v>8.2835269949463672</v>
      </c>
      <c r="T6">
        <v>9.4240826361806302</v>
      </c>
      <c r="U6">
        <v>431.49102150000004</v>
      </c>
      <c r="V6">
        <v>5.6219625000000146</v>
      </c>
      <c r="W6">
        <v>273.00885149999999</v>
      </c>
      <c r="X6">
        <v>3654.717206963162</v>
      </c>
      <c r="Y6">
        <v>5986.4403583120156</v>
      </c>
      <c r="Z6">
        <v>10729.757792695624</v>
      </c>
      <c r="AA6">
        <v>11342.494492467602</v>
      </c>
      <c r="AB6">
        <v>9760.8944395141953</v>
      </c>
      <c r="AC6">
        <v>13365.492755497058</v>
      </c>
      <c r="AD6">
        <v>21233.852236908238</v>
      </c>
      <c r="AE6">
        <v>14773.195645580188</v>
      </c>
      <c r="AF6">
        <v>12717.497587552174</v>
      </c>
      <c r="AG6">
        <v>17926.620033252108</v>
      </c>
      <c r="AH6">
        <v>24196.176506421209</v>
      </c>
      <c r="AI6">
        <v>22140.47844839318</v>
      </c>
      <c r="AJ6">
        <v>22140.47844839318</v>
      </c>
      <c r="AK6">
        <v>19400.572514847321</v>
      </c>
      <c r="AL6">
        <v>14573.310831132774</v>
      </c>
      <c r="AM6">
        <v>11258.278511315453</v>
      </c>
      <c r="AN6">
        <v>9908.7895387260851</v>
      </c>
      <c r="AO6">
        <v>10291.638946496887</v>
      </c>
      <c r="AP6">
        <v>12899.387191166581</v>
      </c>
      <c r="AQ6">
        <v>13649.510289562029</v>
      </c>
      <c r="AR6">
        <v>13649.510289562029</v>
      </c>
      <c r="AS6">
        <v>13649.510289562029</v>
      </c>
      <c r="AT6">
        <v>12899.387191166581</v>
      </c>
      <c r="AU6">
        <v>12149.264092771135</v>
      </c>
      <c r="AV6">
        <v>12149.264092771135</v>
      </c>
      <c r="AW6">
        <v>3715.250292548486</v>
      </c>
      <c r="AX6">
        <v>4692.6275234199711</v>
      </c>
      <c r="AY6">
        <v>4692.6275234199711</v>
      </c>
      <c r="AZ6">
        <v>3715.250292548486</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row>
    <row r="7" spans="1:76">
      <c r="A7" s="3" t="s">
        <v>66</v>
      </c>
      <c r="B7" t="s">
        <v>2623</v>
      </c>
      <c r="C7" t="s">
        <v>5337</v>
      </c>
      <c r="D7" t="s">
        <v>4967</v>
      </c>
      <c r="F7" t="s">
        <v>4973</v>
      </c>
      <c r="G7" t="s">
        <v>4983</v>
      </c>
      <c r="H7" t="s">
        <v>4984</v>
      </c>
      <c r="M7">
        <v>0.33</v>
      </c>
      <c r="N7">
        <v>0</v>
      </c>
      <c r="O7">
        <v>0</v>
      </c>
      <c r="P7">
        <v>0</v>
      </c>
      <c r="Q7">
        <v>0</v>
      </c>
      <c r="R7">
        <v>0</v>
      </c>
      <c r="S7">
        <v>0</v>
      </c>
      <c r="T7">
        <v>0</v>
      </c>
      <c r="U7">
        <v>0</v>
      </c>
      <c r="V7">
        <v>0</v>
      </c>
      <c r="W7">
        <v>0</v>
      </c>
      <c r="X7">
        <v>0</v>
      </c>
      <c r="Y7">
        <v>0</v>
      </c>
      <c r="Z7">
        <v>0</v>
      </c>
      <c r="AA7">
        <v>0</v>
      </c>
      <c r="AB7">
        <v>0</v>
      </c>
      <c r="AC7">
        <v>0</v>
      </c>
      <c r="AD7">
        <v>0</v>
      </c>
      <c r="AE7">
        <v>334.125</v>
      </c>
      <c r="AF7">
        <v>334.125</v>
      </c>
      <c r="AG7">
        <v>334.125</v>
      </c>
      <c r="AH7">
        <v>334.125</v>
      </c>
      <c r="AI7">
        <v>334.125</v>
      </c>
      <c r="AJ7">
        <v>334.125</v>
      </c>
      <c r="AK7">
        <v>334.125</v>
      </c>
      <c r="AL7">
        <v>334.125</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row>
    <row r="8" spans="1:76">
      <c r="A8" s="3" t="s">
        <v>66</v>
      </c>
      <c r="B8" t="s">
        <v>9</v>
      </c>
      <c r="C8" t="s">
        <v>5337</v>
      </c>
      <c r="D8" t="s">
        <v>4967</v>
      </c>
      <c r="F8" t="s">
        <v>4973</v>
      </c>
      <c r="G8" t="s">
        <v>4983</v>
      </c>
      <c r="H8" t="s">
        <v>4984</v>
      </c>
      <c r="M8">
        <v>1.1454545454545457</v>
      </c>
      <c r="N8">
        <v>0</v>
      </c>
      <c r="O8">
        <v>0</v>
      </c>
      <c r="P8">
        <v>0</v>
      </c>
      <c r="Q8">
        <v>0</v>
      </c>
      <c r="R8">
        <v>0</v>
      </c>
      <c r="S8">
        <v>0</v>
      </c>
      <c r="T8">
        <v>0</v>
      </c>
      <c r="U8">
        <v>0</v>
      </c>
      <c r="V8">
        <v>0</v>
      </c>
      <c r="W8">
        <v>0</v>
      </c>
      <c r="X8">
        <v>9.3228315281479706</v>
      </c>
      <c r="Y8">
        <v>21.912982551385603</v>
      </c>
      <c r="Z8">
        <v>222.77772970761166</v>
      </c>
      <c r="AA8">
        <v>222.51184473377151</v>
      </c>
      <c r="AB8">
        <v>222.97461382857284</v>
      </c>
      <c r="AC8">
        <v>222.97461382857284</v>
      </c>
      <c r="AD8">
        <v>437.41640652048955</v>
      </c>
      <c r="AE8">
        <v>214.4417926919167</v>
      </c>
      <c r="AF8">
        <v>214.4417926919167</v>
      </c>
      <c r="AG8">
        <v>427.48200503944179</v>
      </c>
      <c r="AH8">
        <v>647.99731255705547</v>
      </c>
      <c r="AI8">
        <v>647.99731255705535</v>
      </c>
      <c r="AJ8">
        <v>647.99731255705535</v>
      </c>
      <c r="AK8">
        <v>563.9024918935587</v>
      </c>
      <c r="AL8">
        <v>349.46069920164194</v>
      </c>
      <c r="AM8">
        <v>220.51530751761373</v>
      </c>
      <c r="AN8">
        <v>201.82756959239217</v>
      </c>
      <c r="AO8">
        <v>201.82756959239222</v>
      </c>
      <c r="AP8">
        <v>201.82756959239217</v>
      </c>
      <c r="AQ8">
        <v>201.82756959239222</v>
      </c>
      <c r="AR8">
        <v>201.82756959239222</v>
      </c>
      <c r="AS8">
        <v>201.82756959239222</v>
      </c>
      <c r="AT8">
        <v>201.82756959239217</v>
      </c>
      <c r="AU8">
        <v>201.82756959239222</v>
      </c>
      <c r="AV8">
        <v>199.19189475159251</v>
      </c>
      <c r="AW8">
        <v>27.819933238626408</v>
      </c>
      <c r="AX8">
        <v>34.5821344949237</v>
      </c>
      <c r="AY8">
        <v>34.5821344949237</v>
      </c>
      <c r="AZ8">
        <v>27.819933238626408</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row>
    <row r="9" spans="1:76">
      <c r="A9" s="3" t="s">
        <v>66</v>
      </c>
      <c r="B9" t="s">
        <v>2624</v>
      </c>
      <c r="C9" t="s">
        <v>5337</v>
      </c>
      <c r="D9" t="s">
        <v>4967</v>
      </c>
      <c r="F9" t="s">
        <v>4973</v>
      </c>
      <c r="G9" t="s">
        <v>4983</v>
      </c>
      <c r="H9" t="s">
        <v>4984</v>
      </c>
      <c r="M9">
        <v>1.331</v>
      </c>
      <c r="N9">
        <v>0</v>
      </c>
      <c r="O9">
        <v>0</v>
      </c>
      <c r="P9">
        <v>0</v>
      </c>
      <c r="Q9">
        <v>0</v>
      </c>
      <c r="R9">
        <v>0</v>
      </c>
      <c r="S9">
        <v>0</v>
      </c>
      <c r="T9">
        <v>0</v>
      </c>
      <c r="U9">
        <v>0</v>
      </c>
      <c r="V9">
        <v>0</v>
      </c>
      <c r="W9">
        <v>0</v>
      </c>
      <c r="X9">
        <v>0</v>
      </c>
      <c r="Y9">
        <v>0</v>
      </c>
      <c r="Z9">
        <v>0</v>
      </c>
      <c r="AA9">
        <v>0</v>
      </c>
      <c r="AB9">
        <v>0</v>
      </c>
      <c r="AC9">
        <v>0</v>
      </c>
      <c r="AD9">
        <v>0</v>
      </c>
      <c r="AE9">
        <v>230.46764124999999</v>
      </c>
      <c r="AF9">
        <v>230.46764124999999</v>
      </c>
      <c r="AG9">
        <v>230.46764124999999</v>
      </c>
      <c r="AH9">
        <v>230.46764124999999</v>
      </c>
      <c r="AI9">
        <v>230.46764124999999</v>
      </c>
      <c r="AJ9">
        <v>230.46764124999999</v>
      </c>
      <c r="AK9">
        <v>230.46764124999999</v>
      </c>
      <c r="AL9">
        <v>230.46764124999999</v>
      </c>
      <c r="AM9">
        <v>0</v>
      </c>
      <c r="AN9">
        <v>0</v>
      </c>
      <c r="AO9">
        <v>0</v>
      </c>
      <c r="AP9">
        <v>0</v>
      </c>
      <c r="AQ9">
        <v>230.46764124999999</v>
      </c>
      <c r="AR9">
        <v>230.46764124999999</v>
      </c>
      <c r="AS9">
        <v>230.46764124999999</v>
      </c>
      <c r="AT9">
        <v>230.46764124999999</v>
      </c>
      <c r="AU9">
        <v>230.46764124999999</v>
      </c>
      <c r="AV9">
        <v>230.46764124999999</v>
      </c>
      <c r="AW9">
        <v>230.46764124999999</v>
      </c>
      <c r="AX9">
        <v>230.46764124999999</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row>
    <row r="10" spans="1:76">
      <c r="A10" s="3" t="s">
        <v>66</v>
      </c>
      <c r="B10" t="s">
        <v>12</v>
      </c>
      <c r="C10" t="s">
        <v>5337</v>
      </c>
      <c r="D10" t="s">
        <v>4967</v>
      </c>
      <c r="F10" t="s">
        <v>4973</v>
      </c>
      <c r="G10" t="s">
        <v>4983</v>
      </c>
      <c r="H10" t="s">
        <v>4984</v>
      </c>
      <c r="M10">
        <v>1.5625</v>
      </c>
      <c r="N10">
        <v>0</v>
      </c>
      <c r="O10">
        <v>0</v>
      </c>
      <c r="P10">
        <v>4890.9624995176046</v>
      </c>
      <c r="Q10">
        <v>12004.853125482392</v>
      </c>
      <c r="R10">
        <v>5045.0156250000009</v>
      </c>
      <c r="S10">
        <v>5787.4375</v>
      </c>
      <c r="T10">
        <v>6883.8734374999985</v>
      </c>
      <c r="U10">
        <v>8329.0230859375006</v>
      </c>
      <c r="V10">
        <v>6303.5411328125001</v>
      </c>
      <c r="W10">
        <v>5680.4843750000036</v>
      </c>
      <c r="X10">
        <v>6762.800994315211</v>
      </c>
      <c r="Y10">
        <v>6762.800994315211</v>
      </c>
      <c r="Z10">
        <v>11350.962213152243</v>
      </c>
      <c r="AA10">
        <v>8414.66456060573</v>
      </c>
      <c r="AB10">
        <v>8218.5278274912071</v>
      </c>
      <c r="AC10">
        <v>5247.172368373258</v>
      </c>
      <c r="AD10">
        <v>8588.2668175581821</v>
      </c>
      <c r="AE10">
        <v>15870.402024124285</v>
      </c>
      <c r="AF10">
        <v>12660.065397015716</v>
      </c>
      <c r="AG10">
        <v>10924.13926138508</v>
      </c>
      <c r="AH10">
        <v>10924.13926138508</v>
      </c>
      <c r="AI10">
        <v>3642.0040548189704</v>
      </c>
      <c r="AJ10">
        <v>3642.0040548189704</v>
      </c>
      <c r="AK10">
        <v>3642.0040548189709</v>
      </c>
      <c r="AL10">
        <v>3642.0040548189709</v>
      </c>
      <c r="AM10">
        <v>3642.0040548189709</v>
      </c>
      <c r="AN10">
        <v>3642.0040548189704</v>
      </c>
      <c r="AO10">
        <v>3642.0040548189709</v>
      </c>
      <c r="AP10">
        <v>3642.0040548189709</v>
      </c>
      <c r="AQ10">
        <v>3642.0040548189709</v>
      </c>
      <c r="AR10">
        <v>3642.0040548189709</v>
      </c>
      <c r="AS10">
        <v>3642.0040548189709</v>
      </c>
      <c r="AT10">
        <v>3642.0040548189709</v>
      </c>
      <c r="AU10">
        <v>3642.0040548189709</v>
      </c>
      <c r="AV10">
        <v>3642.0040548189709</v>
      </c>
      <c r="AW10">
        <v>3538.1248158645876</v>
      </c>
      <c r="AX10">
        <v>525.03888407628972</v>
      </c>
      <c r="AY10">
        <v>525.03888407628972</v>
      </c>
      <c r="AZ10">
        <v>422.37261857938188</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row>
    <row r="11" spans="1:76">
      <c r="A11" s="3" t="s">
        <v>66</v>
      </c>
      <c r="B11" t="s">
        <v>2626</v>
      </c>
      <c r="C11" t="s">
        <v>5337</v>
      </c>
      <c r="D11" t="s">
        <v>4967</v>
      </c>
      <c r="F11" t="s">
        <v>4973</v>
      </c>
      <c r="G11" t="s">
        <v>4983</v>
      </c>
      <c r="H11" t="s">
        <v>4984</v>
      </c>
      <c r="M11">
        <v>1.6964600329384885</v>
      </c>
      <c r="N11">
        <v>0</v>
      </c>
      <c r="O11">
        <v>0</v>
      </c>
      <c r="P11">
        <v>0</v>
      </c>
      <c r="Q11">
        <v>0</v>
      </c>
      <c r="R11">
        <v>0</v>
      </c>
      <c r="S11">
        <v>0</v>
      </c>
      <c r="T11">
        <v>0</v>
      </c>
      <c r="U11">
        <v>0</v>
      </c>
      <c r="V11">
        <v>0</v>
      </c>
      <c r="W11">
        <v>0</v>
      </c>
      <c r="X11">
        <v>0</v>
      </c>
      <c r="Y11">
        <v>0</v>
      </c>
      <c r="Z11">
        <v>0</v>
      </c>
      <c r="AA11">
        <v>0</v>
      </c>
      <c r="AB11">
        <v>0</v>
      </c>
      <c r="AC11">
        <v>0</v>
      </c>
      <c r="AD11">
        <v>0</v>
      </c>
      <c r="AE11">
        <v>3180.8625617596658</v>
      </c>
      <c r="AF11">
        <v>3180.8625617596658</v>
      </c>
      <c r="AG11">
        <v>3180.8625617596658</v>
      </c>
      <c r="AH11">
        <v>3180.8625617596658</v>
      </c>
      <c r="AI11">
        <v>3180.8625617596658</v>
      </c>
      <c r="AJ11">
        <v>3180.8625617596658</v>
      </c>
      <c r="AK11">
        <v>3180.8625617596658</v>
      </c>
      <c r="AL11">
        <v>3180.8625617596658</v>
      </c>
      <c r="AM11">
        <v>0</v>
      </c>
      <c r="AN11">
        <v>0</v>
      </c>
      <c r="AO11">
        <v>0</v>
      </c>
      <c r="AP11">
        <v>0</v>
      </c>
      <c r="AQ11">
        <v>3180.8625617596658</v>
      </c>
      <c r="AR11">
        <v>3180.8625617596658</v>
      </c>
      <c r="AS11">
        <v>3180.8625617596658</v>
      </c>
      <c r="AT11">
        <v>3180.8625617596658</v>
      </c>
      <c r="AU11">
        <v>3180.8625617596658</v>
      </c>
      <c r="AV11">
        <v>3180.8625617596658</v>
      </c>
      <c r="AW11">
        <v>3180.8625617596658</v>
      </c>
      <c r="AX11">
        <v>3180.8625617596658</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row>
    <row r="12" spans="1:76">
      <c r="A12" s="3" t="s">
        <v>66</v>
      </c>
      <c r="B12" t="s">
        <v>2627</v>
      </c>
      <c r="C12" t="s">
        <v>5337</v>
      </c>
      <c r="D12" t="s">
        <v>4967</v>
      </c>
      <c r="F12" t="s">
        <v>4973</v>
      </c>
      <c r="G12" t="s">
        <v>4983</v>
      </c>
      <c r="H12" t="s">
        <v>4984</v>
      </c>
      <c r="M12">
        <v>0.46181452726374039</v>
      </c>
      <c r="N12">
        <v>0</v>
      </c>
      <c r="O12">
        <v>0</v>
      </c>
      <c r="P12">
        <v>0</v>
      </c>
      <c r="Q12">
        <v>0</v>
      </c>
      <c r="R12">
        <v>0</v>
      </c>
      <c r="S12">
        <v>0</v>
      </c>
      <c r="T12">
        <v>0</v>
      </c>
      <c r="U12">
        <v>0</v>
      </c>
      <c r="V12">
        <v>0</v>
      </c>
      <c r="W12">
        <v>0</v>
      </c>
      <c r="X12">
        <v>0</v>
      </c>
      <c r="Y12">
        <v>0</v>
      </c>
      <c r="Z12">
        <v>0</v>
      </c>
      <c r="AA12">
        <v>0</v>
      </c>
      <c r="AB12">
        <v>0</v>
      </c>
      <c r="AC12">
        <v>0</v>
      </c>
      <c r="AD12">
        <v>0</v>
      </c>
      <c r="AE12">
        <v>32735.722765090239</v>
      </c>
      <c r="AF12">
        <v>32735.722765090239</v>
      </c>
      <c r="AG12">
        <v>32735.722765090239</v>
      </c>
      <c r="AH12">
        <v>32735.722765090239</v>
      </c>
      <c r="AI12">
        <v>32735.722765090239</v>
      </c>
      <c r="AJ12">
        <v>32735.722765090239</v>
      </c>
      <c r="AK12">
        <v>32735.722765090239</v>
      </c>
      <c r="AL12">
        <v>32735.722765090239</v>
      </c>
      <c r="AM12">
        <v>0</v>
      </c>
      <c r="AN12">
        <v>0</v>
      </c>
      <c r="AO12">
        <v>0</v>
      </c>
      <c r="AP12">
        <v>0</v>
      </c>
      <c r="AQ12">
        <v>32735.722765090239</v>
      </c>
      <c r="AR12">
        <v>32735.722765090239</v>
      </c>
      <c r="AS12">
        <v>32735.722765090239</v>
      </c>
      <c r="AT12">
        <v>32735.722765090239</v>
      </c>
      <c r="AU12">
        <v>32735.722765090239</v>
      </c>
      <c r="AV12">
        <v>32735.722765090239</v>
      </c>
      <c r="AW12">
        <v>32735.722765090239</v>
      </c>
      <c r="AX12">
        <v>32735.722765090239</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row>
    <row r="13" spans="1:76">
      <c r="A13" s="3" t="s">
        <v>66</v>
      </c>
      <c r="B13" t="s">
        <v>2640</v>
      </c>
      <c r="C13" t="s">
        <v>5337</v>
      </c>
      <c r="D13" t="s">
        <v>4967</v>
      </c>
      <c r="F13" t="s">
        <v>4973</v>
      </c>
      <c r="G13" t="s">
        <v>4983</v>
      </c>
      <c r="H13" t="s">
        <v>4984</v>
      </c>
      <c r="M13">
        <v>1.6949999999999998</v>
      </c>
      <c r="N13">
        <v>0</v>
      </c>
      <c r="O13">
        <v>0</v>
      </c>
      <c r="P13">
        <v>0</v>
      </c>
      <c r="Q13">
        <v>0</v>
      </c>
      <c r="R13">
        <v>0</v>
      </c>
      <c r="S13">
        <v>0</v>
      </c>
      <c r="T13">
        <v>0</v>
      </c>
      <c r="U13">
        <v>0</v>
      </c>
      <c r="V13">
        <v>0</v>
      </c>
      <c r="W13">
        <v>0</v>
      </c>
      <c r="X13">
        <v>200.68799999999999</v>
      </c>
      <c r="Y13">
        <v>554.5326315789473</v>
      </c>
      <c r="Z13">
        <v>1194.0789298245613</v>
      </c>
      <c r="AA13">
        <v>1128.0631403508771</v>
      </c>
      <c r="AB13">
        <v>1128.0631403508771</v>
      </c>
      <c r="AC13">
        <v>927.37514035087713</v>
      </c>
      <c r="AD13">
        <v>639.54629824561391</v>
      </c>
      <c r="AE13">
        <v>590.14448245614028</v>
      </c>
      <c r="AF13">
        <v>790.43638771929818</v>
      </c>
      <c r="AG13">
        <v>669.95757192982455</v>
      </c>
      <c r="AH13">
        <v>735.97336140350865</v>
      </c>
      <c r="AI13">
        <v>819.59336140350877</v>
      </c>
      <c r="AJ13">
        <v>665.55651929824569</v>
      </c>
      <c r="AK13">
        <v>333.01298245614032</v>
      </c>
      <c r="AL13">
        <v>333.01298245614032</v>
      </c>
      <c r="AM13">
        <v>333.01298245614032</v>
      </c>
      <c r="AN13">
        <v>333.01298245614032</v>
      </c>
      <c r="AO13">
        <v>572.87035087719289</v>
      </c>
      <c r="AP13">
        <v>572.87035087719289</v>
      </c>
      <c r="AQ13">
        <v>638.8861403508771</v>
      </c>
      <c r="AR13">
        <v>770.91771929824552</v>
      </c>
      <c r="AS13">
        <v>770.91771929824563</v>
      </c>
      <c r="AT13">
        <v>770.91771929824552</v>
      </c>
      <c r="AU13">
        <v>770.91771929824563</v>
      </c>
      <c r="AV13">
        <v>638.8861403508771</v>
      </c>
      <c r="AW13">
        <v>572.87035087719289</v>
      </c>
      <c r="AX13">
        <v>572.87035087719289</v>
      </c>
      <c r="AY13">
        <v>572.87035087719289</v>
      </c>
      <c r="AZ13">
        <v>572.87035087719289</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row>
    <row r="14" spans="1:76">
      <c r="A14" s="3" t="s">
        <v>66</v>
      </c>
      <c r="B14" t="s">
        <v>2641</v>
      </c>
      <c r="C14" t="s">
        <v>5337</v>
      </c>
      <c r="D14" t="s">
        <v>4967</v>
      </c>
      <c r="F14" t="s">
        <v>4973</v>
      </c>
      <c r="G14" t="s">
        <v>4983</v>
      </c>
      <c r="H14" t="s">
        <v>4984</v>
      </c>
      <c r="M14">
        <v>1.5</v>
      </c>
      <c r="N14">
        <v>0</v>
      </c>
      <c r="O14">
        <v>0</v>
      </c>
      <c r="P14">
        <v>0</v>
      </c>
      <c r="Q14">
        <v>0</v>
      </c>
      <c r="R14">
        <v>0</v>
      </c>
      <c r="S14">
        <v>0</v>
      </c>
      <c r="T14">
        <v>0</v>
      </c>
      <c r="U14">
        <v>0</v>
      </c>
      <c r="V14">
        <v>0</v>
      </c>
      <c r="W14">
        <v>0</v>
      </c>
      <c r="X14">
        <v>87.599163947298393</v>
      </c>
      <c r="Y14">
        <v>242.05032143332454</v>
      </c>
      <c r="Z14">
        <v>765.69118453876865</v>
      </c>
      <c r="AA14">
        <v>736.87567008242047</v>
      </c>
      <c r="AB14">
        <v>736.87567008242047</v>
      </c>
      <c r="AC14">
        <v>649.27650613512196</v>
      </c>
      <c r="AD14">
        <v>523.64086310544405</v>
      </c>
      <c r="AE14">
        <v>498.37297187061029</v>
      </c>
      <c r="AF14">
        <v>826.57752398117043</v>
      </c>
      <c r="AG14">
        <v>773.98921009833498</v>
      </c>
      <c r="AH14">
        <v>802.80472455468316</v>
      </c>
      <c r="AI14">
        <v>839.30437619939084</v>
      </c>
      <c r="AJ14">
        <v>651.67903517624518</v>
      </c>
      <c r="AK14">
        <v>386.13654306313401</v>
      </c>
      <c r="AL14">
        <v>265.74740243813403</v>
      </c>
      <c r="AM14">
        <v>145.35826181313408</v>
      </c>
      <c r="AN14">
        <v>145.35826181313408</v>
      </c>
      <c r="AO14">
        <v>250.05463100453238</v>
      </c>
      <c r="AP14">
        <v>250.05463100453238</v>
      </c>
      <c r="AQ14">
        <v>522.35255202338055</v>
      </c>
      <c r="AR14">
        <v>823.46598749857685</v>
      </c>
      <c r="AS14">
        <v>823.46598749857685</v>
      </c>
      <c r="AT14">
        <v>823.46598749857685</v>
      </c>
      <c r="AU14">
        <v>823.46598749857685</v>
      </c>
      <c r="AV14">
        <v>522.35255202338055</v>
      </c>
      <c r="AW14">
        <v>250.05463100453238</v>
      </c>
      <c r="AX14">
        <v>250.05463100453238</v>
      </c>
      <c r="AY14">
        <v>250.05463100453238</v>
      </c>
      <c r="AZ14">
        <v>250.05463100453238</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row>
    <row r="15" spans="1:76">
      <c r="A15" s="3" t="s">
        <v>66</v>
      </c>
      <c r="B15" t="s">
        <v>2642</v>
      </c>
      <c r="C15" t="s">
        <v>5337</v>
      </c>
      <c r="D15" t="s">
        <v>4967</v>
      </c>
      <c r="F15" t="s">
        <v>4973</v>
      </c>
      <c r="G15" t="s">
        <v>4983</v>
      </c>
      <c r="H15" t="s">
        <v>4984</v>
      </c>
      <c r="M15">
        <v>1.2704999999999997</v>
      </c>
      <c r="N15">
        <v>0</v>
      </c>
      <c r="O15">
        <v>0</v>
      </c>
      <c r="P15">
        <v>0</v>
      </c>
      <c r="Q15">
        <v>0</v>
      </c>
      <c r="R15">
        <v>0</v>
      </c>
      <c r="S15">
        <v>0</v>
      </c>
      <c r="T15">
        <v>0</v>
      </c>
      <c r="U15">
        <v>0</v>
      </c>
      <c r="V15">
        <v>0</v>
      </c>
      <c r="W15">
        <v>0</v>
      </c>
      <c r="X15">
        <v>1580.0302373047498</v>
      </c>
      <c r="Y15">
        <v>4365.8730241315452</v>
      </c>
      <c r="Z15">
        <v>12317.322214826909</v>
      </c>
      <c r="AA15">
        <v>11797.575426239819</v>
      </c>
      <c r="AB15">
        <v>11797.575426239819</v>
      </c>
      <c r="AC15">
        <v>10217.54518893507</v>
      </c>
      <c r="AD15">
        <v>7951.4491906953635</v>
      </c>
      <c r="AE15">
        <v>7518.3196196276904</v>
      </c>
      <c r="AF15">
        <v>11967.303454075918</v>
      </c>
      <c r="AG15">
        <v>11018.765564904481</v>
      </c>
      <c r="AH15">
        <v>11538.512353491569</v>
      </c>
      <c r="AI15">
        <v>12196.858285701883</v>
      </c>
      <c r="AJ15">
        <v>9548.0797400611718</v>
      </c>
      <c r="AK15">
        <v>5493.9058780809801</v>
      </c>
      <c r="AL15">
        <v>4057.8698391434809</v>
      </c>
      <c r="AM15">
        <v>2621.8338002059809</v>
      </c>
      <c r="AN15">
        <v>2621.8338002059809</v>
      </c>
      <c r="AO15">
        <v>4510.2471320724035</v>
      </c>
      <c r="AP15">
        <v>4510.2471320724035</v>
      </c>
      <c r="AQ15">
        <v>7934.3215772552421</v>
      </c>
      <c r="AR15">
        <v>11878.142811025167</v>
      </c>
      <c r="AS15">
        <v>11878.142811025167</v>
      </c>
      <c r="AT15">
        <v>11878.142811025167</v>
      </c>
      <c r="AU15">
        <v>11878.142811025167</v>
      </c>
      <c r="AV15">
        <v>7934.3215772552421</v>
      </c>
      <c r="AW15">
        <v>4510.2471320724035</v>
      </c>
      <c r="AX15">
        <v>4510.2471320724035</v>
      </c>
      <c r="AY15">
        <v>4510.2471320724035</v>
      </c>
      <c r="AZ15">
        <v>4510.2471320724035</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row>
    <row r="16" spans="1:76">
      <c r="A16" s="3" t="s">
        <v>66</v>
      </c>
      <c r="B16" t="s">
        <v>2643</v>
      </c>
      <c r="C16" t="s">
        <v>5337</v>
      </c>
      <c r="D16" t="s">
        <v>4967</v>
      </c>
      <c r="F16" t="s">
        <v>4973</v>
      </c>
      <c r="G16" t="s">
        <v>4983</v>
      </c>
      <c r="H16" t="s">
        <v>4984</v>
      </c>
      <c r="M16">
        <v>1.2705</v>
      </c>
      <c r="N16">
        <v>0</v>
      </c>
      <c r="O16">
        <v>0</v>
      </c>
      <c r="P16">
        <v>0</v>
      </c>
      <c r="Q16">
        <v>0</v>
      </c>
      <c r="R16">
        <v>0</v>
      </c>
      <c r="S16">
        <v>0</v>
      </c>
      <c r="T16">
        <v>0</v>
      </c>
      <c r="U16">
        <v>0</v>
      </c>
      <c r="V16">
        <v>0</v>
      </c>
      <c r="W16">
        <v>0</v>
      </c>
      <c r="X16">
        <v>0</v>
      </c>
      <c r="Y16">
        <v>0</v>
      </c>
      <c r="Z16">
        <v>0</v>
      </c>
      <c r="AA16">
        <v>0</v>
      </c>
      <c r="AB16">
        <v>0</v>
      </c>
      <c r="AC16">
        <v>3005.9865763147609</v>
      </c>
      <c r="AD16">
        <v>3005.9865763147609</v>
      </c>
      <c r="AE16">
        <v>3517.0981018107518</v>
      </c>
      <c r="AF16">
        <v>4248.8560501010479</v>
      </c>
      <c r="AG16">
        <v>3810.6005425943663</v>
      </c>
      <c r="AH16">
        <v>2587.3926587333472</v>
      </c>
      <c r="AI16">
        <v>2145.9764694662827</v>
      </c>
      <c r="AJ16">
        <v>1901.4060030805915</v>
      </c>
      <c r="AK16">
        <v>1096.6085491570723</v>
      </c>
      <c r="AL16">
        <v>805.78420335115118</v>
      </c>
      <c r="AM16">
        <v>699.97537522615119</v>
      </c>
      <c r="AN16">
        <v>699.97537522615119</v>
      </c>
      <c r="AO16">
        <v>1204.1426609066609</v>
      </c>
      <c r="AP16">
        <v>1204.1426609066609</v>
      </c>
      <c r="AQ16">
        <v>1556.8985844798517</v>
      </c>
      <c r="AR16">
        <v>2048.4161463137334</v>
      </c>
      <c r="AS16">
        <v>2048.4161463137334</v>
      </c>
      <c r="AT16">
        <v>2048.4161463137334</v>
      </c>
      <c r="AU16">
        <v>2048.4161463137334</v>
      </c>
      <c r="AV16">
        <v>1556.8985844798517</v>
      </c>
      <c r="AW16">
        <v>1204.1426609066609</v>
      </c>
      <c r="AX16">
        <v>1204.1426609066609</v>
      </c>
      <c r="AY16">
        <v>1204.1426609066609</v>
      </c>
      <c r="AZ16">
        <v>1204.1426609066609</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row>
    <row r="17" spans="1:76">
      <c r="A17" s="3" t="s">
        <v>66</v>
      </c>
      <c r="B17" t="s">
        <v>2650</v>
      </c>
      <c r="C17" t="s">
        <v>5337</v>
      </c>
      <c r="D17" t="s">
        <v>4967</v>
      </c>
      <c r="F17" t="s">
        <v>4973</v>
      </c>
      <c r="G17" t="s">
        <v>4983</v>
      </c>
      <c r="H17" t="s">
        <v>4984</v>
      </c>
      <c r="M17">
        <v>1.2705</v>
      </c>
      <c r="N17">
        <v>0</v>
      </c>
      <c r="O17">
        <v>0</v>
      </c>
      <c r="P17">
        <v>0</v>
      </c>
      <c r="Q17">
        <v>0</v>
      </c>
      <c r="R17">
        <v>0</v>
      </c>
      <c r="S17">
        <v>0</v>
      </c>
      <c r="T17">
        <v>0</v>
      </c>
      <c r="U17">
        <v>0</v>
      </c>
      <c r="V17">
        <v>0</v>
      </c>
      <c r="W17">
        <v>0</v>
      </c>
      <c r="X17">
        <v>0</v>
      </c>
      <c r="Y17">
        <v>0</v>
      </c>
      <c r="Z17">
        <v>0</v>
      </c>
      <c r="AA17">
        <v>0</v>
      </c>
      <c r="AB17">
        <v>0</v>
      </c>
      <c r="AC17">
        <v>66.978060187499992</v>
      </c>
      <c r="AD17">
        <v>66.978060187499992</v>
      </c>
      <c r="AE17">
        <v>79.959790968749985</v>
      </c>
      <c r="AF17">
        <v>97.714329693750003</v>
      </c>
      <c r="AG17">
        <v>88.234414537499987</v>
      </c>
      <c r="AH17">
        <v>59.819682037499987</v>
      </c>
      <c r="AI17">
        <v>50.271398099999992</v>
      </c>
      <c r="AJ17">
        <v>44.018155912499992</v>
      </c>
      <c r="AK17">
        <v>25.646630624999997</v>
      </c>
      <c r="AL17">
        <v>18.392869687499992</v>
      </c>
      <c r="AM17">
        <v>15.141183749999996</v>
      </c>
      <c r="AN17">
        <v>15.141183749999996</v>
      </c>
      <c r="AO17">
        <v>26.046838124999994</v>
      </c>
      <c r="AP17">
        <v>26.046838124999994</v>
      </c>
      <c r="AQ17">
        <v>35.624804118749985</v>
      </c>
      <c r="AR17">
        <v>48.204326362499991</v>
      </c>
      <c r="AS17">
        <v>48.204326362499991</v>
      </c>
      <c r="AT17">
        <v>48.204326362499991</v>
      </c>
      <c r="AU17">
        <v>48.204326362499991</v>
      </c>
      <c r="AV17">
        <v>35.624804118749985</v>
      </c>
      <c r="AW17">
        <v>26.046838124999994</v>
      </c>
      <c r="AX17">
        <v>26.046838124999994</v>
      </c>
      <c r="AY17">
        <v>26.046838124999994</v>
      </c>
      <c r="AZ17">
        <v>26.046838124999994</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row>
    <row r="18" spans="1:76">
      <c r="A18" s="3" t="s">
        <v>66</v>
      </c>
      <c r="B18" t="s">
        <v>21</v>
      </c>
      <c r="C18" t="s">
        <v>5337</v>
      </c>
      <c r="D18" t="s">
        <v>4967</v>
      </c>
      <c r="F18" t="s">
        <v>4973</v>
      </c>
      <c r="G18" t="s">
        <v>4983</v>
      </c>
      <c r="H18" t="s">
        <v>4984</v>
      </c>
      <c r="M18">
        <v>2.4258822016193458</v>
      </c>
      <c r="N18">
        <v>0</v>
      </c>
      <c r="O18">
        <v>0</v>
      </c>
      <c r="P18">
        <v>1171.7094004031521</v>
      </c>
      <c r="Q18">
        <v>2875.9572904053612</v>
      </c>
      <c r="R18">
        <v>435.61025496082618</v>
      </c>
      <c r="S18">
        <v>1811.721604635376</v>
      </c>
      <c r="T18">
        <v>2113.7657716767994</v>
      </c>
      <c r="U18">
        <v>6471.9626080562193</v>
      </c>
      <c r="V18">
        <v>8060.7965818890107</v>
      </c>
      <c r="W18">
        <v>8982.6560773263809</v>
      </c>
      <c r="X18">
        <v>11165.741032118885</v>
      </c>
      <c r="Y18">
        <v>12563.435493783525</v>
      </c>
      <c r="Z18">
        <v>12304.501081706227</v>
      </c>
      <c r="AA18">
        <v>13494.746828332198</v>
      </c>
      <c r="AB18">
        <v>22546.83446650406</v>
      </c>
      <c r="AC18">
        <v>20420.315113354616</v>
      </c>
      <c r="AD18">
        <v>20622.701970930986</v>
      </c>
      <c r="AE18">
        <v>20890.203163847797</v>
      </c>
      <c r="AF18">
        <v>18937.273459986285</v>
      </c>
      <c r="AG18">
        <v>20811.584064836323</v>
      </c>
      <c r="AH18">
        <v>24073.625724772119</v>
      </c>
      <c r="AI18">
        <v>27356.37145045105</v>
      </c>
      <c r="AJ18">
        <v>29734.788650865743</v>
      </c>
      <c r="AK18">
        <v>29734.788650865743</v>
      </c>
      <c r="AL18">
        <v>24159.480559570638</v>
      </c>
      <c r="AM18">
        <v>24920.087795054609</v>
      </c>
      <c r="AN18">
        <v>24920.087795054609</v>
      </c>
      <c r="AO18">
        <v>24237.368555368994</v>
      </c>
      <c r="AP18">
        <v>24941.297074978243</v>
      </c>
      <c r="AQ18">
        <v>25072.12325858415</v>
      </c>
      <c r="AR18">
        <v>24656.754619126918</v>
      </c>
      <c r="AS18">
        <v>28623.49233560004</v>
      </c>
      <c r="AT18">
        <v>29964.248187556717</v>
      </c>
      <c r="AU18">
        <v>28226.74375339138</v>
      </c>
      <c r="AV18">
        <v>28226.74375339138</v>
      </c>
      <c r="AW18">
        <v>27815.965762016571</v>
      </c>
      <c r="AX18">
        <v>28743.752741873395</v>
      </c>
      <c r="AY18">
        <v>28281.452619745014</v>
      </c>
      <c r="AZ18">
        <v>19996.795037408185</v>
      </c>
      <c r="BA18">
        <v>13647.506108331865</v>
      </c>
      <c r="BB18">
        <v>9676.7169627574403</v>
      </c>
      <c r="BC18">
        <v>5734.8416133592527</v>
      </c>
      <c r="BD18">
        <v>5734.8416133592527</v>
      </c>
      <c r="BE18">
        <v>4437.6750579565642</v>
      </c>
      <c r="BF18">
        <v>0</v>
      </c>
      <c r="BG18">
        <v>0</v>
      </c>
      <c r="BH18">
        <v>0</v>
      </c>
      <c r="BI18">
        <v>0</v>
      </c>
      <c r="BJ18">
        <v>0</v>
      </c>
      <c r="BK18">
        <v>0</v>
      </c>
      <c r="BL18">
        <v>0</v>
      </c>
      <c r="BM18">
        <v>0</v>
      </c>
      <c r="BN18">
        <v>0</v>
      </c>
      <c r="BO18">
        <v>0</v>
      </c>
      <c r="BP18">
        <v>0</v>
      </c>
      <c r="BQ18">
        <v>0</v>
      </c>
      <c r="BR18">
        <v>0</v>
      </c>
      <c r="BS18">
        <v>0</v>
      </c>
      <c r="BT18">
        <v>0</v>
      </c>
      <c r="BU18">
        <v>0</v>
      </c>
      <c r="BV18">
        <v>0</v>
      </c>
      <c r="BW18">
        <v>0</v>
      </c>
      <c r="BX18">
        <v>0</v>
      </c>
    </row>
    <row r="19" spans="1:76">
      <c r="A19" s="3" t="s">
        <v>66</v>
      </c>
      <c r="B19" t="s">
        <v>25</v>
      </c>
      <c r="C19" t="s">
        <v>5337</v>
      </c>
      <c r="D19" t="s">
        <v>4967</v>
      </c>
      <c r="F19" t="s">
        <v>4973</v>
      </c>
      <c r="G19" t="s">
        <v>4983</v>
      </c>
      <c r="H19" t="s">
        <v>4984</v>
      </c>
      <c r="M19">
        <v>1.452</v>
      </c>
      <c r="N19">
        <v>0</v>
      </c>
      <c r="O19">
        <v>0</v>
      </c>
      <c r="P19">
        <v>0</v>
      </c>
      <c r="Q19">
        <v>0</v>
      </c>
      <c r="R19">
        <v>0</v>
      </c>
      <c r="S19">
        <v>0</v>
      </c>
      <c r="T19">
        <v>0</v>
      </c>
      <c r="U19">
        <v>0</v>
      </c>
      <c r="V19">
        <v>0</v>
      </c>
      <c r="W19">
        <v>0</v>
      </c>
      <c r="X19">
        <v>0</v>
      </c>
      <c r="Y19">
        <v>0</v>
      </c>
      <c r="Z19">
        <v>0</v>
      </c>
      <c r="AA19">
        <v>5100.0047999999997</v>
      </c>
      <c r="AB19">
        <v>6437.5581599999996</v>
      </c>
      <c r="AC19">
        <v>16869.357779999998</v>
      </c>
      <c r="AD19">
        <v>15562.472111999998</v>
      </c>
      <c r="AE19">
        <v>7510.48452</v>
      </c>
      <c r="AF19">
        <v>7632.5701319999998</v>
      </c>
      <c r="AG19">
        <v>8340.6234120000008</v>
      </c>
      <c r="AH19">
        <v>7327.0577159999993</v>
      </c>
      <c r="AI19">
        <v>1407.8156399999998</v>
      </c>
      <c r="AJ19">
        <v>0</v>
      </c>
      <c r="AK19">
        <v>0</v>
      </c>
      <c r="AL19">
        <v>17445.867119999992</v>
      </c>
      <c r="AM19">
        <v>15724.21765199999</v>
      </c>
      <c r="AN19">
        <v>10729.263600000015</v>
      </c>
      <c r="AO19">
        <v>0</v>
      </c>
      <c r="AP19">
        <v>8772.008256000001</v>
      </c>
      <c r="AQ19">
        <v>12240.01152</v>
      </c>
      <c r="AR19">
        <v>12240.01152</v>
      </c>
      <c r="AS19">
        <v>17840.083667999999</v>
      </c>
      <c r="AT19">
        <v>4981.4214119999997</v>
      </c>
      <c r="AU19">
        <v>8822.2155119999989</v>
      </c>
      <c r="AV19">
        <v>8897.4900960000014</v>
      </c>
      <c r="AW19">
        <v>9237.5107439999992</v>
      </c>
      <c r="AX19">
        <v>9372.8952239999999</v>
      </c>
      <c r="AY19">
        <v>26591.506919999996</v>
      </c>
      <c r="AZ19">
        <v>24667.329588000001</v>
      </c>
      <c r="BA19">
        <v>20454.73056</v>
      </c>
      <c r="BB19">
        <v>22043.276640000004</v>
      </c>
      <c r="BC19">
        <v>36113.817300000002</v>
      </c>
      <c r="BD19">
        <v>40030.693296000005</v>
      </c>
      <c r="BE19">
        <v>39756.947735999995</v>
      </c>
      <c r="BF19">
        <v>40167.895680000001</v>
      </c>
      <c r="BG19">
        <v>40258.152000000002</v>
      </c>
      <c r="BH19">
        <v>39580.012824000005</v>
      </c>
      <c r="BI19">
        <v>39102.853680000007</v>
      </c>
      <c r="BJ19">
        <v>32145.119424000004</v>
      </c>
      <c r="BK19">
        <v>25737.622020000003</v>
      </c>
      <c r="BL19">
        <v>9180.00864</v>
      </c>
      <c r="BM19">
        <v>0</v>
      </c>
      <c r="BN19">
        <v>0</v>
      </c>
      <c r="BO19">
        <v>0</v>
      </c>
      <c r="BP19">
        <v>0</v>
      </c>
      <c r="BQ19">
        <v>0</v>
      </c>
      <c r="BR19">
        <v>0</v>
      </c>
      <c r="BS19">
        <v>0</v>
      </c>
      <c r="BT19">
        <v>0</v>
      </c>
      <c r="BU19">
        <v>0</v>
      </c>
      <c r="BV19">
        <v>0</v>
      </c>
      <c r="BW19">
        <v>0</v>
      </c>
      <c r="BX19">
        <v>0</v>
      </c>
    </row>
    <row r="20" spans="1:76">
      <c r="A20" s="3" t="s">
        <v>66</v>
      </c>
      <c r="B20" t="s">
        <v>26</v>
      </c>
      <c r="C20" t="s">
        <v>5337</v>
      </c>
      <c r="D20" t="s">
        <v>4967</v>
      </c>
      <c r="F20" t="s">
        <v>4973</v>
      </c>
      <c r="G20" t="s">
        <v>4983</v>
      </c>
      <c r="H20" t="s">
        <v>4984</v>
      </c>
      <c r="M20">
        <v>0.49930649999999988</v>
      </c>
      <c r="N20">
        <v>0</v>
      </c>
      <c r="O20">
        <v>0</v>
      </c>
      <c r="P20">
        <v>0</v>
      </c>
      <c r="Q20">
        <v>0</v>
      </c>
      <c r="R20">
        <v>0</v>
      </c>
      <c r="S20">
        <v>0</v>
      </c>
      <c r="T20">
        <v>0</v>
      </c>
      <c r="U20">
        <v>0</v>
      </c>
      <c r="V20">
        <v>0</v>
      </c>
      <c r="W20">
        <v>0</v>
      </c>
      <c r="X20">
        <v>659.55568232366784</v>
      </c>
      <c r="Y20">
        <v>472.11647379568518</v>
      </c>
      <c r="Z20">
        <v>397.83952856489844</v>
      </c>
      <c r="AA20">
        <v>365.27977175140302</v>
      </c>
      <c r="AB20">
        <v>494.50130660496336</v>
      </c>
      <c r="AC20">
        <v>402.92699056700718</v>
      </c>
      <c r="AD20">
        <v>385.62961975983768</v>
      </c>
      <c r="AE20">
        <v>405.97946776827229</v>
      </c>
      <c r="AF20">
        <v>338.8249693404378</v>
      </c>
      <c r="AG20">
        <v>317.45762893158138</v>
      </c>
      <c r="AH20">
        <v>368.33224895266824</v>
      </c>
      <c r="AI20">
        <v>423.27683857544196</v>
      </c>
      <c r="AJ20">
        <v>463.97653459231128</v>
      </c>
      <c r="AK20">
        <v>463.97653459231128</v>
      </c>
      <c r="AL20">
        <v>396.8220361644768</v>
      </c>
      <c r="AM20">
        <v>427.34680817712882</v>
      </c>
      <c r="AN20">
        <v>427.34680817712882</v>
      </c>
      <c r="AO20">
        <v>417.17188417291152</v>
      </c>
      <c r="AP20">
        <v>424.2943309758636</v>
      </c>
      <c r="AQ20">
        <v>396.82203616447674</v>
      </c>
      <c r="AR20">
        <v>409.03194496953768</v>
      </c>
      <c r="AS20">
        <v>512.81616981255456</v>
      </c>
      <c r="AT20">
        <v>529.09604821930236</v>
      </c>
      <c r="AU20">
        <v>512.81616981255456</v>
      </c>
      <c r="AV20">
        <v>512.81616981255456</v>
      </c>
      <c r="AW20">
        <v>512.81616981255456</v>
      </c>
      <c r="AX20">
        <v>494.50130660496336</v>
      </c>
      <c r="AY20">
        <v>477.20393579779386</v>
      </c>
      <c r="AZ20">
        <v>334.75499973875094</v>
      </c>
      <c r="BA20">
        <v>240.12820649952957</v>
      </c>
      <c r="BB20">
        <v>166.86875366916459</v>
      </c>
      <c r="BC20">
        <v>85.469361635425784</v>
      </c>
      <c r="BD20">
        <v>85.469361635425784</v>
      </c>
      <c r="BE20">
        <v>66.137006027412795</v>
      </c>
      <c r="BF20">
        <v>0</v>
      </c>
      <c r="BG20">
        <v>0</v>
      </c>
      <c r="BH20">
        <v>0</v>
      </c>
      <c r="BI20">
        <v>0</v>
      </c>
      <c r="BJ20">
        <v>0</v>
      </c>
      <c r="BK20">
        <v>0</v>
      </c>
      <c r="BL20">
        <v>0</v>
      </c>
      <c r="BM20">
        <v>0</v>
      </c>
      <c r="BN20">
        <v>0</v>
      </c>
      <c r="BO20">
        <v>0</v>
      </c>
      <c r="BP20">
        <v>0</v>
      </c>
      <c r="BQ20">
        <v>0</v>
      </c>
      <c r="BR20">
        <v>0</v>
      </c>
      <c r="BS20">
        <v>0</v>
      </c>
      <c r="BT20">
        <v>0</v>
      </c>
      <c r="BU20">
        <v>0</v>
      </c>
      <c r="BV20">
        <v>0</v>
      </c>
      <c r="BW20">
        <v>0</v>
      </c>
      <c r="BX20">
        <v>0</v>
      </c>
    </row>
    <row r="21" spans="1:76">
      <c r="A21" s="3" t="s">
        <v>66</v>
      </c>
      <c r="B21" t="s">
        <v>29</v>
      </c>
      <c r="C21" t="s">
        <v>5337</v>
      </c>
      <c r="D21" t="s">
        <v>4967</v>
      </c>
      <c r="F21" t="s">
        <v>4973</v>
      </c>
      <c r="G21" t="s">
        <v>4983</v>
      </c>
      <c r="H21" t="s">
        <v>4984</v>
      </c>
      <c r="M21">
        <v>1.375</v>
      </c>
      <c r="N21">
        <v>0</v>
      </c>
      <c r="O21">
        <v>0</v>
      </c>
      <c r="P21">
        <v>0</v>
      </c>
      <c r="Q21">
        <v>0</v>
      </c>
      <c r="R21">
        <v>0</v>
      </c>
      <c r="S21">
        <v>0</v>
      </c>
      <c r="T21">
        <v>0</v>
      </c>
      <c r="U21">
        <v>0</v>
      </c>
      <c r="V21">
        <v>0</v>
      </c>
      <c r="W21">
        <v>0</v>
      </c>
      <c r="X21">
        <v>126.82516558208646</v>
      </c>
      <c r="Y21">
        <v>157.19900093263436</v>
      </c>
      <c r="Z21">
        <v>139.26189971306945</v>
      </c>
      <c r="AA21">
        <v>149.80689737794313</v>
      </c>
      <c r="AB21">
        <v>243.87206002154815</v>
      </c>
      <c r="AC21">
        <v>212.73723068349707</v>
      </c>
      <c r="AD21">
        <v>209.4639533436532</v>
      </c>
      <c r="AE21">
        <v>215.02451204706574</v>
      </c>
      <c r="AF21">
        <v>189.44020947662216</v>
      </c>
      <c r="AG21">
        <v>202.01165817413113</v>
      </c>
      <c r="AH21">
        <v>234.51513018273869</v>
      </c>
      <c r="AI21">
        <v>269.78455020618804</v>
      </c>
      <c r="AJ21">
        <v>294.72680888510354</v>
      </c>
      <c r="AK21">
        <v>294.72680888510354</v>
      </c>
      <c r="AL21">
        <v>238.24701030224549</v>
      </c>
      <c r="AM21">
        <v>249.99010772898836</v>
      </c>
      <c r="AN21">
        <v>249.99010772898836</v>
      </c>
      <c r="AO21">
        <v>242.58080657005979</v>
      </c>
      <c r="AP21">
        <v>255.26977222985747</v>
      </c>
      <c r="AQ21">
        <v>253.66752876841028</v>
      </c>
      <c r="AR21">
        <v>256.34462249469232</v>
      </c>
      <c r="AS21">
        <v>310.89255686822059</v>
      </c>
      <c r="AT21">
        <v>331.08254424287941</v>
      </c>
      <c r="AU21">
        <v>315.01424935044076</v>
      </c>
      <c r="AV21">
        <v>315.01424935044076</v>
      </c>
      <c r="AW21">
        <v>311.50307181864679</v>
      </c>
      <c r="AX21">
        <v>322.17131898055482</v>
      </c>
      <c r="AY21">
        <v>315.54450881442602</v>
      </c>
      <c r="AZ21">
        <v>222.69894293798694</v>
      </c>
      <c r="BA21">
        <v>153.79244215995095</v>
      </c>
      <c r="BB21">
        <v>108.52118213879126</v>
      </c>
      <c r="BC21">
        <v>62.238129735000278</v>
      </c>
      <c r="BD21">
        <v>62.238129735000278</v>
      </c>
      <c r="BE21">
        <v>48.160457533035924</v>
      </c>
      <c r="BF21">
        <v>0</v>
      </c>
      <c r="BG21">
        <v>0</v>
      </c>
      <c r="BH21">
        <v>0</v>
      </c>
      <c r="BI21">
        <v>0</v>
      </c>
      <c r="BJ21">
        <v>0</v>
      </c>
      <c r="BK21">
        <v>0</v>
      </c>
      <c r="BL21">
        <v>0</v>
      </c>
      <c r="BM21">
        <v>0</v>
      </c>
      <c r="BN21">
        <v>0</v>
      </c>
      <c r="BO21">
        <v>0</v>
      </c>
      <c r="BP21">
        <v>0</v>
      </c>
      <c r="BQ21">
        <v>0</v>
      </c>
      <c r="BR21">
        <v>0</v>
      </c>
      <c r="BS21">
        <v>0</v>
      </c>
      <c r="BT21">
        <v>0</v>
      </c>
      <c r="BU21">
        <v>0</v>
      </c>
      <c r="BV21">
        <v>0</v>
      </c>
      <c r="BW21">
        <v>0</v>
      </c>
      <c r="BX21">
        <v>0</v>
      </c>
    </row>
    <row r="22" spans="1:76">
      <c r="A22" s="3" t="s">
        <v>66</v>
      </c>
      <c r="B22" t="s">
        <v>2655</v>
      </c>
      <c r="C22" t="s">
        <v>5337</v>
      </c>
      <c r="D22" t="s">
        <v>4967</v>
      </c>
      <c r="F22" t="s">
        <v>4973</v>
      </c>
      <c r="G22" t="s">
        <v>4983</v>
      </c>
      <c r="H22" t="s">
        <v>4984</v>
      </c>
      <c r="M22">
        <v>0.86776859504132253</v>
      </c>
      <c r="N22">
        <v>0</v>
      </c>
      <c r="O22">
        <v>0</v>
      </c>
      <c r="P22">
        <v>0</v>
      </c>
      <c r="Q22">
        <v>0</v>
      </c>
      <c r="R22">
        <v>0</v>
      </c>
      <c r="S22">
        <v>0</v>
      </c>
      <c r="T22">
        <v>0</v>
      </c>
      <c r="U22">
        <v>0</v>
      </c>
      <c r="V22">
        <v>0</v>
      </c>
      <c r="W22">
        <v>0</v>
      </c>
      <c r="X22">
        <v>0</v>
      </c>
      <c r="Y22">
        <v>0</v>
      </c>
      <c r="Z22">
        <v>0</v>
      </c>
      <c r="AA22">
        <v>0</v>
      </c>
      <c r="AB22">
        <v>0</v>
      </c>
      <c r="AC22">
        <v>0</v>
      </c>
      <c r="AD22">
        <v>0</v>
      </c>
      <c r="AE22">
        <v>0</v>
      </c>
      <c r="AF22">
        <v>17001.632231404961</v>
      </c>
      <c r="AG22">
        <v>17001.632231404961</v>
      </c>
      <c r="AH22">
        <v>17001.632231404961</v>
      </c>
      <c r="AI22">
        <v>17001.632231404961</v>
      </c>
      <c r="AJ22">
        <v>17001.632231404961</v>
      </c>
      <c r="AK22">
        <v>17001.632231404961</v>
      </c>
      <c r="AL22">
        <v>17001.632231404961</v>
      </c>
      <c r="AM22">
        <v>0</v>
      </c>
      <c r="AN22">
        <v>0</v>
      </c>
      <c r="AO22">
        <v>0</v>
      </c>
      <c r="AP22">
        <v>0</v>
      </c>
      <c r="AQ22">
        <v>17001.632231404961</v>
      </c>
      <c r="AR22">
        <v>17001.632231404961</v>
      </c>
      <c r="AS22">
        <v>17001.632231404961</v>
      </c>
      <c r="AT22">
        <v>17001.632231404961</v>
      </c>
      <c r="AU22">
        <v>17001.632231404961</v>
      </c>
      <c r="AV22">
        <v>17001.632231404961</v>
      </c>
      <c r="AW22">
        <v>17001.632231404961</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row>
    <row r="24" spans="1:76">
      <c r="A24" s="3" t="s">
        <v>66</v>
      </c>
      <c r="B24" t="s">
        <v>5337</v>
      </c>
      <c r="D24" t="s">
        <v>4967</v>
      </c>
      <c r="F24" t="s">
        <v>4973</v>
      </c>
      <c r="G24" t="s">
        <v>4983</v>
      </c>
      <c r="H24" t="s">
        <v>4984</v>
      </c>
      <c r="N24">
        <f>+SUM(N2:N22)</f>
        <v>0</v>
      </c>
      <c r="O24">
        <f t="shared" ref="O24:BX24" si="0">+SUM(O2:O22)</f>
        <v>0</v>
      </c>
      <c r="P24">
        <f t="shared" si="0"/>
        <v>6492.2884999207572</v>
      </c>
      <c r="Q24">
        <f t="shared" si="0"/>
        <v>15363.015215887754</v>
      </c>
      <c r="R24">
        <f t="shared" si="0"/>
        <v>6150.3931309662839</v>
      </c>
      <c r="S24">
        <f t="shared" si="0"/>
        <v>8387.6076405287931</v>
      </c>
      <c r="T24">
        <f t="shared" si="0"/>
        <v>9894.648920277923</v>
      </c>
      <c r="U24">
        <f t="shared" si="0"/>
        <v>15234.02297629072</v>
      </c>
      <c r="V24">
        <f t="shared" si="0"/>
        <v>15270.54681720151</v>
      </c>
      <c r="W24">
        <f t="shared" si="0"/>
        <v>15182.828273826384</v>
      </c>
      <c r="X24">
        <f t="shared" si="0"/>
        <v>24537.123599654151</v>
      </c>
      <c r="Y24">
        <f t="shared" si="0"/>
        <v>110281.80583767014</v>
      </c>
      <c r="Z24">
        <f t="shared" si="0"/>
        <v>102919.88983589882</v>
      </c>
      <c r="AA24">
        <f t="shared" si="0"/>
        <v>106371.02584924822</v>
      </c>
      <c r="AB24">
        <f t="shared" si="0"/>
        <v>115128.734091155</v>
      </c>
      <c r="AC24">
        <f t="shared" si="0"/>
        <v>99178.567459973652</v>
      </c>
      <c r="AD24">
        <f t="shared" si="0"/>
        <v>133890.60657852606</v>
      </c>
      <c r="AE24">
        <f t="shared" si="0"/>
        <v>172894.33676221155</v>
      </c>
      <c r="AF24">
        <f t="shared" si="0"/>
        <v>240895.68835998158</v>
      </c>
      <c r="AG24">
        <f t="shared" si="0"/>
        <v>246220.78671074484</v>
      </c>
      <c r="AH24">
        <f t="shared" si="0"/>
        <v>281318.47419081</v>
      </c>
      <c r="AI24">
        <f t="shared" si="0"/>
        <v>269724.20386171574</v>
      </c>
      <c r="AJ24">
        <f t="shared" si="0"/>
        <v>267519.1829394839</v>
      </c>
      <c r="AK24">
        <f t="shared" si="0"/>
        <v>258909.72636953695</v>
      </c>
      <c r="AL24">
        <f t="shared" si="0"/>
        <v>226365.89342586853</v>
      </c>
      <c r="AM24">
        <f t="shared" si="0"/>
        <v>113914.17042558629</v>
      </c>
      <c r="AN24">
        <f t="shared" si="0"/>
        <v>75916.924212108293</v>
      </c>
      <c r="AO24">
        <f t="shared" si="0"/>
        <v>67646.306744537098</v>
      </c>
      <c r="AP24">
        <f t="shared" si="0"/>
        <v>79943.349885332835</v>
      </c>
      <c r="AQ24">
        <f t="shared" si="0"/>
        <v>162574.29097228427</v>
      </c>
      <c r="AR24">
        <f t="shared" si="0"/>
        <v>167054.87266762852</v>
      </c>
      <c r="AS24">
        <f t="shared" si="0"/>
        <v>239780.01469131827</v>
      </c>
      <c r="AT24">
        <f t="shared" si="0"/>
        <v>238010.79922018503</v>
      </c>
      <c r="AU24">
        <f t="shared" si="0"/>
        <v>239293.96177984925</v>
      </c>
      <c r="AV24">
        <f t="shared" si="0"/>
        <v>234485.53735673829</v>
      </c>
      <c r="AW24">
        <f t="shared" si="0"/>
        <v>219128.81934894662</v>
      </c>
      <c r="AX24">
        <f t="shared" si="0"/>
        <v>192252.86607207745</v>
      </c>
      <c r="AY24">
        <f t="shared" si="0"/>
        <v>137904.70049687583</v>
      </c>
      <c r="AZ24">
        <f t="shared" si="0"/>
        <v>56262.1647725937</v>
      </c>
      <c r="BA24">
        <f t="shared" si="0"/>
        <v>34496.157316991354</v>
      </c>
      <c r="BB24">
        <f t="shared" si="0"/>
        <v>31995.383538565402</v>
      </c>
      <c r="BC24">
        <f t="shared" si="0"/>
        <v>41996.366404729684</v>
      </c>
      <c r="BD24">
        <f t="shared" si="0"/>
        <v>45913.242400729687</v>
      </c>
      <c r="BE24">
        <f t="shared" si="0"/>
        <v>44308.920257517006</v>
      </c>
      <c r="BF24">
        <f t="shared" si="0"/>
        <v>40167.895680000001</v>
      </c>
      <c r="BG24">
        <f t="shared" si="0"/>
        <v>40258.152000000002</v>
      </c>
      <c r="BH24">
        <f t="shared" si="0"/>
        <v>39580.012824000005</v>
      </c>
      <c r="BI24">
        <f t="shared" si="0"/>
        <v>39102.853680000007</v>
      </c>
      <c r="BJ24">
        <f t="shared" si="0"/>
        <v>32145.119424000004</v>
      </c>
      <c r="BK24">
        <f t="shared" si="0"/>
        <v>25737.622020000003</v>
      </c>
      <c r="BL24">
        <f t="shared" si="0"/>
        <v>9180.00864</v>
      </c>
      <c r="BM24">
        <f t="shared" si="0"/>
        <v>0</v>
      </c>
      <c r="BN24">
        <f t="shared" si="0"/>
        <v>0</v>
      </c>
      <c r="BO24">
        <f t="shared" si="0"/>
        <v>0</v>
      </c>
      <c r="BP24">
        <f t="shared" si="0"/>
        <v>0</v>
      </c>
      <c r="BQ24">
        <f t="shared" si="0"/>
        <v>0</v>
      </c>
      <c r="BR24">
        <f t="shared" si="0"/>
        <v>0</v>
      </c>
      <c r="BS24">
        <f t="shared" si="0"/>
        <v>0</v>
      </c>
      <c r="BT24">
        <f t="shared" si="0"/>
        <v>0</v>
      </c>
      <c r="BU24">
        <f t="shared" si="0"/>
        <v>0</v>
      </c>
      <c r="BV24">
        <f t="shared" si="0"/>
        <v>0</v>
      </c>
      <c r="BW24">
        <f t="shared" si="0"/>
        <v>0</v>
      </c>
      <c r="BX24">
        <f t="shared" si="0"/>
        <v>0</v>
      </c>
    </row>
  </sheetData>
  <autoFilter ref="A1:BX22" xr:uid="{E5A0ACFD-BE1C-4523-9919-C3D53E66E54C}">
    <sortState xmlns:xlrd2="http://schemas.microsoft.com/office/spreadsheetml/2017/richdata2" ref="A2:BX22">
      <sortCondition ref="B1:B2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858D-C834-41B7-A23D-04DDFA00DF06}">
  <sheetPr codeName="Sheet2">
    <tabColor rgb="FF92D050"/>
  </sheetPr>
  <dimension ref="A1:BN60"/>
  <sheetViews>
    <sheetView topLeftCell="A31" workbookViewId="0">
      <selection activeCell="B5" sqref="B5"/>
    </sheetView>
  </sheetViews>
  <sheetFormatPr defaultRowHeight="14.5"/>
  <cols>
    <col min="1" max="1" width="12.6328125" bestFit="1" customWidth="1"/>
    <col min="2" max="2" width="18.81640625" bestFit="1" customWidth="1"/>
    <col min="3" max="3" width="52.1796875" bestFit="1" customWidth="1"/>
    <col min="4" max="5" width="11.1796875" bestFit="1" customWidth="1"/>
    <col min="6" max="12" width="11.81640625" bestFit="1" customWidth="1"/>
    <col min="13" max="13" width="11.1796875" bestFit="1" customWidth="1"/>
    <col min="14" max="51" width="11.81640625" bestFit="1" customWidth="1"/>
    <col min="52" max="52" width="11.1796875" bestFit="1" customWidth="1"/>
    <col min="53" max="54" width="11.81640625" bestFit="1" customWidth="1"/>
    <col min="55" max="66" width="11.1796875" bestFit="1" customWidth="1"/>
  </cols>
  <sheetData>
    <row r="1" spans="1:66">
      <c r="A1" t="s">
        <v>0</v>
      </c>
      <c r="B1" t="s">
        <v>1</v>
      </c>
      <c r="C1" t="s">
        <v>4966</v>
      </c>
      <c r="D1" t="s">
        <v>5273</v>
      </c>
      <c r="E1" t="s">
        <v>5274</v>
      </c>
      <c r="F1" t="s">
        <v>5275</v>
      </c>
      <c r="G1" t="s">
        <v>5276</v>
      </c>
      <c r="H1" t="s">
        <v>5277</v>
      </c>
      <c r="I1" t="s">
        <v>5278</v>
      </c>
      <c r="J1" t="s">
        <v>5279</v>
      </c>
      <c r="K1" t="s">
        <v>5280</v>
      </c>
      <c r="L1" t="s">
        <v>5281</v>
      </c>
      <c r="M1" t="s">
        <v>5282</v>
      </c>
      <c r="N1" t="s">
        <v>5283</v>
      </c>
      <c r="O1" t="s">
        <v>5284</v>
      </c>
      <c r="P1" t="s">
        <v>5285</v>
      </c>
      <c r="Q1" t="s">
        <v>5286</v>
      </c>
      <c r="R1" t="s">
        <v>5287</v>
      </c>
      <c r="S1" t="s">
        <v>5288</v>
      </c>
      <c r="T1" t="s">
        <v>5289</v>
      </c>
      <c r="U1" t="s">
        <v>5290</v>
      </c>
      <c r="V1" t="s">
        <v>5291</v>
      </c>
      <c r="W1" t="s">
        <v>5292</v>
      </c>
      <c r="X1" t="s">
        <v>5293</v>
      </c>
      <c r="Y1" t="s">
        <v>5294</v>
      </c>
      <c r="Z1" t="s">
        <v>5295</v>
      </c>
      <c r="AA1" t="s">
        <v>5296</v>
      </c>
      <c r="AB1" t="s">
        <v>5297</v>
      </c>
      <c r="AC1" t="s">
        <v>5298</v>
      </c>
      <c r="AD1" t="s">
        <v>5299</v>
      </c>
      <c r="AE1" t="s">
        <v>5300</v>
      </c>
      <c r="AF1" t="s">
        <v>5301</v>
      </c>
      <c r="AG1" t="s">
        <v>5302</v>
      </c>
      <c r="AH1" t="s">
        <v>5303</v>
      </c>
      <c r="AI1" t="s">
        <v>5304</v>
      </c>
      <c r="AJ1" t="s">
        <v>5305</v>
      </c>
      <c r="AK1" t="s">
        <v>5306</v>
      </c>
      <c r="AL1" t="s">
        <v>5307</v>
      </c>
      <c r="AM1" t="s">
        <v>5308</v>
      </c>
      <c r="AN1" t="s">
        <v>5309</v>
      </c>
      <c r="AO1" t="s">
        <v>5310</v>
      </c>
      <c r="AP1" t="s">
        <v>5311</v>
      </c>
      <c r="AQ1" t="s">
        <v>5312</v>
      </c>
      <c r="AR1" t="s">
        <v>5313</v>
      </c>
      <c r="AS1" t="s">
        <v>5314</v>
      </c>
      <c r="AT1" t="s">
        <v>5315</v>
      </c>
      <c r="AU1" t="s">
        <v>5316</v>
      </c>
      <c r="AV1" t="s">
        <v>5317</v>
      </c>
      <c r="AW1" t="s">
        <v>5318</v>
      </c>
      <c r="AX1" t="s">
        <v>5319</v>
      </c>
      <c r="AY1" t="s">
        <v>5320</v>
      </c>
      <c r="AZ1" t="s">
        <v>5321</v>
      </c>
      <c r="BA1" t="s">
        <v>5322</v>
      </c>
      <c r="BB1" t="s">
        <v>5323</v>
      </c>
      <c r="BC1" t="s">
        <v>5324</v>
      </c>
      <c r="BD1" t="s">
        <v>5325</v>
      </c>
      <c r="BE1" t="s">
        <v>5326</v>
      </c>
      <c r="BF1" t="s">
        <v>5327</v>
      </c>
      <c r="BG1" t="s">
        <v>5328</v>
      </c>
      <c r="BH1" t="s">
        <v>5329</v>
      </c>
      <c r="BI1" t="s">
        <v>5330</v>
      </c>
      <c r="BJ1" t="s">
        <v>5331</v>
      </c>
      <c r="BK1" t="s">
        <v>5332</v>
      </c>
      <c r="BL1" t="s">
        <v>5333</v>
      </c>
      <c r="BM1" t="s">
        <v>5334</v>
      </c>
      <c r="BN1" t="s">
        <v>5335</v>
      </c>
    </row>
    <row r="2" spans="1:66">
      <c r="A2">
        <v>2408</v>
      </c>
      <c r="B2" t="s">
        <v>2</v>
      </c>
      <c r="C2" t="s">
        <v>110</v>
      </c>
      <c r="D2" s="139">
        <v>0</v>
      </c>
      <c r="E2" s="139"/>
      <c r="F2" s="139">
        <v>345071.49</v>
      </c>
      <c r="G2" s="139">
        <v>469190.93</v>
      </c>
      <c r="H2" s="139">
        <v>775705.79</v>
      </c>
      <c r="I2" s="139">
        <v>1176977.94</v>
      </c>
      <c r="J2" s="139">
        <v>1066585.3280000002</v>
      </c>
      <c r="K2" s="139">
        <v>1014364.7569999999</v>
      </c>
      <c r="L2" s="139">
        <v>1000524.9459999995</v>
      </c>
      <c r="M2" s="139">
        <v>887708.64400000044</v>
      </c>
      <c r="N2" s="139">
        <v>736821.1427564784</v>
      </c>
      <c r="O2" s="139">
        <v>1031617.2521614055</v>
      </c>
      <c r="P2" s="139">
        <v>991820.51520110725</v>
      </c>
      <c r="Q2" s="139">
        <v>698186.49497892475</v>
      </c>
      <c r="R2" s="139">
        <v>608677.37501479627</v>
      </c>
      <c r="S2" s="139">
        <v>1042728.0062461428</v>
      </c>
      <c r="T2" s="139">
        <v>1163379.6170183963</v>
      </c>
      <c r="U2" s="139">
        <v>1406692.5798085474</v>
      </c>
      <c r="V2" s="139">
        <v>1406751.4022188773</v>
      </c>
      <c r="W2" s="139">
        <v>1403247.2691012041</v>
      </c>
      <c r="X2" s="139">
        <v>1453696.2276039554</v>
      </c>
      <c r="Y2" s="139">
        <v>1453637.4051936255</v>
      </c>
      <c r="Z2" s="139">
        <v>1453637.4051936255</v>
      </c>
      <c r="AA2" s="139">
        <v>1453637.4051936255</v>
      </c>
      <c r="AB2" s="139">
        <v>1453637.4051936255</v>
      </c>
      <c r="AC2" s="139">
        <v>1059154.0341262114</v>
      </c>
      <c r="AD2" s="139">
        <v>866231.20742848166</v>
      </c>
      <c r="AE2" s="139">
        <v>866231.20742848166</v>
      </c>
      <c r="AF2" s="139">
        <v>1059154.0341262114</v>
      </c>
      <c r="AG2" s="139">
        <v>1252135.6832342711</v>
      </c>
      <c r="AH2" s="139">
        <v>1352883.8704680242</v>
      </c>
      <c r="AI2" s="139">
        <v>1352964.082845747</v>
      </c>
      <c r="AJ2" s="139">
        <v>1352996.1677968362</v>
      </c>
      <c r="AK2" s="139">
        <v>1352964.082845747</v>
      </c>
      <c r="AL2" s="139">
        <v>1302573.9467533261</v>
      </c>
      <c r="AM2" s="139">
        <v>1270588.303967301</v>
      </c>
      <c r="AN2" s="139">
        <v>480492.50386998581</v>
      </c>
      <c r="AO2" s="139">
        <v>480537.95755069546</v>
      </c>
      <c r="AP2" s="139">
        <v>480620.84367434238</v>
      </c>
      <c r="AQ2" s="139">
        <v>0</v>
      </c>
      <c r="AR2" s="139">
        <v>0</v>
      </c>
      <c r="AS2" s="139">
        <v>0</v>
      </c>
      <c r="AT2" s="139">
        <v>0</v>
      </c>
      <c r="AU2" s="139">
        <v>0</v>
      </c>
      <c r="AV2" s="139">
        <v>0</v>
      </c>
      <c r="AW2" s="139">
        <v>0</v>
      </c>
      <c r="AX2" s="139">
        <v>0</v>
      </c>
      <c r="AY2" s="139">
        <v>0</v>
      </c>
      <c r="AZ2" s="139">
        <v>0</v>
      </c>
      <c r="BA2" s="139">
        <v>0</v>
      </c>
      <c r="BB2" s="139">
        <v>0</v>
      </c>
      <c r="BC2" s="139">
        <v>0</v>
      </c>
      <c r="BD2" s="139">
        <v>0</v>
      </c>
      <c r="BE2" s="139">
        <v>0</v>
      </c>
      <c r="BF2" s="139">
        <v>0</v>
      </c>
      <c r="BG2" s="139">
        <v>0</v>
      </c>
      <c r="BH2" s="139">
        <v>0</v>
      </c>
      <c r="BI2" s="139">
        <v>0</v>
      </c>
      <c r="BJ2" s="139">
        <v>0</v>
      </c>
      <c r="BK2" s="139">
        <v>0</v>
      </c>
      <c r="BL2" s="139">
        <v>0</v>
      </c>
      <c r="BM2" s="139">
        <v>0</v>
      </c>
      <c r="BN2" s="139">
        <v>0</v>
      </c>
    </row>
    <row r="3" spans="1:66">
      <c r="A3">
        <v>2408</v>
      </c>
      <c r="B3" t="s">
        <v>2615</v>
      </c>
      <c r="C3" t="s">
        <v>120</v>
      </c>
      <c r="D3">
        <v>0</v>
      </c>
      <c r="E3">
        <v>0</v>
      </c>
      <c r="F3">
        <v>0</v>
      </c>
      <c r="G3">
        <v>0</v>
      </c>
      <c r="H3">
        <v>0</v>
      </c>
      <c r="I3">
        <v>0</v>
      </c>
      <c r="J3">
        <v>0</v>
      </c>
      <c r="K3">
        <v>0</v>
      </c>
      <c r="L3">
        <v>0</v>
      </c>
      <c r="M3">
        <v>0</v>
      </c>
      <c r="N3">
        <v>50000</v>
      </c>
      <c r="O3">
        <v>300000</v>
      </c>
      <c r="P3">
        <v>300000</v>
      </c>
      <c r="Q3">
        <v>300000</v>
      </c>
      <c r="R3">
        <v>270000</v>
      </c>
      <c r="S3">
        <v>150000</v>
      </c>
      <c r="T3">
        <v>150000</v>
      </c>
      <c r="U3">
        <v>250000</v>
      </c>
      <c r="V3">
        <v>350000</v>
      </c>
      <c r="W3">
        <v>450000</v>
      </c>
      <c r="X3">
        <v>450000</v>
      </c>
      <c r="Y3">
        <v>450000</v>
      </c>
      <c r="Z3">
        <v>450000</v>
      </c>
      <c r="AA3">
        <v>450000</v>
      </c>
      <c r="AB3">
        <v>450000</v>
      </c>
      <c r="AC3">
        <v>300000</v>
      </c>
      <c r="AD3">
        <v>100000</v>
      </c>
      <c r="AE3">
        <v>0</v>
      </c>
      <c r="AF3">
        <v>150000</v>
      </c>
      <c r="AG3">
        <v>250000</v>
      </c>
      <c r="AH3">
        <v>350000</v>
      </c>
      <c r="AI3">
        <v>450000</v>
      </c>
      <c r="AJ3">
        <v>450000</v>
      </c>
      <c r="AK3">
        <v>450000</v>
      </c>
      <c r="AL3">
        <v>450000</v>
      </c>
      <c r="AM3">
        <v>450000</v>
      </c>
      <c r="AN3">
        <v>450000</v>
      </c>
      <c r="AO3">
        <v>200000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row>
    <row r="4" spans="1:66">
      <c r="A4">
        <v>2408</v>
      </c>
      <c r="B4" t="s">
        <v>2616</v>
      </c>
      <c r="C4" t="s">
        <v>125</v>
      </c>
      <c r="D4">
        <v>0</v>
      </c>
      <c r="E4">
        <v>0</v>
      </c>
      <c r="F4">
        <v>0</v>
      </c>
      <c r="G4">
        <v>0</v>
      </c>
      <c r="H4">
        <v>0</v>
      </c>
      <c r="I4">
        <v>0</v>
      </c>
      <c r="J4">
        <v>0</v>
      </c>
      <c r="K4">
        <v>0</v>
      </c>
      <c r="L4">
        <v>2286.7539999999999</v>
      </c>
      <c r="M4">
        <v>442.34000000000015</v>
      </c>
      <c r="N4">
        <v>19973.824879223583</v>
      </c>
      <c r="O4">
        <v>49934.562198058949</v>
      </c>
      <c r="P4">
        <v>49934.562198058949</v>
      </c>
      <c r="Q4">
        <v>49934.562198058949</v>
      </c>
      <c r="R4">
        <v>49934.562198058949</v>
      </c>
      <c r="S4">
        <v>24967.281099029475</v>
      </c>
      <c r="T4">
        <v>49934.562198058949</v>
      </c>
      <c r="U4">
        <v>49934.562198058949</v>
      </c>
      <c r="V4">
        <v>49934.562198058949</v>
      </c>
      <c r="W4">
        <v>99869.124396117899</v>
      </c>
      <c r="X4">
        <v>124836.40549514737</v>
      </c>
      <c r="Y4">
        <v>124836.40549514737</v>
      </c>
      <c r="Z4">
        <v>124836.40549514737</v>
      </c>
      <c r="AA4">
        <v>99869.124396117899</v>
      </c>
      <c r="AB4">
        <v>99869.124396117899</v>
      </c>
      <c r="AC4">
        <v>49934.562198058949</v>
      </c>
      <c r="AD4">
        <v>24967.281099029475</v>
      </c>
      <c r="AE4">
        <v>24967.281099029475</v>
      </c>
      <c r="AF4">
        <v>24967.281099029475</v>
      </c>
      <c r="AG4">
        <v>49934.562198058949</v>
      </c>
      <c r="AH4">
        <v>74901.843297088431</v>
      </c>
      <c r="AI4">
        <v>124836.40549514737</v>
      </c>
      <c r="AJ4">
        <v>124836.40549514737</v>
      </c>
      <c r="AK4">
        <v>124836.40549514737</v>
      </c>
      <c r="AL4">
        <v>124836.40549514737</v>
      </c>
      <c r="AM4">
        <v>124836.40549514737</v>
      </c>
      <c r="AN4">
        <v>99869.124396117899</v>
      </c>
      <c r="AO4">
        <v>40205.312099389143</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row>
    <row r="5" spans="1:66">
      <c r="A5">
        <v>2408</v>
      </c>
      <c r="B5" t="s">
        <v>2617</v>
      </c>
      <c r="C5" t="s">
        <v>130</v>
      </c>
      <c r="D5">
        <v>0</v>
      </c>
      <c r="E5">
        <v>0</v>
      </c>
      <c r="F5">
        <v>0</v>
      </c>
      <c r="G5">
        <v>0</v>
      </c>
      <c r="H5">
        <v>0</v>
      </c>
      <c r="I5">
        <v>0</v>
      </c>
      <c r="J5">
        <v>0</v>
      </c>
      <c r="K5">
        <v>0</v>
      </c>
      <c r="L5">
        <v>0</v>
      </c>
      <c r="M5">
        <v>0</v>
      </c>
      <c r="N5">
        <v>20019.234657558769</v>
      </c>
      <c r="O5">
        <v>50048.086643896924</v>
      </c>
      <c r="P5">
        <v>50048.086643896924</v>
      </c>
      <c r="Q5">
        <v>50048.086643896924</v>
      </c>
      <c r="R5">
        <v>50048.086643896924</v>
      </c>
      <c r="S5">
        <v>50048.086643896924</v>
      </c>
      <c r="T5">
        <v>75072.129965845394</v>
      </c>
      <c r="U5">
        <v>75072.129965845394</v>
      </c>
      <c r="V5">
        <v>125120.21660974232</v>
      </c>
      <c r="W5">
        <v>125120.21660974232</v>
      </c>
      <c r="X5">
        <v>150144.25993169079</v>
      </c>
      <c r="Y5">
        <v>150144.25993169079</v>
      </c>
      <c r="Z5">
        <v>150144.25993169079</v>
      </c>
      <c r="AA5">
        <v>125120.21660974232</v>
      </c>
      <c r="AB5">
        <v>125120.21660974232</v>
      </c>
      <c r="AC5">
        <v>75072.129965845394</v>
      </c>
      <c r="AD5">
        <v>50048.086643896924</v>
      </c>
      <c r="AE5">
        <v>60057.703972676311</v>
      </c>
      <c r="AF5">
        <v>60057.703972676311</v>
      </c>
      <c r="AG5">
        <v>85081.747294624773</v>
      </c>
      <c r="AH5">
        <v>110105.79061657323</v>
      </c>
      <c r="AI5">
        <v>160153.87726047015</v>
      </c>
      <c r="AJ5">
        <v>160153.87726047015</v>
      </c>
      <c r="AK5">
        <v>160153.87726047015</v>
      </c>
      <c r="AL5">
        <v>160153.87726047015</v>
      </c>
      <c r="AM5">
        <v>160153.87726047015</v>
      </c>
      <c r="AN5">
        <v>135129.83393852171</v>
      </c>
      <c r="AO5">
        <v>75330.378092927887</v>
      </c>
      <c r="AP5">
        <v>17442.759157130957</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row>
    <row r="6" spans="1:66">
      <c r="A6">
        <v>2408</v>
      </c>
      <c r="B6" t="s">
        <v>2618</v>
      </c>
      <c r="C6" t="s">
        <v>135</v>
      </c>
      <c r="D6">
        <v>0</v>
      </c>
      <c r="E6">
        <v>0</v>
      </c>
      <c r="F6">
        <v>0</v>
      </c>
      <c r="G6">
        <v>0</v>
      </c>
      <c r="H6">
        <v>0</v>
      </c>
      <c r="I6">
        <v>0</v>
      </c>
      <c r="J6">
        <v>0</v>
      </c>
      <c r="K6">
        <v>0</v>
      </c>
      <c r="L6">
        <v>0</v>
      </c>
      <c r="M6">
        <v>0</v>
      </c>
      <c r="N6">
        <v>0</v>
      </c>
      <c r="O6">
        <v>75000</v>
      </c>
      <c r="P6">
        <v>50000</v>
      </c>
      <c r="Q6">
        <v>50000</v>
      </c>
      <c r="R6">
        <v>50000</v>
      </c>
      <c r="S6">
        <v>25000</v>
      </c>
      <c r="T6">
        <v>50000</v>
      </c>
      <c r="U6">
        <v>50000</v>
      </c>
      <c r="V6">
        <v>100000</v>
      </c>
      <c r="W6">
        <v>100000</v>
      </c>
      <c r="X6">
        <v>125000</v>
      </c>
      <c r="Y6">
        <v>125000</v>
      </c>
      <c r="Z6">
        <v>125000</v>
      </c>
      <c r="AA6">
        <v>125000</v>
      </c>
      <c r="AB6">
        <v>100000</v>
      </c>
      <c r="AC6">
        <v>50000</v>
      </c>
      <c r="AD6">
        <v>20000</v>
      </c>
      <c r="AE6">
        <v>20000</v>
      </c>
      <c r="AF6">
        <v>20000</v>
      </c>
      <c r="AG6">
        <v>40000</v>
      </c>
      <c r="AH6">
        <v>40000</v>
      </c>
      <c r="AI6">
        <v>100000</v>
      </c>
      <c r="AJ6">
        <v>100000</v>
      </c>
      <c r="AK6">
        <v>100000</v>
      </c>
      <c r="AL6">
        <v>100000</v>
      </c>
      <c r="AM6">
        <v>100000</v>
      </c>
      <c r="AN6">
        <v>100000</v>
      </c>
      <c r="AO6">
        <v>66730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row>
    <row r="7" spans="1:66">
      <c r="A7">
        <v>2408</v>
      </c>
      <c r="B7" t="s">
        <v>2619</v>
      </c>
      <c r="C7" t="s">
        <v>140</v>
      </c>
      <c r="D7">
        <v>0</v>
      </c>
      <c r="E7">
        <v>0</v>
      </c>
      <c r="F7">
        <v>0</v>
      </c>
      <c r="G7">
        <v>0</v>
      </c>
      <c r="H7">
        <v>0</v>
      </c>
      <c r="I7">
        <v>0</v>
      </c>
      <c r="J7">
        <v>0</v>
      </c>
      <c r="K7">
        <v>0</v>
      </c>
      <c r="L7">
        <v>0</v>
      </c>
      <c r="M7">
        <v>0</v>
      </c>
      <c r="N7">
        <v>0</v>
      </c>
      <c r="O7">
        <v>0</v>
      </c>
      <c r="P7">
        <v>0</v>
      </c>
      <c r="Q7">
        <v>0</v>
      </c>
      <c r="R7">
        <v>0</v>
      </c>
      <c r="S7">
        <v>0</v>
      </c>
      <c r="T7">
        <v>0</v>
      </c>
      <c r="U7">
        <v>10000</v>
      </c>
      <c r="V7">
        <v>10000</v>
      </c>
      <c r="W7">
        <v>10000</v>
      </c>
      <c r="X7">
        <v>10000</v>
      </c>
      <c r="Y7">
        <v>10000</v>
      </c>
      <c r="Z7">
        <v>10000</v>
      </c>
      <c r="AA7">
        <v>10000</v>
      </c>
      <c r="AB7">
        <v>0</v>
      </c>
      <c r="AC7">
        <v>0</v>
      </c>
      <c r="AD7">
        <v>0</v>
      </c>
      <c r="AE7">
        <v>0</v>
      </c>
      <c r="AF7">
        <v>0</v>
      </c>
      <c r="AG7">
        <v>0</v>
      </c>
      <c r="AH7">
        <v>0</v>
      </c>
      <c r="AI7">
        <v>0</v>
      </c>
      <c r="AJ7">
        <v>10000</v>
      </c>
      <c r="AK7">
        <v>10000</v>
      </c>
      <c r="AL7">
        <v>10000</v>
      </c>
      <c r="AM7">
        <v>8520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row>
    <row r="8" spans="1:66">
      <c r="A8">
        <v>2408</v>
      </c>
      <c r="B8" t="s">
        <v>5</v>
      </c>
      <c r="C8" t="s">
        <v>2622</v>
      </c>
      <c r="D8">
        <v>0</v>
      </c>
      <c r="E8">
        <v>0</v>
      </c>
      <c r="F8">
        <v>891.54</v>
      </c>
      <c r="G8">
        <v>1631.98</v>
      </c>
      <c r="H8">
        <v>2506.3146062938099</v>
      </c>
      <c r="I8">
        <v>2950.4280462416073</v>
      </c>
      <c r="J8">
        <v>3356.6713474645831</v>
      </c>
      <c r="K8">
        <v>1.7002108499023054E-2</v>
      </c>
      <c r="L8">
        <v>2729.7690000000002</v>
      </c>
      <c r="M8">
        <v>33.423000000000002</v>
      </c>
      <c r="N8">
        <v>1707.5059566295797</v>
      </c>
      <c r="O8">
        <v>4013.4317692045643</v>
      </c>
      <c r="P8">
        <v>2739.6046713274527</v>
      </c>
      <c r="Q8">
        <v>4268.8697343083604</v>
      </c>
      <c r="R8">
        <v>2995.0426364312498</v>
      </c>
      <c r="S8">
        <v>3828.6237352261523</v>
      </c>
      <c r="T8">
        <v>8250.5619217397962</v>
      </c>
      <c r="U8">
        <v>7287.5284593788465</v>
      </c>
      <c r="V8">
        <v>6255.4297446809751</v>
      </c>
      <c r="W8">
        <v>7032.0904942750503</v>
      </c>
      <c r="X8">
        <v>7032.0904942750503</v>
      </c>
      <c r="Y8">
        <v>5999.9917795771771</v>
      </c>
      <c r="Z8">
        <v>5999.9917795771771</v>
      </c>
      <c r="AA8">
        <v>5661.9953345516442</v>
      </c>
      <c r="AB8">
        <v>5661.9953345516442</v>
      </c>
      <c r="AC8">
        <v>5349.1646620985784</v>
      </c>
      <c r="AD8">
        <v>4075.3375642214655</v>
      </c>
      <c r="AE8">
        <v>4241.632044583188</v>
      </c>
      <c r="AF8">
        <v>7821.3849550352852</v>
      </c>
      <c r="AG8">
        <v>8853.4836697331575</v>
      </c>
      <c r="AH8">
        <v>8853.4836697331575</v>
      </c>
      <c r="AI8">
        <v>8853.4836697331575</v>
      </c>
      <c r="AJ8">
        <v>7821.3849550352852</v>
      </c>
      <c r="AK8">
        <v>6789.2862403374129</v>
      </c>
      <c r="AL8">
        <v>6789.2862403374129</v>
      </c>
      <c r="AM8">
        <v>5095.3083915084471</v>
      </c>
      <c r="AN8">
        <v>6333.8268491458948</v>
      </c>
      <c r="AO8">
        <v>6333.8268491458948</v>
      </c>
      <c r="AP8">
        <v>5095.3083915084471</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row>
    <row r="9" spans="1:66">
      <c r="A9">
        <v>2408</v>
      </c>
      <c r="B9" t="s">
        <v>6</v>
      </c>
      <c r="C9" t="s">
        <v>152</v>
      </c>
      <c r="D9">
        <v>0</v>
      </c>
      <c r="E9">
        <v>0</v>
      </c>
      <c r="F9">
        <v>0</v>
      </c>
      <c r="G9">
        <v>0</v>
      </c>
      <c r="H9">
        <v>80.261431251402939</v>
      </c>
      <c r="I9">
        <v>94.483580473484935</v>
      </c>
      <c r="J9">
        <v>107.49298827511211</v>
      </c>
      <c r="K9">
        <v>0.8800000000000523</v>
      </c>
      <c r="L9">
        <v>68.738999999999976</v>
      </c>
      <c r="M9">
        <v>1.4309999999999832</v>
      </c>
      <c r="N9">
        <v>175.24559851085823</v>
      </c>
      <c r="O9">
        <v>228.02736428794049</v>
      </c>
      <c r="P9">
        <v>416.65668311192292</v>
      </c>
      <c r="Q9">
        <v>481.42074148732866</v>
      </c>
      <c r="R9">
        <v>442.87291908065151</v>
      </c>
      <c r="S9">
        <v>620.34184123930572</v>
      </c>
      <c r="T9">
        <v>924.40227145242386</v>
      </c>
      <c r="U9">
        <v>598.38660210877572</v>
      </c>
      <c r="V9">
        <v>584.15265873837086</v>
      </c>
      <c r="W9">
        <v>789.22586666215</v>
      </c>
      <c r="X9">
        <v>1013.8973496587123</v>
      </c>
      <c r="Y9">
        <v>999.66340628830721</v>
      </c>
      <c r="Z9">
        <v>999.66340628830721</v>
      </c>
      <c r="AA9">
        <v>879.36875569728568</v>
      </c>
      <c r="AB9">
        <v>660.88525846122161</v>
      </c>
      <c r="AC9">
        <v>497.40296799230401</v>
      </c>
      <c r="AD9">
        <v>439.81518939947716</v>
      </c>
      <c r="AE9">
        <v>456.77058149363847</v>
      </c>
      <c r="AF9">
        <v>548.10016967739807</v>
      </c>
      <c r="AG9">
        <v>562.33411304780304</v>
      </c>
      <c r="AH9">
        <v>562.33411304780304</v>
      </c>
      <c r="AI9">
        <v>562.33411304780304</v>
      </c>
      <c r="AJ9">
        <v>548.10016967739807</v>
      </c>
      <c r="AK9">
        <v>533.86622630699298</v>
      </c>
      <c r="AL9">
        <v>533.86622630699298</v>
      </c>
      <c r="AM9">
        <v>154.19128962670914</v>
      </c>
      <c r="AN9">
        <v>171.21442768067899</v>
      </c>
      <c r="AO9">
        <v>171.21442768067899</v>
      </c>
      <c r="AP9">
        <v>154.19128962670914</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row>
    <row r="10" spans="1:66">
      <c r="A10">
        <v>2408</v>
      </c>
      <c r="B10" t="s">
        <v>7</v>
      </c>
      <c r="C10" t="s">
        <v>156</v>
      </c>
      <c r="D10">
        <v>0</v>
      </c>
      <c r="E10">
        <v>0</v>
      </c>
      <c r="F10">
        <v>323.02</v>
      </c>
      <c r="G10">
        <v>362.56000000000006</v>
      </c>
      <c r="H10">
        <v>407.77327500712778</v>
      </c>
      <c r="I10">
        <v>480.02980314905614</v>
      </c>
      <c r="J10">
        <v>546.12492184381608</v>
      </c>
      <c r="K10">
        <v>0.17012089999998467</v>
      </c>
      <c r="L10">
        <v>599.60800000000029</v>
      </c>
      <c r="M10">
        <v>183.85899999999992</v>
      </c>
      <c r="N10">
        <v>20.2818705298181</v>
      </c>
      <c r="O10">
        <v>47.671812333785205</v>
      </c>
      <c r="P10">
        <v>280.23476428648905</v>
      </c>
      <c r="Q10">
        <v>298.39947750036021</v>
      </c>
      <c r="R10">
        <v>283.26887360629593</v>
      </c>
      <c r="S10">
        <v>293.17020593033271</v>
      </c>
      <c r="T10">
        <v>583.90907201308028</v>
      </c>
      <c r="U10">
        <v>324.77653996616965</v>
      </c>
      <c r="V10">
        <v>312.5172020562668</v>
      </c>
      <c r="W10">
        <v>558.40025831852438</v>
      </c>
      <c r="X10">
        <v>803.36186941777919</v>
      </c>
      <c r="Y10">
        <v>791.10253150787617</v>
      </c>
      <c r="Z10">
        <v>791.10253150787617</v>
      </c>
      <c r="AA10">
        <v>693.67022345925363</v>
      </c>
      <c r="AB10">
        <v>455.45543639451216</v>
      </c>
      <c r="AC10">
        <v>308.49934852156542</v>
      </c>
      <c r="AD10">
        <v>272.60928605976756</v>
      </c>
      <c r="AE10">
        <v>274.58454307566552</v>
      </c>
      <c r="AF10">
        <v>317.10508877369693</v>
      </c>
      <c r="AG10">
        <v>329.36442668359973</v>
      </c>
      <c r="AH10">
        <v>329.36442668359973</v>
      </c>
      <c r="AI10">
        <v>329.36442668359973</v>
      </c>
      <c r="AJ10">
        <v>317.10508877369693</v>
      </c>
      <c r="AK10">
        <v>304.84575086379414</v>
      </c>
      <c r="AL10">
        <v>304.84575086379414</v>
      </c>
      <c r="AM10">
        <v>60.522415576257167</v>
      </c>
      <c r="AN10">
        <v>75.23362106814065</v>
      </c>
      <c r="AO10">
        <v>75.23362106814065</v>
      </c>
      <c r="AP10">
        <v>60.522415576257167</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row>
    <row r="11" spans="1:66">
      <c r="A11">
        <v>2408</v>
      </c>
      <c r="B11" t="s">
        <v>5193</v>
      </c>
      <c r="C11" t="s">
        <v>5194</v>
      </c>
      <c r="D11">
        <v>0</v>
      </c>
      <c r="E11">
        <v>0</v>
      </c>
      <c r="F11">
        <v>0</v>
      </c>
      <c r="G11">
        <v>0</v>
      </c>
      <c r="H11">
        <v>5.538487500096811</v>
      </c>
      <c r="I11">
        <v>6.5198953128267361</v>
      </c>
      <c r="J11">
        <v>7.4176171870764511</v>
      </c>
      <c r="K11">
        <v>339.62300000000005</v>
      </c>
      <c r="L11">
        <v>4.4250000000000114</v>
      </c>
      <c r="M11">
        <v>214.88299999999998</v>
      </c>
      <c r="N11">
        <v>2876.5975654963891</v>
      </c>
      <c r="O11">
        <v>4711.8774957198075</v>
      </c>
      <c r="P11">
        <v>8445.3032606813249</v>
      </c>
      <c r="Q11">
        <v>8927.5832290181843</v>
      </c>
      <c r="R11">
        <v>7682.7189606565889</v>
      </c>
      <c r="S11">
        <v>10519.868363240503</v>
      </c>
      <c r="T11">
        <v>16712.988773638914</v>
      </c>
      <c r="U11">
        <v>11627.85961871719</v>
      </c>
      <c r="V11">
        <v>10009.836747384632</v>
      </c>
      <c r="W11">
        <v>14109.893768793472</v>
      </c>
      <c r="X11">
        <v>19044.609607572773</v>
      </c>
      <c r="Y11">
        <v>17426.586736240206</v>
      </c>
      <c r="Z11">
        <v>17426.586736240206</v>
      </c>
      <c r="AA11">
        <v>15270.029527624811</v>
      </c>
      <c r="AB11">
        <v>11470.531941072628</v>
      </c>
      <c r="AC11">
        <v>8861.2975295674569</v>
      </c>
      <c r="AD11">
        <v>7799.1259651523687</v>
      </c>
      <c r="AE11">
        <v>8100.4635548971955</v>
      </c>
      <c r="AF11">
        <v>10153.000544011476</v>
      </c>
      <c r="AG11">
        <v>10743.416205873302</v>
      </c>
      <c r="AH11">
        <v>10743.416205873302</v>
      </c>
      <c r="AI11">
        <v>10743.416205873302</v>
      </c>
      <c r="AJ11">
        <v>10153.000544011476</v>
      </c>
      <c r="AK11">
        <v>9562.5848821496529</v>
      </c>
      <c r="AL11">
        <v>9562.5848821496529</v>
      </c>
      <c r="AM11">
        <v>2924.2426545049084</v>
      </c>
      <c r="AN11">
        <v>3693.5281569618032</v>
      </c>
      <c r="AO11">
        <v>3693.5281569618032</v>
      </c>
      <c r="AP11">
        <v>2924.2426545049084</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row>
    <row r="12" spans="1:66">
      <c r="A12">
        <v>2408</v>
      </c>
      <c r="B12" t="s">
        <v>8</v>
      </c>
      <c r="C12" t="s">
        <v>164</v>
      </c>
      <c r="D12">
        <v>0</v>
      </c>
      <c r="E12">
        <v>0</v>
      </c>
      <c r="F12">
        <v>0</v>
      </c>
      <c r="G12">
        <v>0</v>
      </c>
      <c r="H12">
        <v>20.248921875353943</v>
      </c>
      <c r="I12">
        <v>23.836986329319561</v>
      </c>
      <c r="J12">
        <v>33.952000000000005</v>
      </c>
      <c r="K12">
        <v>83.135000000000005</v>
      </c>
      <c r="L12">
        <v>69.416449624678052</v>
      </c>
      <c r="M12">
        <v>45.732999999999947</v>
      </c>
      <c r="N12">
        <v>517.22885766986326</v>
      </c>
      <c r="O12">
        <v>1086.4550644248811</v>
      </c>
      <c r="P12">
        <v>2651.0214844962334</v>
      </c>
      <c r="Q12">
        <v>2705.8542498942916</v>
      </c>
      <c r="R12">
        <v>2610.9165749404729</v>
      </c>
      <c r="S12">
        <v>3070.7522271309122</v>
      </c>
      <c r="T12">
        <v>3743.0381649809265</v>
      </c>
      <c r="U12">
        <v>2827.9520669965982</v>
      </c>
      <c r="V12">
        <v>3302.659638341343</v>
      </c>
      <c r="W12">
        <v>3811.2725168910106</v>
      </c>
      <c r="X12">
        <v>4414.269488628398</v>
      </c>
      <c r="Y12">
        <v>4365.1756291476086</v>
      </c>
      <c r="Z12">
        <v>4047.508582074352</v>
      </c>
      <c r="AA12">
        <v>3139.3437255276285</v>
      </c>
      <c r="AB12">
        <v>2314.8139667120909</v>
      </c>
      <c r="AC12">
        <v>1744.9081945859609</v>
      </c>
      <c r="AD12">
        <v>1591.3069611700203</v>
      </c>
      <c r="AE12">
        <v>1967.2632869905776</v>
      </c>
      <c r="AF12">
        <v>2233.2786424151464</v>
      </c>
      <c r="AG12">
        <v>2654.0823008203788</v>
      </c>
      <c r="AH12">
        <v>3094.0992068720607</v>
      </c>
      <c r="AI12">
        <v>3094.0992068720607</v>
      </c>
      <c r="AJ12">
        <v>3017.9592013551287</v>
      </c>
      <c r="AK12">
        <v>2941.8191958381963</v>
      </c>
      <c r="AL12">
        <v>2501.8022897865153</v>
      </c>
      <c r="AM12">
        <v>1207.2050411552789</v>
      </c>
      <c r="AN12">
        <v>1306.4121018495316</v>
      </c>
      <c r="AO12">
        <v>1306.4121018495316</v>
      </c>
      <c r="AP12">
        <v>1207.2050411552789</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row>
    <row r="13" spans="1:66">
      <c r="A13">
        <v>2408</v>
      </c>
      <c r="B13" t="s">
        <v>2623</v>
      </c>
      <c r="C13" t="s">
        <v>169</v>
      </c>
      <c r="D13">
        <v>0</v>
      </c>
      <c r="E13">
        <v>0</v>
      </c>
      <c r="F13">
        <v>0</v>
      </c>
      <c r="G13">
        <v>0</v>
      </c>
      <c r="H13">
        <v>0</v>
      </c>
      <c r="I13">
        <v>0</v>
      </c>
      <c r="J13">
        <v>0</v>
      </c>
      <c r="K13">
        <v>0</v>
      </c>
      <c r="L13">
        <v>0</v>
      </c>
      <c r="M13">
        <v>0</v>
      </c>
      <c r="N13">
        <v>0</v>
      </c>
      <c r="O13">
        <v>0</v>
      </c>
      <c r="P13">
        <v>0</v>
      </c>
      <c r="Q13">
        <v>0</v>
      </c>
      <c r="R13">
        <v>0</v>
      </c>
      <c r="S13">
        <v>0</v>
      </c>
      <c r="T13">
        <v>0</v>
      </c>
      <c r="U13">
        <v>1012.5</v>
      </c>
      <c r="V13">
        <v>1012.5</v>
      </c>
      <c r="W13">
        <v>1012.5</v>
      </c>
      <c r="X13">
        <v>1012.5</v>
      </c>
      <c r="Y13">
        <v>1012.5</v>
      </c>
      <c r="Z13">
        <v>1012.5</v>
      </c>
      <c r="AA13">
        <v>1012.5</v>
      </c>
      <c r="AB13">
        <v>1012.5</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row>
    <row r="14" spans="1:66">
      <c r="A14">
        <v>2408</v>
      </c>
      <c r="B14" t="s">
        <v>9</v>
      </c>
      <c r="C14" t="s">
        <v>173</v>
      </c>
      <c r="D14">
        <v>0</v>
      </c>
      <c r="E14">
        <v>0</v>
      </c>
      <c r="F14">
        <v>0</v>
      </c>
      <c r="G14">
        <v>0</v>
      </c>
      <c r="H14">
        <v>0</v>
      </c>
      <c r="I14">
        <v>0</v>
      </c>
      <c r="J14">
        <v>0</v>
      </c>
      <c r="K14">
        <v>0</v>
      </c>
      <c r="L14">
        <v>0</v>
      </c>
      <c r="M14">
        <v>0</v>
      </c>
      <c r="N14">
        <v>8.1389799055260035</v>
      </c>
      <c r="O14">
        <v>19.130381592479491</v>
      </c>
      <c r="P14">
        <v>194.48849418918473</v>
      </c>
      <c r="Q14">
        <v>194.25637238662588</v>
      </c>
      <c r="R14">
        <v>194.66037715192863</v>
      </c>
      <c r="S14">
        <v>194.66037715192863</v>
      </c>
      <c r="T14">
        <v>381.87146600995112</v>
      </c>
      <c r="U14">
        <v>187.21108885802246</v>
      </c>
      <c r="V14">
        <v>187.21108885802246</v>
      </c>
      <c r="W14">
        <v>373.19857582808402</v>
      </c>
      <c r="X14">
        <v>565.7119395339372</v>
      </c>
      <c r="Y14">
        <v>565.71193953393708</v>
      </c>
      <c r="Z14">
        <v>565.71193953393708</v>
      </c>
      <c r="AA14">
        <v>492.29582625628126</v>
      </c>
      <c r="AB14">
        <v>305.08473739825877</v>
      </c>
      <c r="AC14">
        <v>192.51336370585321</v>
      </c>
      <c r="AD14">
        <v>176.19867186637407</v>
      </c>
      <c r="AE14">
        <v>176.19867186637413</v>
      </c>
      <c r="AF14">
        <v>176.19867186637407</v>
      </c>
      <c r="AG14">
        <v>176.19867186637413</v>
      </c>
      <c r="AH14">
        <v>176.19867186637413</v>
      </c>
      <c r="AI14">
        <v>176.19867186637413</v>
      </c>
      <c r="AJ14">
        <v>176.19867186637407</v>
      </c>
      <c r="AK14">
        <v>176.19867186637413</v>
      </c>
      <c r="AL14">
        <v>173.89768589424739</v>
      </c>
      <c r="AM14">
        <v>24.287243303562732</v>
      </c>
      <c r="AN14">
        <v>30.190752336838145</v>
      </c>
      <c r="AO14">
        <v>30.190752336838145</v>
      </c>
      <c r="AP14">
        <v>24.287243303562732</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row>
    <row r="15" spans="1:66">
      <c r="A15">
        <v>2408</v>
      </c>
      <c r="B15" t="s">
        <v>10</v>
      </c>
      <c r="C15" t="s">
        <v>178</v>
      </c>
      <c r="D15">
        <v>0</v>
      </c>
      <c r="E15">
        <v>0</v>
      </c>
      <c r="F15">
        <v>0</v>
      </c>
      <c r="G15">
        <v>0</v>
      </c>
      <c r="H15">
        <v>0</v>
      </c>
      <c r="I15">
        <v>0</v>
      </c>
      <c r="J15">
        <v>0</v>
      </c>
      <c r="K15">
        <v>0</v>
      </c>
      <c r="L15">
        <v>0</v>
      </c>
      <c r="M15">
        <v>0</v>
      </c>
      <c r="N15">
        <v>0</v>
      </c>
      <c r="O15">
        <v>46.200000000000038</v>
      </c>
      <c r="P15">
        <v>198.8600000000001</v>
      </c>
      <c r="Q15">
        <v>245.06000000000014</v>
      </c>
      <c r="R15">
        <v>198.8600000000001</v>
      </c>
      <c r="S15">
        <v>198.8600000000001</v>
      </c>
      <c r="T15">
        <v>528.71000000000015</v>
      </c>
      <c r="U15">
        <v>329.85000000000014</v>
      </c>
      <c r="V15">
        <v>329.85000000000014</v>
      </c>
      <c r="W15">
        <v>519.85000000000059</v>
      </c>
      <c r="X15">
        <v>716.51666666666745</v>
      </c>
      <c r="Y15">
        <v>716.51666666666745</v>
      </c>
      <c r="Z15">
        <v>716.51666666666745</v>
      </c>
      <c r="AA15">
        <v>641.51666666666722</v>
      </c>
      <c r="AB15">
        <v>450.26666666666722</v>
      </c>
      <c r="AC15">
        <v>335.26666666666699</v>
      </c>
      <c r="AD15">
        <v>272.40000000000055</v>
      </c>
      <c r="AE15">
        <v>272.40000000000055</v>
      </c>
      <c r="AF15">
        <v>364.80000000000064</v>
      </c>
      <c r="AG15">
        <v>364.80000000000064</v>
      </c>
      <c r="AH15">
        <v>364.80000000000064</v>
      </c>
      <c r="AI15">
        <v>364.80000000000064</v>
      </c>
      <c r="AJ15">
        <v>364.80000000000064</v>
      </c>
      <c r="AK15">
        <v>364.80000000000064</v>
      </c>
      <c r="AL15">
        <v>364.80000000000064</v>
      </c>
      <c r="AM15">
        <v>184.80000000000015</v>
      </c>
      <c r="AN15">
        <v>184.80000000000015</v>
      </c>
      <c r="AO15">
        <v>184.80000000000015</v>
      </c>
      <c r="AP15">
        <v>184.80000000000015</v>
      </c>
      <c r="AQ15">
        <v>0</v>
      </c>
      <c r="AR15">
        <v>0</v>
      </c>
      <c r="AS15">
        <v>0</v>
      </c>
      <c r="AT15">
        <v>0</v>
      </c>
      <c r="AU15">
        <v>0</v>
      </c>
      <c r="AV15">
        <v>0</v>
      </c>
      <c r="AW15">
        <v>0</v>
      </c>
      <c r="AX15">
        <v>0</v>
      </c>
      <c r="AY15">
        <v>0</v>
      </c>
      <c r="AZ15">
        <v>0</v>
      </c>
      <c r="BA15">
        <v>0</v>
      </c>
      <c r="BB15">
        <v>0</v>
      </c>
      <c r="BC15">
        <v>0</v>
      </c>
      <c r="BD15">
        <v>0</v>
      </c>
      <c r="BE15">
        <v>0</v>
      </c>
      <c r="BF15">
        <v>0</v>
      </c>
      <c r="BG15">
        <v>0</v>
      </c>
      <c r="BH15">
        <v>0</v>
      </c>
      <c r="BI15">
        <v>0</v>
      </c>
    </row>
    <row r="16" spans="1:66">
      <c r="A16">
        <v>2408</v>
      </c>
      <c r="B16" t="s">
        <v>2624</v>
      </c>
      <c r="C16" t="s">
        <v>184</v>
      </c>
      <c r="D16">
        <v>0</v>
      </c>
      <c r="E16">
        <v>0</v>
      </c>
      <c r="F16">
        <v>0</v>
      </c>
      <c r="G16">
        <v>0</v>
      </c>
      <c r="H16">
        <v>0</v>
      </c>
      <c r="I16">
        <v>0</v>
      </c>
      <c r="J16">
        <v>0</v>
      </c>
      <c r="K16">
        <v>0</v>
      </c>
      <c r="L16">
        <v>0</v>
      </c>
      <c r="M16">
        <v>0</v>
      </c>
      <c r="N16">
        <v>0</v>
      </c>
      <c r="O16">
        <v>0</v>
      </c>
      <c r="P16">
        <v>0</v>
      </c>
      <c r="Q16">
        <v>0</v>
      </c>
      <c r="R16">
        <v>0</v>
      </c>
      <c r="S16">
        <v>0</v>
      </c>
      <c r="T16">
        <v>0</v>
      </c>
      <c r="U16">
        <v>173.15375</v>
      </c>
      <c r="V16">
        <v>173.15375</v>
      </c>
      <c r="W16">
        <v>173.15375</v>
      </c>
      <c r="X16">
        <v>173.15375</v>
      </c>
      <c r="Y16">
        <v>173.15375</v>
      </c>
      <c r="Z16">
        <v>173.15375</v>
      </c>
      <c r="AA16">
        <v>173.15375</v>
      </c>
      <c r="AB16">
        <v>173.15375</v>
      </c>
      <c r="AC16">
        <v>0</v>
      </c>
      <c r="AD16">
        <v>0</v>
      </c>
      <c r="AE16">
        <v>0</v>
      </c>
      <c r="AF16">
        <v>0</v>
      </c>
      <c r="AG16">
        <v>173.15375</v>
      </c>
      <c r="AH16">
        <v>173.15375</v>
      </c>
      <c r="AI16">
        <v>173.15375</v>
      </c>
      <c r="AJ16">
        <v>173.15375</v>
      </c>
      <c r="AK16">
        <v>173.15375</v>
      </c>
      <c r="AL16">
        <v>173.15375</v>
      </c>
      <c r="AM16">
        <v>173.15375</v>
      </c>
      <c r="AN16">
        <v>173.15375</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row>
    <row r="17" spans="1:66">
      <c r="A17">
        <v>2408</v>
      </c>
      <c r="B17" t="s">
        <v>11</v>
      </c>
      <c r="C17" t="s">
        <v>189</v>
      </c>
      <c r="D17">
        <v>0</v>
      </c>
      <c r="E17">
        <v>0</v>
      </c>
      <c r="F17">
        <v>0</v>
      </c>
      <c r="G17">
        <v>0</v>
      </c>
      <c r="H17">
        <v>0</v>
      </c>
      <c r="I17">
        <v>0</v>
      </c>
      <c r="J17">
        <v>0</v>
      </c>
      <c r="K17">
        <v>0</v>
      </c>
      <c r="L17">
        <v>0</v>
      </c>
      <c r="M17">
        <v>0</v>
      </c>
      <c r="N17">
        <v>10.18268464609365</v>
      </c>
      <c r="O17">
        <v>23.934036596329953</v>
      </c>
      <c r="P17">
        <v>16.337588934774203</v>
      </c>
      <c r="Q17">
        <v>25.457336843215224</v>
      </c>
      <c r="R17">
        <v>17.860889181659473</v>
      </c>
      <c r="S17">
        <v>22.83193682164972</v>
      </c>
      <c r="T17">
        <v>49.202094947871487</v>
      </c>
      <c r="U17">
        <v>5552.1358891385089</v>
      </c>
      <c r="V17">
        <v>5552.8062127473459</v>
      </c>
      <c r="W17">
        <v>5552.8062127473459</v>
      </c>
      <c r="X17">
        <v>5552.8062127473459</v>
      </c>
      <c r="Y17">
        <v>5552.8062127473459</v>
      </c>
      <c r="Z17">
        <v>5552.8062127473459</v>
      </c>
      <c r="AA17">
        <v>5552.8062127473459</v>
      </c>
      <c r="AB17">
        <v>5552.8062127473459</v>
      </c>
      <c r="AC17">
        <v>31.899658483003638</v>
      </c>
      <c r="AD17">
        <v>24.303210821447784</v>
      </c>
      <c r="AE17">
        <v>25.294905313250329</v>
      </c>
      <c r="AF17">
        <v>46.642704925042395</v>
      </c>
      <c r="AG17">
        <v>5552.2881657861426</v>
      </c>
      <c r="AH17">
        <v>5552.8062127473459</v>
      </c>
      <c r="AI17">
        <v>5552.8062127473459</v>
      </c>
      <c r="AJ17">
        <v>5552.8062127473459</v>
      </c>
      <c r="AK17">
        <v>5552.8062127473459</v>
      </c>
      <c r="AL17">
        <v>5552.8062127473459</v>
      </c>
      <c r="AM17">
        <v>5552.8062127473459</v>
      </c>
      <c r="AN17">
        <v>5552.5306654066626</v>
      </c>
      <c r="AO17">
        <v>37.771675792639734</v>
      </c>
      <c r="AP17">
        <v>30.385790646223011</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row>
    <row r="18" spans="1:66">
      <c r="A18">
        <v>2408</v>
      </c>
      <c r="B18" t="s">
        <v>2625</v>
      </c>
      <c r="C18" t="s">
        <v>194</v>
      </c>
      <c r="D18">
        <v>0</v>
      </c>
      <c r="E18">
        <v>0</v>
      </c>
      <c r="F18">
        <v>0</v>
      </c>
      <c r="G18">
        <v>0</v>
      </c>
      <c r="H18">
        <v>0</v>
      </c>
      <c r="I18">
        <v>0</v>
      </c>
      <c r="J18">
        <v>0</v>
      </c>
      <c r="K18">
        <v>0</v>
      </c>
      <c r="L18">
        <v>0</v>
      </c>
      <c r="M18">
        <v>0</v>
      </c>
      <c r="N18">
        <v>0</v>
      </c>
      <c r="O18">
        <v>0</v>
      </c>
      <c r="P18">
        <v>0</v>
      </c>
      <c r="Q18">
        <v>0</v>
      </c>
      <c r="R18">
        <v>0</v>
      </c>
      <c r="S18">
        <v>0</v>
      </c>
      <c r="T18">
        <v>0</v>
      </c>
      <c r="U18">
        <v>164.0625</v>
      </c>
      <c r="V18">
        <v>164.0625</v>
      </c>
      <c r="W18">
        <v>164.0625</v>
      </c>
      <c r="X18">
        <v>164.0625</v>
      </c>
      <c r="Y18">
        <v>164.0625</v>
      </c>
      <c r="Z18">
        <v>164.0625</v>
      </c>
      <c r="AA18">
        <v>164.0625</v>
      </c>
      <c r="AB18">
        <v>164.0625</v>
      </c>
      <c r="AC18">
        <v>0</v>
      </c>
      <c r="AD18">
        <v>0</v>
      </c>
      <c r="AE18">
        <v>0</v>
      </c>
      <c r="AF18">
        <v>0</v>
      </c>
      <c r="AG18">
        <v>164.0625</v>
      </c>
      <c r="AH18">
        <v>164.0625</v>
      </c>
      <c r="AI18">
        <v>164.0625</v>
      </c>
      <c r="AJ18">
        <v>164.0625</v>
      </c>
      <c r="AK18">
        <v>164.0625</v>
      </c>
      <c r="AL18">
        <v>164.0625</v>
      </c>
      <c r="AM18">
        <v>164.0625</v>
      </c>
      <c r="AN18">
        <v>164.0625</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row>
    <row r="19" spans="1:66">
      <c r="A19">
        <v>2408</v>
      </c>
      <c r="B19" t="s">
        <v>12</v>
      </c>
      <c r="C19" t="s">
        <v>200</v>
      </c>
      <c r="D19">
        <v>0</v>
      </c>
      <c r="E19">
        <v>0</v>
      </c>
      <c r="F19">
        <v>3130.2159996912669</v>
      </c>
      <c r="G19">
        <v>7683.1060003087314</v>
      </c>
      <c r="H19">
        <v>3228.8100000000004</v>
      </c>
      <c r="I19">
        <v>3703.96</v>
      </c>
      <c r="J19">
        <v>4405.6789999999992</v>
      </c>
      <c r="K19">
        <v>5330.574775</v>
      </c>
      <c r="L19">
        <v>4034.2663250000001</v>
      </c>
      <c r="M19">
        <v>3635.510000000002</v>
      </c>
      <c r="N19">
        <v>4328.1926363617349</v>
      </c>
      <c r="O19">
        <v>4328.1926363617349</v>
      </c>
      <c r="P19">
        <v>7264.6158164174349</v>
      </c>
      <c r="Q19">
        <v>5385.3853187876675</v>
      </c>
      <c r="R19">
        <v>5259.8578095943722</v>
      </c>
      <c r="S19">
        <v>3358.1903157588849</v>
      </c>
      <c r="T19">
        <v>5496.490763237236</v>
      </c>
      <c r="U19">
        <v>10157.057295439543</v>
      </c>
      <c r="V19">
        <v>8102.4418540900588</v>
      </c>
      <c r="W19">
        <v>6991.4491272864516</v>
      </c>
      <c r="X19">
        <v>6991.4491272864516</v>
      </c>
      <c r="Y19">
        <v>2330.882595084141</v>
      </c>
      <c r="Z19">
        <v>2330.882595084141</v>
      </c>
      <c r="AA19">
        <v>2330.8825950841415</v>
      </c>
      <c r="AB19">
        <v>2330.8825950841415</v>
      </c>
      <c r="AC19">
        <v>2330.8825950841415</v>
      </c>
      <c r="AD19">
        <v>2330.882595084141</v>
      </c>
      <c r="AE19">
        <v>2330.8825950841415</v>
      </c>
      <c r="AF19">
        <v>2330.8825950841415</v>
      </c>
      <c r="AG19">
        <v>2330.8825950841415</v>
      </c>
      <c r="AH19">
        <v>2330.8825950841415</v>
      </c>
      <c r="AI19">
        <v>2330.8825950841415</v>
      </c>
      <c r="AJ19">
        <v>2330.8825950841415</v>
      </c>
      <c r="AK19">
        <v>2330.8825950841415</v>
      </c>
      <c r="AL19">
        <v>2330.8825950841415</v>
      </c>
      <c r="AM19">
        <v>2264.399882153336</v>
      </c>
      <c r="AN19">
        <v>336.02488580882545</v>
      </c>
      <c r="AO19">
        <v>336.02488580882545</v>
      </c>
      <c r="AP19">
        <v>270.31847589080439</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row>
    <row r="20" spans="1:66">
      <c r="A20">
        <v>2408</v>
      </c>
      <c r="B20" t="s">
        <v>2626</v>
      </c>
      <c r="C20" t="s">
        <v>205</v>
      </c>
      <c r="D20">
        <v>0</v>
      </c>
      <c r="E20">
        <v>0</v>
      </c>
      <c r="F20">
        <v>0</v>
      </c>
      <c r="G20">
        <v>0</v>
      </c>
      <c r="H20">
        <v>0</v>
      </c>
      <c r="I20">
        <v>0</v>
      </c>
      <c r="J20">
        <v>0</v>
      </c>
      <c r="K20">
        <v>0</v>
      </c>
      <c r="L20">
        <v>0</v>
      </c>
      <c r="M20">
        <v>0</v>
      </c>
      <c r="N20">
        <v>0</v>
      </c>
      <c r="O20">
        <v>0</v>
      </c>
      <c r="P20">
        <v>0</v>
      </c>
      <c r="Q20">
        <v>0</v>
      </c>
      <c r="R20">
        <v>0</v>
      </c>
      <c r="S20">
        <v>0</v>
      </c>
      <c r="T20">
        <v>0</v>
      </c>
      <c r="U20">
        <v>1875</v>
      </c>
      <c r="V20">
        <v>1875</v>
      </c>
      <c r="W20">
        <v>1875</v>
      </c>
      <c r="X20">
        <v>1875</v>
      </c>
      <c r="Y20">
        <v>1875</v>
      </c>
      <c r="Z20">
        <v>1875</v>
      </c>
      <c r="AA20">
        <v>1875</v>
      </c>
      <c r="AB20">
        <v>1875</v>
      </c>
      <c r="AC20">
        <v>0</v>
      </c>
      <c r="AD20">
        <v>0</v>
      </c>
      <c r="AE20">
        <v>0</v>
      </c>
      <c r="AF20">
        <v>0</v>
      </c>
      <c r="AG20">
        <v>1875</v>
      </c>
      <c r="AH20">
        <v>1875</v>
      </c>
      <c r="AI20">
        <v>1875</v>
      </c>
      <c r="AJ20">
        <v>1875</v>
      </c>
      <c r="AK20">
        <v>1875</v>
      </c>
      <c r="AL20">
        <v>1875</v>
      </c>
      <c r="AM20">
        <v>1875</v>
      </c>
      <c r="AN20">
        <v>1875</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row>
    <row r="21" spans="1:66">
      <c r="A21">
        <v>2408</v>
      </c>
      <c r="B21" t="s">
        <v>2627</v>
      </c>
      <c r="C21" t="s">
        <v>210</v>
      </c>
      <c r="D21">
        <v>0</v>
      </c>
      <c r="E21">
        <v>0</v>
      </c>
      <c r="F21">
        <v>0</v>
      </c>
      <c r="G21">
        <v>0</v>
      </c>
      <c r="H21">
        <v>0</v>
      </c>
      <c r="I21">
        <v>0</v>
      </c>
      <c r="J21">
        <v>0</v>
      </c>
      <c r="K21">
        <v>0</v>
      </c>
      <c r="L21">
        <v>0</v>
      </c>
      <c r="M21">
        <v>0</v>
      </c>
      <c r="N21">
        <v>0</v>
      </c>
      <c r="O21">
        <v>0</v>
      </c>
      <c r="P21">
        <v>0</v>
      </c>
      <c r="Q21">
        <v>0</v>
      </c>
      <c r="R21">
        <v>0</v>
      </c>
      <c r="S21">
        <v>0</v>
      </c>
      <c r="T21">
        <v>0</v>
      </c>
      <c r="U21">
        <v>70885</v>
      </c>
      <c r="V21">
        <v>70885</v>
      </c>
      <c r="W21">
        <v>70885</v>
      </c>
      <c r="X21">
        <v>70885</v>
      </c>
      <c r="Y21">
        <v>70885</v>
      </c>
      <c r="Z21">
        <v>70885</v>
      </c>
      <c r="AA21">
        <v>70885</v>
      </c>
      <c r="AB21">
        <v>70885</v>
      </c>
      <c r="AC21">
        <v>0</v>
      </c>
      <c r="AD21">
        <v>0</v>
      </c>
      <c r="AE21">
        <v>0</v>
      </c>
      <c r="AF21">
        <v>0</v>
      </c>
      <c r="AG21">
        <v>70885</v>
      </c>
      <c r="AH21">
        <v>70885</v>
      </c>
      <c r="AI21">
        <v>70885</v>
      </c>
      <c r="AJ21">
        <v>70885</v>
      </c>
      <c r="AK21">
        <v>70885</v>
      </c>
      <c r="AL21">
        <v>70885</v>
      </c>
      <c r="AM21">
        <v>70885</v>
      </c>
      <c r="AN21">
        <v>70885</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row>
    <row r="22" spans="1:66">
      <c r="A22">
        <v>2408</v>
      </c>
      <c r="B22" t="s">
        <v>13</v>
      </c>
      <c r="C22" t="s">
        <v>215</v>
      </c>
      <c r="D22">
        <v>0</v>
      </c>
      <c r="E22">
        <v>0</v>
      </c>
      <c r="F22">
        <v>134.66012289140957</v>
      </c>
      <c r="G22">
        <v>330.52287710859042</v>
      </c>
      <c r="H22">
        <v>155.6567584</v>
      </c>
      <c r="I22">
        <v>148.39913899999999</v>
      </c>
      <c r="J22">
        <v>200.38778737759998</v>
      </c>
      <c r="K22">
        <v>197.48399999999992</v>
      </c>
      <c r="L22">
        <v>146.29188399999995</v>
      </c>
      <c r="M22">
        <v>122.28700000000026</v>
      </c>
      <c r="N22">
        <v>139.003778729011</v>
      </c>
      <c r="O22">
        <v>139.00377872901097</v>
      </c>
      <c r="P22">
        <v>254.46113628452946</v>
      </c>
      <c r="Q22">
        <v>180.57158624700435</v>
      </c>
      <c r="R22">
        <v>175.63596436170474</v>
      </c>
      <c r="S22">
        <v>100.86421304236454</v>
      </c>
      <c r="T22">
        <v>184.94014630786518</v>
      </c>
      <c r="U22">
        <v>146.79857724942133</v>
      </c>
      <c r="V22">
        <v>287.40365664668491</v>
      </c>
      <c r="W22">
        <v>243.72048271883472</v>
      </c>
      <c r="X22">
        <v>163.64020801924732</v>
      </c>
      <c r="Y22">
        <v>88.028422402079968</v>
      </c>
      <c r="Z22">
        <v>88.028422402079968</v>
      </c>
      <c r="AA22">
        <v>83.069533302534424</v>
      </c>
      <c r="AB22">
        <v>83.069533302534424</v>
      </c>
      <c r="AC22">
        <v>78.479861918523738</v>
      </c>
      <c r="AD22">
        <v>60.471453704713866</v>
      </c>
      <c r="AE22">
        <v>62.230781476350749</v>
      </c>
      <c r="AF22">
        <v>114.75085364860946</v>
      </c>
      <c r="AG22">
        <v>129.89321133105128</v>
      </c>
      <c r="AH22">
        <v>129.89321133105128</v>
      </c>
      <c r="AI22">
        <v>129.89321133105128</v>
      </c>
      <c r="AJ22">
        <v>114.75085364860946</v>
      </c>
      <c r="AK22">
        <v>99.608495966167666</v>
      </c>
      <c r="AL22">
        <v>99.608495966167666</v>
      </c>
      <c r="AM22">
        <v>74.755428979633805</v>
      </c>
      <c r="AN22">
        <v>92.926258198564099</v>
      </c>
      <c r="AO22">
        <v>92.926258198564099</v>
      </c>
      <c r="AP22">
        <v>74.755428979633805</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row>
    <row r="23" spans="1:66">
      <c r="A23">
        <v>2408</v>
      </c>
      <c r="B23" t="s">
        <v>2628</v>
      </c>
      <c r="C23" t="s">
        <v>220</v>
      </c>
      <c r="D23">
        <v>0</v>
      </c>
      <c r="E23">
        <v>0</v>
      </c>
      <c r="F23">
        <v>3004.1999715532347</v>
      </c>
      <c r="G23">
        <v>7373.8000284467644</v>
      </c>
      <c r="H23">
        <v>0</v>
      </c>
      <c r="I23">
        <v>0</v>
      </c>
      <c r="J23">
        <v>0</v>
      </c>
      <c r="K23">
        <v>0</v>
      </c>
      <c r="L23">
        <v>0</v>
      </c>
      <c r="M23">
        <v>0</v>
      </c>
      <c r="N23">
        <v>0</v>
      </c>
      <c r="O23">
        <v>60705.656934306571</v>
      </c>
      <c r="P23">
        <v>60705.656934306571</v>
      </c>
      <c r="Q23">
        <v>60705.656934306571</v>
      </c>
      <c r="R23">
        <v>80940.875912408752</v>
      </c>
      <c r="S23">
        <v>121411.31386861314</v>
      </c>
      <c r="T23">
        <v>161881.7518248175</v>
      </c>
      <c r="U23">
        <v>202352.18978102188</v>
      </c>
      <c r="V23">
        <v>202352.18978102188</v>
      </c>
      <c r="W23">
        <v>202352.18978102188</v>
      </c>
      <c r="X23">
        <v>202352.18978102188</v>
      </c>
      <c r="Y23">
        <v>202352.18978102188</v>
      </c>
      <c r="Z23">
        <v>202352.18978102188</v>
      </c>
      <c r="AA23">
        <v>202352.18978102188</v>
      </c>
      <c r="AB23">
        <v>202352.18978102188</v>
      </c>
      <c r="AC23">
        <v>202352.18978102188</v>
      </c>
      <c r="AD23">
        <v>202352.18978102188</v>
      </c>
      <c r="AE23">
        <v>202352.18978102188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row>
    <row r="24" spans="1:66">
      <c r="A24">
        <v>2408</v>
      </c>
      <c r="B24" t="s">
        <v>2629</v>
      </c>
      <c r="C24" t="s">
        <v>225</v>
      </c>
      <c r="D24">
        <v>0</v>
      </c>
      <c r="E24">
        <v>0</v>
      </c>
      <c r="F24">
        <v>0</v>
      </c>
      <c r="G24">
        <v>0</v>
      </c>
      <c r="H24">
        <v>363.64538438135639</v>
      </c>
      <c r="I24">
        <v>428.08254728707783</v>
      </c>
      <c r="J24">
        <v>487.02506833156565</v>
      </c>
      <c r="K24">
        <v>0</v>
      </c>
      <c r="L24">
        <v>1450.3410000000001</v>
      </c>
      <c r="M24">
        <v>0</v>
      </c>
      <c r="N24">
        <v>1936.9416956521741</v>
      </c>
      <c r="O24">
        <v>1936.9416956521741</v>
      </c>
      <c r="P24">
        <v>1936.9416956521741</v>
      </c>
      <c r="Q24">
        <v>1936.9416956521741</v>
      </c>
      <c r="R24">
        <v>1936.9416956521741</v>
      </c>
      <c r="S24">
        <v>1936.9416956521741</v>
      </c>
      <c r="T24">
        <v>1936.9416956521741</v>
      </c>
      <c r="U24">
        <v>1936.9416956521741</v>
      </c>
      <c r="V24">
        <v>1936.9416956521741</v>
      </c>
      <c r="W24">
        <v>1936.9416956521741</v>
      </c>
      <c r="X24">
        <v>1936.9416956521741</v>
      </c>
      <c r="Y24">
        <v>1936.9416956521741</v>
      </c>
      <c r="Z24">
        <v>1936.9416956521741</v>
      </c>
      <c r="AA24">
        <v>1936.9416956521741</v>
      </c>
      <c r="AB24">
        <v>1936.9416956521741</v>
      </c>
      <c r="AC24">
        <v>0</v>
      </c>
      <c r="AD24">
        <v>0</v>
      </c>
      <c r="AE24">
        <v>0</v>
      </c>
      <c r="AF24">
        <v>0</v>
      </c>
      <c r="AG24">
        <v>1936.9416956521741</v>
      </c>
      <c r="AH24">
        <v>1936.9416956521741</v>
      </c>
      <c r="AI24">
        <v>1936.9416956521741</v>
      </c>
      <c r="AJ24">
        <v>1936.9416956521741</v>
      </c>
      <c r="AK24">
        <v>1936.9416956521741</v>
      </c>
      <c r="AL24">
        <v>1936.9416956521741</v>
      </c>
      <c r="AM24">
        <v>1936.9416956521741</v>
      </c>
      <c r="AN24">
        <v>1936.9416956521741</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row>
    <row r="25" spans="1:66">
      <c r="A25">
        <v>2408</v>
      </c>
      <c r="B25" t="s">
        <v>2630</v>
      </c>
      <c r="C25" t="s">
        <v>230</v>
      </c>
      <c r="D25">
        <v>0</v>
      </c>
      <c r="E25">
        <v>0</v>
      </c>
      <c r="F25">
        <v>0</v>
      </c>
      <c r="G25">
        <v>0</v>
      </c>
      <c r="H25">
        <v>0</v>
      </c>
      <c r="I25">
        <v>0</v>
      </c>
      <c r="J25">
        <v>0</v>
      </c>
      <c r="K25">
        <v>0</v>
      </c>
      <c r="L25">
        <v>0</v>
      </c>
      <c r="M25">
        <v>46.28</v>
      </c>
      <c r="N25">
        <v>171.21174767291706</v>
      </c>
      <c r="O25">
        <v>379.1811021992595</v>
      </c>
      <c r="P25">
        <v>587.96398439188363</v>
      </c>
      <c r="Q25">
        <v>723.73894662649002</v>
      </c>
      <c r="R25">
        <v>587.96398439188363</v>
      </c>
      <c r="S25">
        <v>703.11832431871073</v>
      </c>
      <c r="T25">
        <v>1490.7990148370636</v>
      </c>
      <c r="U25">
        <v>998.24027183318628</v>
      </c>
      <c r="V25">
        <v>926.0458795414504</v>
      </c>
      <c r="W25">
        <v>1327.4467006835025</v>
      </c>
      <c r="X25">
        <v>1668.2042323004962</v>
      </c>
      <c r="Y25">
        <v>1596.0098400087602</v>
      </c>
      <c r="Z25">
        <v>1596.0098400087602</v>
      </c>
      <c r="AA25">
        <v>1443.60198973196</v>
      </c>
      <c r="AB25">
        <v>1112.2297291128921</v>
      </c>
      <c r="AC25">
        <v>912.97320638770077</v>
      </c>
      <c r="AD25">
        <v>748.32048723640003</v>
      </c>
      <c r="AE25">
        <v>766.83255474357463</v>
      </c>
      <c r="AF25">
        <v>1110.5768715045235</v>
      </c>
      <c r="AG25">
        <v>1182.7712637962595</v>
      </c>
      <c r="AH25">
        <v>1182.7712637962595</v>
      </c>
      <c r="AI25">
        <v>1182.7712637962595</v>
      </c>
      <c r="AJ25">
        <v>1110.5768715045235</v>
      </c>
      <c r="AK25">
        <v>1038.3824792127878</v>
      </c>
      <c r="AL25">
        <v>1038.3824792127878</v>
      </c>
      <c r="AM25">
        <v>543.09984893842602</v>
      </c>
      <c r="AN25">
        <v>625.1951864587428</v>
      </c>
      <c r="AO25">
        <v>625.1951864587428</v>
      </c>
      <c r="AP25">
        <v>543.09984893842602</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row>
    <row r="26" spans="1:66">
      <c r="A26">
        <v>2408</v>
      </c>
      <c r="B26" t="s">
        <v>14</v>
      </c>
      <c r="C26" t="s">
        <v>235</v>
      </c>
      <c r="D26">
        <v>0</v>
      </c>
      <c r="E26">
        <v>0</v>
      </c>
      <c r="F26">
        <v>9522</v>
      </c>
      <c r="G26">
        <v>11805</v>
      </c>
      <c r="H26">
        <v>9743</v>
      </c>
      <c r="I26">
        <v>3583</v>
      </c>
      <c r="J26">
        <v>0</v>
      </c>
      <c r="K26">
        <v>1180</v>
      </c>
      <c r="L26">
        <v>4504</v>
      </c>
      <c r="M26">
        <v>2196</v>
      </c>
      <c r="N26">
        <v>11330.392253395146</v>
      </c>
      <c r="O26">
        <v>11330.392253395146</v>
      </c>
      <c r="P26">
        <v>24688.720971211635</v>
      </c>
      <c r="Q26">
        <v>16139.756062343144</v>
      </c>
      <c r="R26">
        <v>15568.708352897876</v>
      </c>
      <c r="S26">
        <v>8039.8043242845024</v>
      </c>
      <c r="T26">
        <v>17767.326048291579</v>
      </c>
      <c r="U26">
        <v>38969.099747418724</v>
      </c>
      <c r="V26">
        <v>29622.276496375154</v>
      </c>
      <c r="W26">
        <v>24568.166397889861</v>
      </c>
      <c r="X26">
        <v>24568.166397889861</v>
      </c>
      <c r="Y26">
        <v>3366.3926987627146</v>
      </c>
      <c r="Z26">
        <v>3366.3926987627146</v>
      </c>
      <c r="AA26">
        <v>3366.392698762716</v>
      </c>
      <c r="AB26">
        <v>3366.392698762716</v>
      </c>
      <c r="AC26">
        <v>3366.3926987627169</v>
      </c>
      <c r="AD26">
        <v>3366.3926987627146</v>
      </c>
      <c r="AE26">
        <v>3366.3926987627174</v>
      </c>
      <c r="AF26">
        <v>3366.3926987627165</v>
      </c>
      <c r="AG26">
        <v>3366.3926987627165</v>
      </c>
      <c r="AH26">
        <v>3366.3926987627165</v>
      </c>
      <c r="AI26">
        <v>3366.3926987627165</v>
      </c>
      <c r="AJ26">
        <v>3366.3926987627165</v>
      </c>
      <c r="AK26">
        <v>3366.3926987627165</v>
      </c>
      <c r="AL26">
        <v>3366.3926987627165</v>
      </c>
      <c r="AM26">
        <v>2729.6623517167291</v>
      </c>
      <c r="AN26">
        <v>1812.7812206638164</v>
      </c>
      <c r="AO26">
        <v>1812.7812206638164</v>
      </c>
      <c r="AP26">
        <v>1458.309421082897</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row>
    <row r="27" spans="1:66">
      <c r="A27">
        <v>2408</v>
      </c>
      <c r="B27" t="s">
        <v>15</v>
      </c>
      <c r="C27" t="s">
        <v>240</v>
      </c>
      <c r="D27">
        <v>0</v>
      </c>
      <c r="E27">
        <v>0</v>
      </c>
      <c r="F27">
        <v>3337.1407663000214</v>
      </c>
      <c r="G27">
        <v>8191.0022336999782</v>
      </c>
      <c r="H27">
        <v>1615</v>
      </c>
      <c r="I27">
        <v>1398</v>
      </c>
      <c r="J27">
        <v>806</v>
      </c>
      <c r="K27">
        <v>0</v>
      </c>
      <c r="L27">
        <v>184</v>
      </c>
      <c r="M27">
        <v>24</v>
      </c>
      <c r="N27">
        <v>5120.2829500005555</v>
      </c>
      <c r="O27">
        <v>5120.2829500005555</v>
      </c>
      <c r="P27">
        <v>8911.6259746241431</v>
      </c>
      <c r="Q27">
        <v>6485.2701662241489</v>
      </c>
      <c r="R27">
        <v>6323.1961676224419</v>
      </c>
      <c r="S27">
        <v>5138.6057493803282</v>
      </c>
      <c r="T27">
        <v>7899.4579797944589</v>
      </c>
      <c r="U27">
        <v>13916.917088778942</v>
      </c>
      <c r="V27">
        <v>11264.114190765951</v>
      </c>
      <c r="W27">
        <v>9829.6634093583179</v>
      </c>
      <c r="X27">
        <v>9829.6634093583179</v>
      </c>
      <c r="Y27">
        <v>3812.2043003738322</v>
      </c>
      <c r="Z27">
        <v>3812.2043003738322</v>
      </c>
      <c r="AA27">
        <v>3812.2043003738322</v>
      </c>
      <c r="AB27">
        <v>3812.2043003738322</v>
      </c>
      <c r="AC27">
        <v>3812.2043003738327</v>
      </c>
      <c r="AD27">
        <v>3812.2043003738318</v>
      </c>
      <c r="AE27">
        <v>3812.2043003738327</v>
      </c>
      <c r="AF27">
        <v>3812.2043003738327</v>
      </c>
      <c r="AG27">
        <v>3812.2043003738322</v>
      </c>
      <c r="AH27">
        <v>3812.2043003738322</v>
      </c>
      <c r="AI27">
        <v>3812.2043003738322</v>
      </c>
      <c r="AJ27">
        <v>3812.2043003738327</v>
      </c>
      <c r="AK27">
        <v>3812.2043003738327</v>
      </c>
      <c r="AL27">
        <v>3812.2043003738327</v>
      </c>
      <c r="AM27">
        <v>3755.5047280218464</v>
      </c>
      <c r="AN27">
        <v>557.39143532432672</v>
      </c>
      <c r="AO27">
        <v>557.39143532432672</v>
      </c>
      <c r="AP27">
        <v>448.39894196759684</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row>
    <row r="28" spans="1:66">
      <c r="A28">
        <v>2408</v>
      </c>
      <c r="B28" t="s">
        <v>2639</v>
      </c>
      <c r="C28" t="s">
        <v>248</v>
      </c>
      <c r="D28">
        <v>0</v>
      </c>
      <c r="E28">
        <v>0</v>
      </c>
      <c r="F28">
        <v>0</v>
      </c>
      <c r="G28">
        <v>0</v>
      </c>
      <c r="H28">
        <v>0</v>
      </c>
      <c r="I28">
        <v>0</v>
      </c>
      <c r="J28">
        <v>0</v>
      </c>
      <c r="K28">
        <v>0</v>
      </c>
      <c r="L28">
        <v>0</v>
      </c>
      <c r="M28">
        <v>0</v>
      </c>
      <c r="N28">
        <v>1287.3420000000001</v>
      </c>
      <c r="O28">
        <v>3557.1292105263155</v>
      </c>
      <c r="P28">
        <v>10015.790796052632</v>
      </c>
      <c r="Q28">
        <v>9592.3230328947375</v>
      </c>
      <c r="R28">
        <v>9592.3230328947375</v>
      </c>
      <c r="S28">
        <v>8304.9810328947369</v>
      </c>
      <c r="T28">
        <v>6458.6615855263153</v>
      </c>
      <c r="U28">
        <v>6106.0665427631584</v>
      </c>
      <c r="V28">
        <v>9711.367736184211</v>
      </c>
      <c r="W28">
        <v>8938.5390684210524</v>
      </c>
      <c r="X28">
        <v>9362.0068315789485</v>
      </c>
      <c r="Y28">
        <v>9898.3993315789467</v>
      </c>
      <c r="Z28">
        <v>7750.057884210526</v>
      </c>
      <c r="AA28">
        <v>4456.6596052631585</v>
      </c>
      <c r="AB28">
        <v>3296.4096052631585</v>
      </c>
      <c r="AC28">
        <v>2136.159605263158</v>
      </c>
      <c r="AD28">
        <v>2136.159605263158</v>
      </c>
      <c r="AE28">
        <v>3674.7591447368418</v>
      </c>
      <c r="AF28">
        <v>3674.7591447368418</v>
      </c>
      <c r="AG28">
        <v>6444.7879078947371</v>
      </c>
      <c r="AH28">
        <v>9638.2844342105273</v>
      </c>
      <c r="AI28">
        <v>9638.2844342105273</v>
      </c>
      <c r="AJ28">
        <v>9638.2844342105273</v>
      </c>
      <c r="AK28">
        <v>9638.2844342105273</v>
      </c>
      <c r="AL28">
        <v>6444.7879078947371</v>
      </c>
      <c r="AM28">
        <v>3674.7591447368418</v>
      </c>
      <c r="AN28">
        <v>3674.7591447368418</v>
      </c>
      <c r="AO28">
        <v>3674.7591447368418</v>
      </c>
      <c r="AP28">
        <v>3674.7591447368418</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row>
    <row r="29" spans="1:66">
      <c r="A29">
        <v>2408</v>
      </c>
      <c r="B29" t="s">
        <v>2640</v>
      </c>
      <c r="C29" t="s">
        <v>252</v>
      </c>
      <c r="D29">
        <v>0</v>
      </c>
      <c r="E29">
        <v>0</v>
      </c>
      <c r="F29">
        <v>0</v>
      </c>
      <c r="G29">
        <v>0</v>
      </c>
      <c r="H29">
        <v>0</v>
      </c>
      <c r="I29">
        <v>0</v>
      </c>
      <c r="J29">
        <v>0</v>
      </c>
      <c r="K29">
        <v>0</v>
      </c>
      <c r="L29">
        <v>0</v>
      </c>
      <c r="M29">
        <v>0</v>
      </c>
      <c r="N29">
        <v>118.4</v>
      </c>
      <c r="O29">
        <v>327.15789473684208</v>
      </c>
      <c r="P29">
        <v>704.47134502923973</v>
      </c>
      <c r="Q29">
        <v>665.52397660818713</v>
      </c>
      <c r="R29">
        <v>665.52397660818713</v>
      </c>
      <c r="S29">
        <v>547.12397660818715</v>
      </c>
      <c r="T29">
        <v>377.31345029239765</v>
      </c>
      <c r="U29">
        <v>348.16783625730994</v>
      </c>
      <c r="V29">
        <v>466.33415204678363</v>
      </c>
      <c r="W29">
        <v>395.25520467836259</v>
      </c>
      <c r="X29">
        <v>434.20257309941519</v>
      </c>
      <c r="Y29">
        <v>483.53590643274856</v>
      </c>
      <c r="Z29">
        <v>392.65871345029245</v>
      </c>
      <c r="AA29">
        <v>196.46783625730995</v>
      </c>
      <c r="AB29">
        <v>196.46783625730995</v>
      </c>
      <c r="AC29">
        <v>196.46783625730995</v>
      </c>
      <c r="AD29">
        <v>196.46783625730995</v>
      </c>
      <c r="AE29">
        <v>337.9766081871345</v>
      </c>
      <c r="AF29">
        <v>337.9766081871345</v>
      </c>
      <c r="AG29">
        <v>376.9239766081871</v>
      </c>
      <c r="AH29">
        <v>454.81871345029236</v>
      </c>
      <c r="AI29">
        <v>454.81871345029242</v>
      </c>
      <c r="AJ29">
        <v>454.81871345029236</v>
      </c>
      <c r="AK29">
        <v>454.81871345029242</v>
      </c>
      <c r="AL29">
        <v>376.9239766081871</v>
      </c>
      <c r="AM29">
        <v>337.9766081871345</v>
      </c>
      <c r="AN29">
        <v>337.9766081871345</v>
      </c>
      <c r="AO29">
        <v>337.9766081871345</v>
      </c>
      <c r="AP29">
        <v>337.9766081871345</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row>
    <row r="30" spans="1:66">
      <c r="A30">
        <v>2408</v>
      </c>
      <c r="B30" t="s">
        <v>2641</v>
      </c>
      <c r="C30" t="s">
        <v>256</v>
      </c>
      <c r="D30">
        <v>0</v>
      </c>
      <c r="E30">
        <v>0</v>
      </c>
      <c r="F30">
        <v>0</v>
      </c>
      <c r="G30">
        <v>0</v>
      </c>
      <c r="H30">
        <v>0</v>
      </c>
      <c r="I30">
        <v>0</v>
      </c>
      <c r="J30">
        <v>0</v>
      </c>
      <c r="K30">
        <v>0</v>
      </c>
      <c r="L30">
        <v>0</v>
      </c>
      <c r="M30">
        <v>0</v>
      </c>
      <c r="N30">
        <v>58.399442631532267</v>
      </c>
      <c r="O30">
        <v>161.3668809555497</v>
      </c>
      <c r="P30">
        <v>510.46078969251244</v>
      </c>
      <c r="Q30">
        <v>491.25044672161363</v>
      </c>
      <c r="R30">
        <v>491.25044672161363</v>
      </c>
      <c r="S30">
        <v>432.85100409008135</v>
      </c>
      <c r="T30">
        <v>349.0939087369627</v>
      </c>
      <c r="U30">
        <v>332.24864791374017</v>
      </c>
      <c r="V30">
        <v>551.05168265411362</v>
      </c>
      <c r="W30">
        <v>515.99280673222336</v>
      </c>
      <c r="X30">
        <v>535.20314970312211</v>
      </c>
      <c r="Y30">
        <v>559.53625079959386</v>
      </c>
      <c r="Z30">
        <v>434.45269011749679</v>
      </c>
      <c r="AA30">
        <v>257.42436204208934</v>
      </c>
      <c r="AB30">
        <v>177.16493495875602</v>
      </c>
      <c r="AC30">
        <v>96.905507875422714</v>
      </c>
      <c r="AD30">
        <v>96.905507875422714</v>
      </c>
      <c r="AE30">
        <v>166.70308733635491</v>
      </c>
      <c r="AF30">
        <v>166.70308733635491</v>
      </c>
      <c r="AG30">
        <v>348.23503468225368</v>
      </c>
      <c r="AH30">
        <v>548.97732499905123</v>
      </c>
      <c r="AI30">
        <v>548.97732499905123</v>
      </c>
      <c r="AJ30">
        <v>548.97732499905123</v>
      </c>
      <c r="AK30">
        <v>548.97732499905123</v>
      </c>
      <c r="AL30">
        <v>348.23503468225368</v>
      </c>
      <c r="AM30">
        <v>166.70308733635491</v>
      </c>
      <c r="AN30">
        <v>166.70308733635491</v>
      </c>
      <c r="AO30">
        <v>166.70308733635491</v>
      </c>
      <c r="AP30">
        <v>166.70308733635491</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row>
    <row r="31" spans="1:66">
      <c r="A31">
        <v>2408</v>
      </c>
      <c r="B31" t="s">
        <v>2642</v>
      </c>
      <c r="C31" t="s">
        <v>261</v>
      </c>
      <c r="D31">
        <v>0</v>
      </c>
      <c r="E31">
        <v>0</v>
      </c>
      <c r="F31">
        <v>0</v>
      </c>
      <c r="G31">
        <v>0</v>
      </c>
      <c r="H31">
        <v>0</v>
      </c>
      <c r="I31">
        <v>0</v>
      </c>
      <c r="J31">
        <v>0</v>
      </c>
      <c r="K31">
        <v>0</v>
      </c>
      <c r="L31">
        <v>0</v>
      </c>
      <c r="M31">
        <v>0</v>
      </c>
      <c r="N31">
        <v>1243.6286795000001</v>
      </c>
      <c r="O31">
        <v>3436.3424038815788</v>
      </c>
      <c r="P31">
        <v>9694.8620344957981</v>
      </c>
      <c r="Q31">
        <v>9285.7736530813236</v>
      </c>
      <c r="R31">
        <v>9285.7736530813236</v>
      </c>
      <c r="S31">
        <v>8042.1449735813239</v>
      </c>
      <c r="T31">
        <v>6258.5196306142188</v>
      </c>
      <c r="U31">
        <v>5917.6069418557199</v>
      </c>
      <c r="V31">
        <v>9419.3651744005674</v>
      </c>
      <c r="W31">
        <v>8672.7788783191518</v>
      </c>
      <c r="X31">
        <v>9081.8672597336263</v>
      </c>
      <c r="Y31">
        <v>9600.0458761919599</v>
      </c>
      <c r="Z31">
        <v>7515.2142778915186</v>
      </c>
      <c r="AA31">
        <v>4324.2076962463452</v>
      </c>
      <c r="AB31">
        <v>3193.9156545796786</v>
      </c>
      <c r="AC31">
        <v>2063.6236129130116</v>
      </c>
      <c r="AD31">
        <v>2063.6236129130116</v>
      </c>
      <c r="AE31">
        <v>3549.9780653855996</v>
      </c>
      <c r="AF31">
        <v>3549.9780653855996</v>
      </c>
      <c r="AG31">
        <v>6245.0386283000735</v>
      </c>
      <c r="AH31">
        <v>9349.18757262902</v>
      </c>
      <c r="AI31">
        <v>9349.18757262902</v>
      </c>
      <c r="AJ31">
        <v>9349.18757262902</v>
      </c>
      <c r="AK31">
        <v>9349.18757262902</v>
      </c>
      <c r="AL31">
        <v>6245.0386283000735</v>
      </c>
      <c r="AM31">
        <v>3549.9780653855996</v>
      </c>
      <c r="AN31">
        <v>3549.9780653855996</v>
      </c>
      <c r="AO31">
        <v>3549.9780653855996</v>
      </c>
      <c r="AP31">
        <v>3549.9780653855996</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row>
    <row r="32" spans="1:66">
      <c r="A32">
        <v>2408</v>
      </c>
      <c r="B32" t="s">
        <v>2643</v>
      </c>
      <c r="C32" t="s">
        <v>265</v>
      </c>
      <c r="D32">
        <v>0</v>
      </c>
      <c r="E32">
        <v>0</v>
      </c>
      <c r="F32">
        <v>0</v>
      </c>
      <c r="G32">
        <v>0</v>
      </c>
      <c r="H32">
        <v>0</v>
      </c>
      <c r="I32">
        <v>0</v>
      </c>
      <c r="J32">
        <v>0</v>
      </c>
      <c r="K32">
        <v>0</v>
      </c>
      <c r="L32">
        <v>0</v>
      </c>
      <c r="M32">
        <v>0</v>
      </c>
      <c r="N32">
        <v>0</v>
      </c>
      <c r="O32">
        <v>0</v>
      </c>
      <c r="P32">
        <v>0</v>
      </c>
      <c r="Q32">
        <v>0</v>
      </c>
      <c r="R32">
        <v>0</v>
      </c>
      <c r="S32">
        <v>2365.9870730537277</v>
      </c>
      <c r="T32">
        <v>2365.9870730537277</v>
      </c>
      <c r="U32">
        <v>2768.278710594846</v>
      </c>
      <c r="V32">
        <v>3344.2393153097587</v>
      </c>
      <c r="W32">
        <v>2999.2920445449558</v>
      </c>
      <c r="X32">
        <v>2036.5152764528509</v>
      </c>
      <c r="Y32">
        <v>1689.0802593201752</v>
      </c>
      <c r="Z32">
        <v>1496.5808760964908</v>
      </c>
      <c r="AA32">
        <v>863.13148300438593</v>
      </c>
      <c r="AB32">
        <v>634.22605537280697</v>
      </c>
      <c r="AC32">
        <v>550.94480537280697</v>
      </c>
      <c r="AD32">
        <v>550.94480537280697</v>
      </c>
      <c r="AE32">
        <v>947.77068941885955</v>
      </c>
      <c r="AF32">
        <v>947.77068941885955</v>
      </c>
      <c r="AG32">
        <v>1225.4219476425437</v>
      </c>
      <c r="AH32">
        <v>1612.2913390899121</v>
      </c>
      <c r="AI32">
        <v>1612.2913390899121</v>
      </c>
      <c r="AJ32">
        <v>1612.2913390899121</v>
      </c>
      <c r="AK32">
        <v>1612.2913390899121</v>
      </c>
      <c r="AL32">
        <v>1225.4219476425437</v>
      </c>
      <c r="AM32">
        <v>947.77068941885955</v>
      </c>
      <c r="AN32">
        <v>947.77068941885955</v>
      </c>
      <c r="AO32">
        <v>947.77068941885955</v>
      </c>
      <c r="AP32">
        <v>947.77068941885955</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row>
    <row r="33" spans="1:66">
      <c r="A33">
        <v>2408</v>
      </c>
      <c r="B33" t="s">
        <v>2644</v>
      </c>
      <c r="C33" t="s">
        <v>270</v>
      </c>
      <c r="D33">
        <v>0</v>
      </c>
      <c r="E33">
        <v>0</v>
      </c>
      <c r="F33">
        <v>0</v>
      </c>
      <c r="G33">
        <v>0</v>
      </c>
      <c r="H33">
        <v>0</v>
      </c>
      <c r="I33">
        <v>0</v>
      </c>
      <c r="J33">
        <v>0</v>
      </c>
      <c r="K33">
        <v>0</v>
      </c>
      <c r="L33">
        <v>0</v>
      </c>
      <c r="M33">
        <v>0</v>
      </c>
      <c r="N33">
        <v>0</v>
      </c>
      <c r="O33">
        <v>0</v>
      </c>
      <c r="P33">
        <v>0</v>
      </c>
      <c r="Q33">
        <v>0</v>
      </c>
      <c r="R33">
        <v>0</v>
      </c>
      <c r="S33">
        <v>124.50934303096631</v>
      </c>
      <c r="T33">
        <v>124.50934303096631</v>
      </c>
      <c r="U33">
        <v>145.68216833292803</v>
      </c>
      <c r="V33">
        <v>175.99405786405646</v>
      </c>
      <c r="W33">
        <v>157.84173442655646</v>
      </c>
      <c r="X33">
        <v>107.17419118725682</v>
      </c>
      <c r="Y33">
        <v>88.890953895590158</v>
      </c>
      <c r="Z33">
        <v>78.759546713359285</v>
      </c>
      <c r="AA33">
        <v>45.423818531128418</v>
      </c>
      <c r="AB33">
        <v>33.376598848897544</v>
      </c>
      <c r="AC33">
        <v>28.992629166666674</v>
      </c>
      <c r="AD33">
        <v>28.992629166666674</v>
      </c>
      <c r="AE33">
        <v>49.874985416666675</v>
      </c>
      <c r="AF33">
        <v>49.874985416666675</v>
      </c>
      <c r="AG33">
        <v>64.488832984760066</v>
      </c>
      <c r="AH33">
        <v>84.85011805285346</v>
      </c>
      <c r="AI33">
        <v>84.850118052853446</v>
      </c>
      <c r="AJ33">
        <v>84.85011805285346</v>
      </c>
      <c r="AK33">
        <v>84.850118052853446</v>
      </c>
      <c r="AL33">
        <v>64.488832984760066</v>
      </c>
      <c r="AM33">
        <v>49.874985416666675</v>
      </c>
      <c r="AN33">
        <v>49.874985416666675</v>
      </c>
      <c r="AO33">
        <v>49.874985416666675</v>
      </c>
      <c r="AP33">
        <v>49.874985416666675</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row>
    <row r="34" spans="1:66">
      <c r="A34">
        <v>2408</v>
      </c>
      <c r="B34" t="s">
        <v>2645</v>
      </c>
      <c r="C34" t="s">
        <v>275</v>
      </c>
      <c r="D34">
        <v>0</v>
      </c>
      <c r="E34">
        <v>0</v>
      </c>
      <c r="F34">
        <v>0</v>
      </c>
      <c r="G34">
        <v>0</v>
      </c>
      <c r="H34">
        <v>0</v>
      </c>
      <c r="I34">
        <v>0</v>
      </c>
      <c r="J34">
        <v>0</v>
      </c>
      <c r="K34">
        <v>0</v>
      </c>
      <c r="L34">
        <v>0</v>
      </c>
      <c r="M34">
        <v>0</v>
      </c>
      <c r="N34">
        <v>0</v>
      </c>
      <c r="O34">
        <v>0</v>
      </c>
      <c r="P34">
        <v>1993.7809999999995</v>
      </c>
      <c r="Q34">
        <v>1993.7809999999995</v>
      </c>
      <c r="R34">
        <v>1993.7809999999995</v>
      </c>
      <c r="S34">
        <v>5041.1193333333331</v>
      </c>
      <c r="T34">
        <v>6638.0568333333331</v>
      </c>
      <c r="U34">
        <v>5632.8133333333335</v>
      </c>
      <c r="V34">
        <v>6528.952666666667</v>
      </c>
      <c r="W34">
        <v>7636.9651666666668</v>
      </c>
      <c r="X34">
        <v>7844.931833333334</v>
      </c>
      <c r="Y34">
        <v>7362.9935000000005</v>
      </c>
      <c r="Z34">
        <v>7047.3685000000014</v>
      </c>
      <c r="AA34">
        <v>5493.8374999999996</v>
      </c>
      <c r="AB34">
        <v>3530.7750000000001</v>
      </c>
      <c r="AC34">
        <v>2406.4</v>
      </c>
      <c r="AD34">
        <v>2267.2333333333331</v>
      </c>
      <c r="AE34">
        <v>2817.6833333333334</v>
      </c>
      <c r="AF34">
        <v>2817.6833333333334</v>
      </c>
      <c r="AG34">
        <v>3301.1198333333332</v>
      </c>
      <c r="AH34">
        <v>3936.056333333333</v>
      </c>
      <c r="AI34">
        <v>3936.056333333333</v>
      </c>
      <c r="AJ34">
        <v>3936.056333333333</v>
      </c>
      <c r="AK34">
        <v>3936.056333333333</v>
      </c>
      <c r="AL34">
        <v>3301.1198333333332</v>
      </c>
      <c r="AM34">
        <v>1314.6833333333332</v>
      </c>
      <c r="AN34">
        <v>1314.6833333333332</v>
      </c>
      <c r="AO34">
        <v>1314.6833333333332</v>
      </c>
      <c r="AP34">
        <v>1314.6833333333332</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row>
    <row r="35" spans="1:66">
      <c r="A35">
        <v>2408</v>
      </c>
      <c r="B35" t="s">
        <v>2646</v>
      </c>
      <c r="C35" t="s">
        <v>280</v>
      </c>
      <c r="D35">
        <v>0</v>
      </c>
      <c r="E35">
        <v>0</v>
      </c>
      <c r="F35">
        <v>0</v>
      </c>
      <c r="G35">
        <v>0</v>
      </c>
      <c r="H35">
        <v>0</v>
      </c>
      <c r="I35">
        <v>0</v>
      </c>
      <c r="J35">
        <v>0</v>
      </c>
      <c r="K35">
        <v>560.86</v>
      </c>
      <c r="L35">
        <v>0</v>
      </c>
      <c r="M35">
        <v>416.15</v>
      </c>
      <c r="N35">
        <v>5348.1606518847457</v>
      </c>
      <c r="O35">
        <v>6893.8451153431424</v>
      </c>
      <c r="P35">
        <v>9837.1159853391837</v>
      </c>
      <c r="Q35">
        <v>10148.516614485174</v>
      </c>
      <c r="R35">
        <v>9689.2035804395746</v>
      </c>
      <c r="S35">
        <v>14512.96649808584</v>
      </c>
      <c r="T35">
        <v>13174.202850980639</v>
      </c>
      <c r="U35">
        <v>10500.530678585088</v>
      </c>
      <c r="V35">
        <v>12595.534319260818</v>
      </c>
      <c r="W35">
        <v>12619.15511946991</v>
      </c>
      <c r="X35">
        <v>12767.06752436952</v>
      </c>
      <c r="Y35">
        <v>12660.862298091479</v>
      </c>
      <c r="Z35">
        <v>11345.834181645123</v>
      </c>
      <c r="AA35">
        <v>9284.2927478699403</v>
      </c>
      <c r="AB35">
        <v>8314.3935761893445</v>
      </c>
      <c r="AC35">
        <v>7344.4944045087468</v>
      </c>
      <c r="AD35">
        <v>6885.1813704631486</v>
      </c>
      <c r="AE35">
        <v>7593.1723218571924</v>
      </c>
      <c r="AF35">
        <v>8805.359329099274</v>
      </c>
      <c r="AG35">
        <v>11208.416444059478</v>
      </c>
      <c r="AH35">
        <v>13465.825024768414</v>
      </c>
      <c r="AI35">
        <v>13465.825024768414</v>
      </c>
      <c r="AJ35">
        <v>13172.264085617529</v>
      </c>
      <c r="AK35">
        <v>12878.703146466649</v>
      </c>
      <c r="AL35">
        <v>10621.294565757713</v>
      </c>
      <c r="AM35">
        <v>3120.8031164779095</v>
      </c>
      <c r="AN35">
        <v>3434.3341875438182</v>
      </c>
      <c r="AO35">
        <v>3434.3341875438182</v>
      </c>
      <c r="AP35">
        <v>3120.8031164779095</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row>
    <row r="36" spans="1:66">
      <c r="A36">
        <v>2408</v>
      </c>
      <c r="B36" t="s">
        <v>2647</v>
      </c>
      <c r="C36" t="s">
        <v>285</v>
      </c>
      <c r="D36">
        <v>0</v>
      </c>
      <c r="E36">
        <v>0</v>
      </c>
      <c r="F36">
        <v>0</v>
      </c>
      <c r="G36">
        <v>0</v>
      </c>
      <c r="H36">
        <v>0</v>
      </c>
      <c r="I36">
        <v>0</v>
      </c>
      <c r="J36">
        <v>0</v>
      </c>
      <c r="K36">
        <v>0</v>
      </c>
      <c r="L36">
        <v>0</v>
      </c>
      <c r="M36">
        <v>0</v>
      </c>
      <c r="N36">
        <v>0</v>
      </c>
      <c r="O36">
        <v>0</v>
      </c>
      <c r="P36">
        <v>0</v>
      </c>
      <c r="Q36">
        <v>0</v>
      </c>
      <c r="R36">
        <v>0</v>
      </c>
      <c r="S36">
        <v>153.43859649122805</v>
      </c>
      <c r="T36">
        <v>153.43859649122805</v>
      </c>
      <c r="U36">
        <v>193.07017543859649</v>
      </c>
      <c r="V36">
        <v>242.74456140350878</v>
      </c>
      <c r="W36">
        <v>222.79719298245615</v>
      </c>
      <c r="X36">
        <v>150.50245614035089</v>
      </c>
      <c r="Y36">
        <v>130.41122807017541</v>
      </c>
      <c r="Z36">
        <v>111.09543859649122</v>
      </c>
      <c r="AA36">
        <v>66.280701754385959</v>
      </c>
      <c r="AB36">
        <v>44.859649122807014</v>
      </c>
      <c r="AC36">
        <v>31.859649122807014</v>
      </c>
      <c r="AD36">
        <v>31.859649122807014</v>
      </c>
      <c r="AE36">
        <v>54.807017543859644</v>
      </c>
      <c r="AF36">
        <v>54.807017543859644</v>
      </c>
      <c r="AG36">
        <v>87.414807017543865</v>
      </c>
      <c r="AH36">
        <v>126.33838596491228</v>
      </c>
      <c r="AI36">
        <v>126.33838596491228</v>
      </c>
      <c r="AJ36">
        <v>126.33838596491228</v>
      </c>
      <c r="AK36">
        <v>126.33838596491228</v>
      </c>
      <c r="AL36">
        <v>87.414807017543865</v>
      </c>
      <c r="AM36">
        <v>54.807017543859644</v>
      </c>
      <c r="AN36">
        <v>54.807017543859644</v>
      </c>
      <c r="AO36">
        <v>54.807017543859644</v>
      </c>
      <c r="AP36">
        <v>54.807017543859644</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row>
    <row r="37" spans="1:66">
      <c r="A37">
        <v>2408</v>
      </c>
      <c r="B37" t="s">
        <v>2648</v>
      </c>
      <c r="C37" t="s">
        <v>290</v>
      </c>
      <c r="D37">
        <v>0</v>
      </c>
      <c r="E37">
        <v>0</v>
      </c>
      <c r="F37">
        <v>0</v>
      </c>
      <c r="G37">
        <v>0</v>
      </c>
      <c r="H37">
        <v>0</v>
      </c>
      <c r="I37">
        <v>0</v>
      </c>
      <c r="J37">
        <v>0</v>
      </c>
      <c r="K37">
        <v>0</v>
      </c>
      <c r="L37">
        <v>0</v>
      </c>
      <c r="M37">
        <v>0</v>
      </c>
      <c r="N37">
        <v>0</v>
      </c>
      <c r="O37">
        <v>0</v>
      </c>
      <c r="P37">
        <v>0</v>
      </c>
      <c r="Q37">
        <v>0</v>
      </c>
      <c r="R37">
        <v>0</v>
      </c>
      <c r="S37">
        <v>2132.8578947368424</v>
      </c>
      <c r="T37">
        <v>2132.8578947368424</v>
      </c>
      <c r="U37">
        <v>2477.5552631578948</v>
      </c>
      <c r="V37">
        <v>2980.4268421052634</v>
      </c>
      <c r="W37">
        <v>2666.2557894736842</v>
      </c>
      <c r="X37">
        <v>1811.4136842105263</v>
      </c>
      <c r="Y37">
        <v>1494.9768421052631</v>
      </c>
      <c r="Z37">
        <v>1330.5031578947369</v>
      </c>
      <c r="AA37">
        <v>764.42105263157896</v>
      </c>
      <c r="AB37">
        <v>566.78947368421063</v>
      </c>
      <c r="AC37">
        <v>501.78947368421058</v>
      </c>
      <c r="AD37">
        <v>501.78947368421058</v>
      </c>
      <c r="AE37">
        <v>863.21052631578948</v>
      </c>
      <c r="AF37">
        <v>863.21052631578948</v>
      </c>
      <c r="AG37">
        <v>1094.1442105263159</v>
      </c>
      <c r="AH37">
        <v>1424.5515789473686</v>
      </c>
      <c r="AI37">
        <v>1424.5515789473684</v>
      </c>
      <c r="AJ37">
        <v>1424.5515789473686</v>
      </c>
      <c r="AK37">
        <v>1424.5515789473684</v>
      </c>
      <c r="AL37">
        <v>1094.1442105263159</v>
      </c>
      <c r="AM37">
        <v>863.21052631578948</v>
      </c>
      <c r="AN37">
        <v>863.21052631578948</v>
      </c>
      <c r="AO37">
        <v>863.21052631578948</v>
      </c>
      <c r="AP37">
        <v>863.21052631578948</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row>
    <row r="38" spans="1:66">
      <c r="A38">
        <v>2408</v>
      </c>
      <c r="B38" t="s">
        <v>2649</v>
      </c>
      <c r="C38" t="s">
        <v>295</v>
      </c>
      <c r="D38">
        <v>0</v>
      </c>
      <c r="E38">
        <v>0</v>
      </c>
      <c r="F38">
        <v>0</v>
      </c>
      <c r="G38">
        <v>0</v>
      </c>
      <c r="H38">
        <v>0</v>
      </c>
      <c r="I38">
        <v>0</v>
      </c>
      <c r="J38">
        <v>0</v>
      </c>
      <c r="K38">
        <v>0</v>
      </c>
      <c r="L38">
        <v>0</v>
      </c>
      <c r="M38">
        <v>0</v>
      </c>
      <c r="N38">
        <v>0</v>
      </c>
      <c r="O38">
        <v>0</v>
      </c>
      <c r="P38">
        <v>0</v>
      </c>
      <c r="Q38">
        <v>0</v>
      </c>
      <c r="R38">
        <v>0</v>
      </c>
      <c r="S38">
        <v>30.124499999999991</v>
      </c>
      <c r="T38">
        <v>30.124499999999991</v>
      </c>
      <c r="U38">
        <v>35.963249999999995</v>
      </c>
      <c r="V38">
        <v>43.948649999999986</v>
      </c>
      <c r="W38">
        <v>39.684899999999992</v>
      </c>
      <c r="X38">
        <v>26.904899999999998</v>
      </c>
      <c r="Y38">
        <v>22.610400000000002</v>
      </c>
      <c r="Z38">
        <v>19.797899999999998</v>
      </c>
      <c r="AA38">
        <v>11.535</v>
      </c>
      <c r="AB38">
        <v>8.2724999999999991</v>
      </c>
      <c r="AC38">
        <v>6.81</v>
      </c>
      <c r="AD38">
        <v>6.81</v>
      </c>
      <c r="AE38">
        <v>11.714999999999998</v>
      </c>
      <c r="AF38">
        <v>11.714999999999998</v>
      </c>
      <c r="AG38">
        <v>16.022849999999998</v>
      </c>
      <c r="AH38">
        <v>21.680699999999998</v>
      </c>
      <c r="AI38">
        <v>21.680699999999998</v>
      </c>
      <c r="AJ38">
        <v>21.680699999999998</v>
      </c>
      <c r="AK38">
        <v>21.680699999999998</v>
      </c>
      <c r="AL38">
        <v>16.022849999999998</v>
      </c>
      <c r="AM38">
        <v>11.714999999999998</v>
      </c>
      <c r="AN38">
        <v>11.714999999999998</v>
      </c>
      <c r="AO38">
        <v>11.714999999999998</v>
      </c>
      <c r="AP38">
        <v>11.714999999999998</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row>
    <row r="39" spans="1:66">
      <c r="A39">
        <v>2408</v>
      </c>
      <c r="B39" t="s">
        <v>2650</v>
      </c>
      <c r="C39" t="s">
        <v>300</v>
      </c>
      <c r="D39">
        <v>0</v>
      </c>
      <c r="E39">
        <v>0</v>
      </c>
      <c r="F39">
        <v>0</v>
      </c>
      <c r="G39">
        <v>0</v>
      </c>
      <c r="H39">
        <v>0</v>
      </c>
      <c r="I39">
        <v>0</v>
      </c>
      <c r="J39">
        <v>0</v>
      </c>
      <c r="K39">
        <v>0</v>
      </c>
      <c r="L39">
        <v>0</v>
      </c>
      <c r="M39">
        <v>0</v>
      </c>
      <c r="N39">
        <v>0</v>
      </c>
      <c r="O39">
        <v>0</v>
      </c>
      <c r="P39">
        <v>0</v>
      </c>
      <c r="Q39">
        <v>0</v>
      </c>
      <c r="R39">
        <v>0</v>
      </c>
      <c r="S39">
        <v>52.717874999999992</v>
      </c>
      <c r="T39">
        <v>52.717874999999992</v>
      </c>
      <c r="U39">
        <v>62.935687499999993</v>
      </c>
      <c r="V39">
        <v>76.910137500000005</v>
      </c>
      <c r="W39">
        <v>69.448574999999991</v>
      </c>
      <c r="X39">
        <v>47.083574999999989</v>
      </c>
      <c r="Y39">
        <v>39.568199999999997</v>
      </c>
      <c r="Z39">
        <v>34.646324999999997</v>
      </c>
      <c r="AA39">
        <v>20.186249999999998</v>
      </c>
      <c r="AB39">
        <v>14.476874999999994</v>
      </c>
      <c r="AC39">
        <v>11.917499999999997</v>
      </c>
      <c r="AD39">
        <v>11.917499999999997</v>
      </c>
      <c r="AE39">
        <v>20.501249999999995</v>
      </c>
      <c r="AF39">
        <v>20.501249999999995</v>
      </c>
      <c r="AG39">
        <v>28.039987499999992</v>
      </c>
      <c r="AH39">
        <v>37.941224999999996</v>
      </c>
      <c r="AI39">
        <v>37.941224999999996</v>
      </c>
      <c r="AJ39">
        <v>37.941224999999996</v>
      </c>
      <c r="AK39">
        <v>37.941224999999996</v>
      </c>
      <c r="AL39">
        <v>28.039987499999992</v>
      </c>
      <c r="AM39">
        <v>20.501249999999995</v>
      </c>
      <c r="AN39">
        <v>20.501249999999995</v>
      </c>
      <c r="AO39">
        <v>20.501249999999995</v>
      </c>
      <c r="AP39">
        <v>20.501249999999995</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row>
    <row r="40" spans="1:66">
      <c r="A40">
        <v>2408</v>
      </c>
      <c r="B40" t="s">
        <v>16</v>
      </c>
      <c r="C40" t="s">
        <v>308</v>
      </c>
      <c r="D40">
        <v>0</v>
      </c>
      <c r="E40">
        <v>0</v>
      </c>
      <c r="F40">
        <v>4394.0691485833531</v>
      </c>
      <c r="G40">
        <v>10785.229851416645</v>
      </c>
      <c r="H40">
        <v>1124.54</v>
      </c>
      <c r="I40">
        <v>6547.55</v>
      </c>
      <c r="J40">
        <v>6493.8630000000003</v>
      </c>
      <c r="K40">
        <v>17431.624000000003</v>
      </c>
      <c r="L40">
        <v>25013.711000000003</v>
      </c>
      <c r="M40">
        <v>20784.770999999997</v>
      </c>
      <c r="N40">
        <v>42482.404615392523</v>
      </c>
      <c r="O40">
        <v>59337.893931749575</v>
      </c>
      <c r="P40">
        <v>52043.768302505676</v>
      </c>
      <c r="Q40">
        <v>49459.981879919804</v>
      </c>
      <c r="R40">
        <v>69635.23634105816</v>
      </c>
      <c r="S40">
        <v>59003.772155307553</v>
      </c>
      <c r="T40">
        <v>57272.835591268245</v>
      </c>
      <c r="U40">
        <v>59615.467254690382</v>
      </c>
      <c r="V40">
        <v>51164.68280095479</v>
      </c>
      <c r="W40">
        <v>51198.828828755817</v>
      </c>
      <c r="X40">
        <v>59448.325383005213</v>
      </c>
      <c r="Y40">
        <v>67644.953732291935</v>
      </c>
      <c r="Z40">
        <v>73175.918377326845</v>
      </c>
      <c r="AA40">
        <v>73175.918377326845</v>
      </c>
      <c r="AB40">
        <v>63002.582647379284</v>
      </c>
      <c r="AC40">
        <v>67045.326168866668</v>
      </c>
      <c r="AD40">
        <v>67045.326168866668</v>
      </c>
      <c r="AE40">
        <v>65530.385501121469</v>
      </c>
      <c r="AF40">
        <v>65692.162468254188</v>
      </c>
      <c r="AG40">
        <v>62385.913563622853</v>
      </c>
      <c r="AH40">
        <v>62316.053828121789</v>
      </c>
      <c r="AI40">
        <v>75245.049886117267</v>
      </c>
      <c r="AJ40">
        <v>77133.110367384899</v>
      </c>
      <c r="AK40">
        <v>74412.445893613869</v>
      </c>
      <c r="AL40">
        <v>74412.445893613869</v>
      </c>
      <c r="AM40">
        <v>74216.63587561161</v>
      </c>
      <c r="AN40">
        <v>71511.368257991897</v>
      </c>
      <c r="AO40">
        <v>69268.846153428894</v>
      </c>
      <c r="AP40">
        <v>48666.68786080322</v>
      </c>
      <c r="AQ40">
        <v>34577.739650772972</v>
      </c>
      <c r="AR40">
        <v>24120.529884412772</v>
      </c>
      <c r="AS40">
        <v>12725.501609059571</v>
      </c>
      <c r="AT40">
        <v>12725.501609059571</v>
      </c>
      <c r="AU40">
        <v>9847.1143403437145</v>
      </c>
      <c r="AV40">
        <v>0</v>
      </c>
      <c r="AW40">
        <v>0</v>
      </c>
      <c r="AX40">
        <v>0</v>
      </c>
      <c r="AY40">
        <v>0</v>
      </c>
      <c r="AZ40">
        <v>0</v>
      </c>
      <c r="BA40">
        <v>0</v>
      </c>
      <c r="BB40">
        <v>0</v>
      </c>
      <c r="BC40">
        <v>0</v>
      </c>
      <c r="BD40">
        <v>0</v>
      </c>
      <c r="BE40">
        <v>0</v>
      </c>
      <c r="BF40">
        <v>0</v>
      </c>
      <c r="BG40">
        <v>0</v>
      </c>
      <c r="BH40">
        <v>0</v>
      </c>
      <c r="BI40">
        <v>0</v>
      </c>
      <c r="BJ40">
        <v>0</v>
      </c>
      <c r="BK40">
        <v>0</v>
      </c>
      <c r="BL40">
        <v>0</v>
      </c>
      <c r="BM40">
        <v>0</v>
      </c>
      <c r="BN40">
        <v>0</v>
      </c>
    </row>
    <row r="41" spans="1:66">
      <c r="A41">
        <v>2408</v>
      </c>
      <c r="B41" t="s">
        <v>17</v>
      </c>
      <c r="C41" t="s">
        <v>312</v>
      </c>
      <c r="D41">
        <v>0</v>
      </c>
      <c r="E41">
        <v>0</v>
      </c>
      <c r="F41">
        <v>35.462369054262766</v>
      </c>
      <c r="G41">
        <v>87.042280945737232</v>
      </c>
      <c r="H41">
        <v>9.6999999999999993</v>
      </c>
      <c r="I41">
        <v>56.86</v>
      </c>
      <c r="J41">
        <v>45.959000000000003</v>
      </c>
      <c r="K41">
        <v>207.60600000000002</v>
      </c>
      <c r="L41">
        <v>268.28899999999999</v>
      </c>
      <c r="M41">
        <v>243.09700000000004</v>
      </c>
      <c r="N41">
        <v>329.51616120441082</v>
      </c>
      <c r="O41">
        <v>294.28425921281485</v>
      </c>
      <c r="P41">
        <v>296.29920822062275</v>
      </c>
      <c r="Q41">
        <v>408.10924221910381</v>
      </c>
      <c r="R41">
        <v>832.99462160466419</v>
      </c>
      <c r="S41">
        <v>754.9845768096219</v>
      </c>
      <c r="T41">
        <v>762.44220417185363</v>
      </c>
      <c r="U41">
        <v>766.01090946104455</v>
      </c>
      <c r="V41">
        <v>738.91533329807828</v>
      </c>
      <c r="W41">
        <v>851.72126163375151</v>
      </c>
      <c r="X41">
        <v>995.11494162418455</v>
      </c>
      <c r="Y41">
        <v>1140.5698912892717</v>
      </c>
      <c r="Z41">
        <v>1277.9146963722071</v>
      </c>
      <c r="AA41">
        <v>1277.9146963722071</v>
      </c>
      <c r="AB41">
        <v>955.89241348668997</v>
      </c>
      <c r="AC41">
        <v>958.76932968624396</v>
      </c>
      <c r="AD41">
        <v>958.76932968624396</v>
      </c>
      <c r="AE41">
        <v>925.66012260142406</v>
      </c>
      <c r="AF41">
        <v>1002.4114536234731</v>
      </c>
      <c r="AG41">
        <v>1054.0106625480573</v>
      </c>
      <c r="AH41">
        <v>1047.7050100308697</v>
      </c>
      <c r="AI41">
        <v>1204.2165014779312</v>
      </c>
      <c r="AJ41">
        <v>1287.1123696542252</v>
      </c>
      <c r="AK41">
        <v>1196.3701833025989</v>
      </c>
      <c r="AL41">
        <v>1196.3701833025989</v>
      </c>
      <c r="AM41">
        <v>1167.4902544950373</v>
      </c>
      <c r="AN41">
        <v>1297.2042332005774</v>
      </c>
      <c r="AO41">
        <v>1290.0144601292386</v>
      </c>
      <c r="AP41">
        <v>916.01334024520247</v>
      </c>
      <c r="AQ41">
        <v>608.09771435637765</v>
      </c>
      <c r="AR41">
        <v>436.13525960306686</v>
      </c>
      <c r="AS41">
        <v>278.11733951248681</v>
      </c>
      <c r="AT41">
        <v>278.11733951248681</v>
      </c>
      <c r="AU41">
        <v>215.20984605132909</v>
      </c>
      <c r="AV41">
        <v>0</v>
      </c>
      <c r="AW41">
        <v>0</v>
      </c>
      <c r="AX41">
        <v>0</v>
      </c>
      <c r="AY41">
        <v>0</v>
      </c>
      <c r="AZ41">
        <v>0</v>
      </c>
      <c r="BA41">
        <v>0</v>
      </c>
      <c r="BB41">
        <v>0</v>
      </c>
      <c r="BC41">
        <v>0</v>
      </c>
      <c r="BD41">
        <v>0</v>
      </c>
      <c r="BE41">
        <v>0</v>
      </c>
      <c r="BF41">
        <v>0</v>
      </c>
      <c r="BG41">
        <v>0</v>
      </c>
      <c r="BH41">
        <v>0</v>
      </c>
      <c r="BI41">
        <v>0</v>
      </c>
      <c r="BJ41">
        <v>0</v>
      </c>
      <c r="BK41">
        <v>0</v>
      </c>
      <c r="BL41">
        <v>0</v>
      </c>
      <c r="BM41">
        <v>0</v>
      </c>
      <c r="BN41">
        <v>0</v>
      </c>
    </row>
    <row r="42" spans="1:66">
      <c r="A42">
        <v>2408</v>
      </c>
      <c r="B42" t="s">
        <v>18</v>
      </c>
      <c r="C42" t="s">
        <v>316</v>
      </c>
      <c r="D42">
        <v>0</v>
      </c>
      <c r="E42">
        <v>0</v>
      </c>
      <c r="F42">
        <v>0</v>
      </c>
      <c r="G42">
        <v>0</v>
      </c>
      <c r="H42">
        <v>2177.1750000380562</v>
      </c>
      <c r="I42">
        <v>2562.96562512844</v>
      </c>
      <c r="J42">
        <v>3726</v>
      </c>
      <c r="K42">
        <v>14862</v>
      </c>
      <c r="L42">
        <v>26925</v>
      </c>
      <c r="M42">
        <v>29088</v>
      </c>
      <c r="N42">
        <v>21475.245368529231</v>
      </c>
      <c r="O42">
        <v>13782.620161891895</v>
      </c>
      <c r="P42">
        <v>13782.620161891897</v>
      </c>
      <c r="Q42">
        <v>27244.714273507234</v>
      </c>
      <c r="R42">
        <v>67630.996608353234</v>
      </c>
      <c r="S42">
        <v>60899.949552545571</v>
      </c>
      <c r="T42">
        <v>60899.949552545571</v>
      </c>
      <c r="U42">
        <v>60899.949552545571</v>
      </c>
      <c r="V42">
        <v>60899.949552545571</v>
      </c>
      <c r="W42">
        <v>74362.043664160912</v>
      </c>
      <c r="X42">
        <v>87824.137775776224</v>
      </c>
      <c r="Y42">
        <v>101286.23188739158</v>
      </c>
      <c r="Z42">
        <v>114107.27389845382</v>
      </c>
      <c r="AA42">
        <v>114107.27389845382</v>
      </c>
      <c r="AB42">
        <v>82054.668870798239</v>
      </c>
      <c r="AC42">
        <v>80772.564669692016</v>
      </c>
      <c r="AD42">
        <v>80772.564669692016</v>
      </c>
      <c r="AE42">
        <v>77567.304166926464</v>
      </c>
      <c r="AF42">
        <v>87183.085675223134</v>
      </c>
      <c r="AG42">
        <v>94234.658781307371</v>
      </c>
      <c r="AH42">
        <v>94234.658781307371</v>
      </c>
      <c r="AI42">
        <v>107696.75289292268</v>
      </c>
      <c r="AJ42">
        <v>116671.48230066623</v>
      </c>
      <c r="AK42">
        <v>107696.75289292268</v>
      </c>
      <c r="AL42">
        <v>107696.75289292268</v>
      </c>
      <c r="AM42">
        <v>104491.49239015715</v>
      </c>
      <c r="AN42">
        <v>121158.84700453802</v>
      </c>
      <c r="AO42">
        <v>121158.84700453802</v>
      </c>
      <c r="AP42">
        <v>86221.507524393455</v>
      </c>
      <c r="AQ42">
        <v>56412.584848673789</v>
      </c>
      <c r="AR42">
        <v>40706.80838512256</v>
      </c>
      <c r="AS42">
        <v>26924.188223230671</v>
      </c>
      <c r="AT42">
        <v>26924.188223230671</v>
      </c>
      <c r="AU42">
        <v>20834.193267976119</v>
      </c>
      <c r="AV42">
        <v>0</v>
      </c>
      <c r="AW42">
        <v>0</v>
      </c>
      <c r="AX42">
        <v>0</v>
      </c>
      <c r="AY42">
        <v>0</v>
      </c>
      <c r="AZ42">
        <v>0</v>
      </c>
      <c r="BA42">
        <v>0</v>
      </c>
      <c r="BB42">
        <v>0</v>
      </c>
      <c r="BC42">
        <v>0</v>
      </c>
      <c r="BD42">
        <v>0</v>
      </c>
      <c r="BE42">
        <v>0</v>
      </c>
      <c r="BF42">
        <v>0</v>
      </c>
      <c r="BG42">
        <v>0</v>
      </c>
      <c r="BH42">
        <v>0</v>
      </c>
      <c r="BI42">
        <v>0</v>
      </c>
      <c r="BJ42">
        <v>0</v>
      </c>
      <c r="BK42">
        <v>0</v>
      </c>
      <c r="BL42">
        <v>0</v>
      </c>
      <c r="BM42">
        <v>0</v>
      </c>
      <c r="BN42">
        <v>0</v>
      </c>
    </row>
    <row r="43" spans="1:66">
      <c r="A43">
        <v>2408</v>
      </c>
      <c r="B43" t="s">
        <v>19</v>
      </c>
      <c r="C43" t="s">
        <v>320</v>
      </c>
      <c r="D43">
        <v>0</v>
      </c>
      <c r="E43">
        <v>0</v>
      </c>
      <c r="F43">
        <v>2754.6701608499307</v>
      </c>
      <c r="G43">
        <v>6761.3298391500684</v>
      </c>
      <c r="H43">
        <v>1852</v>
      </c>
      <c r="I43">
        <v>5608</v>
      </c>
      <c r="J43">
        <v>4276</v>
      </c>
      <c r="K43">
        <v>3316</v>
      </c>
      <c r="L43">
        <v>4984</v>
      </c>
      <c r="M43">
        <v>5576</v>
      </c>
      <c r="N43">
        <v>17698.88668663269</v>
      </c>
      <c r="O43">
        <v>21674.573719674216</v>
      </c>
      <c r="P43">
        <v>16576.55219062791</v>
      </c>
      <c r="Q43">
        <v>13375.14197429237</v>
      </c>
      <c r="R43">
        <v>14112.691863628448</v>
      </c>
      <c r="S43">
        <v>13791.966996143246</v>
      </c>
      <c r="T43">
        <v>12652.117167169408</v>
      </c>
      <c r="U43">
        <v>13484.796572689576</v>
      </c>
      <c r="V43">
        <v>8912.3265110926186</v>
      </c>
      <c r="W43">
        <v>6545.702604541797</v>
      </c>
      <c r="X43">
        <v>7420.1198778886101</v>
      </c>
      <c r="Y43">
        <v>8023.7638819834056</v>
      </c>
      <c r="Z43">
        <v>8023.7638819834046</v>
      </c>
      <c r="AA43">
        <v>8023.7638819834046</v>
      </c>
      <c r="AB43">
        <v>5574.0395319818663</v>
      </c>
      <c r="AC43">
        <v>4180.055843339177</v>
      </c>
      <c r="AD43">
        <v>9021.7626169876348</v>
      </c>
      <c r="AE43">
        <v>10388.650747228305</v>
      </c>
      <c r="AF43">
        <v>8694.4696090067082</v>
      </c>
      <c r="AG43">
        <v>6804.0489282345407</v>
      </c>
      <c r="AH43">
        <v>6364.3511762287235</v>
      </c>
      <c r="AI43">
        <v>7631.2475346766823</v>
      </c>
      <c r="AJ43">
        <v>6319.6216246564672</v>
      </c>
      <c r="AK43">
        <v>6736.9546008761554</v>
      </c>
      <c r="AL43">
        <v>6736.9546008761554</v>
      </c>
      <c r="AM43">
        <v>7084.73208105923</v>
      </c>
      <c r="AN43">
        <v>3755.9967859771905</v>
      </c>
      <c r="AO43">
        <v>3164.7750696659659</v>
      </c>
      <c r="AP43">
        <v>2086.6648810984393</v>
      </c>
      <c r="AQ43">
        <v>2086.6648810984393</v>
      </c>
      <c r="AR43">
        <v>1286.7766766773707</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row>
    <row r="44" spans="1:66">
      <c r="A44">
        <v>2408</v>
      </c>
      <c r="B44" t="s">
        <v>20</v>
      </c>
      <c r="C44" t="s">
        <v>324</v>
      </c>
      <c r="D44">
        <v>0</v>
      </c>
      <c r="E44">
        <v>0</v>
      </c>
      <c r="F44">
        <v>15.707639059422386</v>
      </c>
      <c r="G44">
        <v>38.554354050977615</v>
      </c>
      <c r="H44">
        <v>9.2771675843921617</v>
      </c>
      <c r="I44">
        <v>41.09</v>
      </c>
      <c r="J44">
        <v>27.872999999999998</v>
      </c>
      <c r="K44">
        <v>130.31400000000002</v>
      </c>
      <c r="L44">
        <v>295.76399999999995</v>
      </c>
      <c r="M44">
        <v>151.755</v>
      </c>
      <c r="N44">
        <v>326.71633409241741</v>
      </c>
      <c r="O44">
        <v>398.94841636022312</v>
      </c>
      <c r="P44">
        <v>310.68845520518585</v>
      </c>
      <c r="Q44">
        <v>251.08379821180836</v>
      </c>
      <c r="R44">
        <v>375.31096879975252</v>
      </c>
      <c r="S44">
        <v>375.49549803913641</v>
      </c>
      <c r="T44">
        <v>373.36578473460884</v>
      </c>
      <c r="U44">
        <v>378.97059733540823</v>
      </c>
      <c r="V44">
        <v>361.13797757359259</v>
      </c>
      <c r="W44">
        <v>401.17620275279256</v>
      </c>
      <c r="X44">
        <v>469.14129209109268</v>
      </c>
      <c r="Y44">
        <v>535.64069983752847</v>
      </c>
      <c r="Z44">
        <v>586.94244264718122</v>
      </c>
      <c r="AA44">
        <v>586.94244264718122</v>
      </c>
      <c r="AB44">
        <v>463.87715662983373</v>
      </c>
      <c r="AC44">
        <v>474.44584687399225</v>
      </c>
      <c r="AD44">
        <v>474.44584687399225</v>
      </c>
      <c r="AE44">
        <v>460.14510593170525</v>
      </c>
      <c r="AF44">
        <v>484.06372069480096</v>
      </c>
      <c r="AG44">
        <v>494.1935725897211</v>
      </c>
      <c r="AH44">
        <v>487.60714789194094</v>
      </c>
      <c r="AI44">
        <v>564.48277292234297</v>
      </c>
      <c r="AJ44">
        <v>596.19076838442072</v>
      </c>
      <c r="AK44">
        <v>561.16646381822989</v>
      </c>
      <c r="AL44">
        <v>561.16646381822989</v>
      </c>
      <c r="AM44">
        <v>551.11937529619229</v>
      </c>
      <c r="AN44">
        <v>586.50745375714666</v>
      </c>
      <c r="AO44">
        <v>579.2762446427223</v>
      </c>
      <c r="AP44">
        <v>410.21184586901961</v>
      </c>
      <c r="AQ44">
        <v>277.21495510574988</v>
      </c>
      <c r="AR44">
        <v>197.35792392196927</v>
      </c>
      <c r="AS44">
        <v>120.12622391521137</v>
      </c>
      <c r="AT44">
        <v>120.12622391521137</v>
      </c>
      <c r="AU44">
        <v>92.954816124865943</v>
      </c>
      <c r="AV44">
        <v>0</v>
      </c>
      <c r="AW44">
        <v>0</v>
      </c>
      <c r="AX44">
        <v>0</v>
      </c>
      <c r="AY44">
        <v>0</v>
      </c>
      <c r="AZ44">
        <v>0</v>
      </c>
      <c r="BA44">
        <v>0</v>
      </c>
      <c r="BB44">
        <v>0</v>
      </c>
      <c r="BC44">
        <v>0</v>
      </c>
      <c r="BD44">
        <v>0</v>
      </c>
      <c r="BE44">
        <v>0</v>
      </c>
      <c r="BF44">
        <v>0</v>
      </c>
      <c r="BG44">
        <v>0</v>
      </c>
      <c r="BH44">
        <v>0</v>
      </c>
      <c r="BI44">
        <v>0</v>
      </c>
      <c r="BJ44">
        <v>0</v>
      </c>
      <c r="BK44">
        <v>0</v>
      </c>
      <c r="BL44">
        <v>0</v>
      </c>
      <c r="BM44">
        <v>0</v>
      </c>
      <c r="BN44">
        <v>0</v>
      </c>
    </row>
    <row r="45" spans="1:66">
      <c r="A45">
        <v>2408</v>
      </c>
      <c r="B45" t="s">
        <v>21</v>
      </c>
      <c r="C45" t="s">
        <v>328</v>
      </c>
      <c r="D45">
        <v>0</v>
      </c>
      <c r="E45">
        <v>0</v>
      </c>
      <c r="F45">
        <v>483.00342020770944</v>
      </c>
      <c r="G45">
        <v>1185.5304797922906</v>
      </c>
      <c r="H45">
        <v>179.56776906563883</v>
      </c>
      <c r="I45">
        <v>746.83</v>
      </c>
      <c r="J45">
        <v>871.33900000000006</v>
      </c>
      <c r="K45">
        <v>2667.8799999999997</v>
      </c>
      <c r="L45">
        <v>3322.8309999999992</v>
      </c>
      <c r="M45">
        <v>3702.8410000000008</v>
      </c>
      <c r="N45">
        <v>4602.7548347835827</v>
      </c>
      <c r="O45">
        <v>5178.9140813997783</v>
      </c>
      <c r="P45">
        <v>5072.1758350395667</v>
      </c>
      <c r="Q45">
        <v>5562.8203295790981</v>
      </c>
      <c r="R45">
        <v>9294.2824888419582</v>
      </c>
      <c r="S45">
        <v>8417.6861925626363</v>
      </c>
      <c r="T45">
        <v>8501.1143398326367</v>
      </c>
      <c r="U45">
        <v>8611.383994615644</v>
      </c>
      <c r="V45">
        <v>7806.345026706208</v>
      </c>
      <c r="W45">
        <v>8578.9755376184366</v>
      </c>
      <c r="X45">
        <v>9923.658168027403</v>
      </c>
      <c r="Y45">
        <v>11276.875452645594</v>
      </c>
      <c r="Z45">
        <v>12257.309374303881</v>
      </c>
      <c r="AA45">
        <v>12257.309374303881</v>
      </c>
      <c r="AB45">
        <v>9959.0493484982471</v>
      </c>
      <c r="AC45">
        <v>10272.587753197471</v>
      </c>
      <c r="AD45">
        <v>10272.587753197471</v>
      </c>
      <c r="AE45">
        <v>9991.1564292733819</v>
      </c>
      <c r="AF45">
        <v>10281.330667387399</v>
      </c>
      <c r="AG45">
        <v>10335.259989890601</v>
      </c>
      <c r="AH45">
        <v>10164.03624325527</v>
      </c>
      <c r="AI45">
        <v>11799.209506748943</v>
      </c>
      <c r="AJ45">
        <v>12351.897453039857</v>
      </c>
      <c r="AK45">
        <v>11635.661341902431</v>
      </c>
      <c r="AL45">
        <v>11635.661341902431</v>
      </c>
      <c r="AM45">
        <v>11466.329957591764</v>
      </c>
      <c r="AN45">
        <v>11848.783392155694</v>
      </c>
      <c r="AO45">
        <v>11658.213494812871</v>
      </c>
      <c r="AP45">
        <v>8243.1022512386426</v>
      </c>
      <c r="AQ45">
        <v>5625.7909387445789</v>
      </c>
      <c r="AR45">
        <v>3988.947590405649</v>
      </c>
      <c r="AS45">
        <v>2364.0231209623789</v>
      </c>
      <c r="AT45">
        <v>2364.0231209623789</v>
      </c>
      <c r="AU45">
        <v>1829.3036055066027</v>
      </c>
      <c r="AV45">
        <v>0</v>
      </c>
      <c r="AW45">
        <v>0</v>
      </c>
      <c r="AX45">
        <v>0</v>
      </c>
      <c r="AY45">
        <v>0</v>
      </c>
      <c r="AZ45">
        <v>0</v>
      </c>
      <c r="BA45">
        <v>0</v>
      </c>
      <c r="BB45">
        <v>0</v>
      </c>
      <c r="BC45">
        <v>0</v>
      </c>
      <c r="BD45">
        <v>0</v>
      </c>
      <c r="BE45">
        <v>0</v>
      </c>
      <c r="BF45">
        <v>0</v>
      </c>
      <c r="BG45">
        <v>0</v>
      </c>
      <c r="BH45">
        <v>0</v>
      </c>
      <c r="BI45">
        <v>0</v>
      </c>
      <c r="BJ45">
        <v>0</v>
      </c>
      <c r="BK45">
        <v>0</v>
      </c>
      <c r="BL45">
        <v>0</v>
      </c>
      <c r="BM45">
        <v>0</v>
      </c>
      <c r="BN45">
        <v>0</v>
      </c>
    </row>
    <row r="46" spans="1:66">
      <c r="A46">
        <v>2408</v>
      </c>
      <c r="B46" t="s">
        <v>22</v>
      </c>
      <c r="C46" t="s">
        <v>332</v>
      </c>
      <c r="D46">
        <v>0</v>
      </c>
      <c r="E46">
        <v>0</v>
      </c>
      <c r="F46">
        <v>2735.5646301000261</v>
      </c>
      <c r="G46">
        <v>6714.4353698999739</v>
      </c>
      <c r="H46">
        <v>17119.090625299235</v>
      </c>
      <c r="I46">
        <v>20152.55586038492</v>
      </c>
      <c r="J46">
        <v>22927.353514315841</v>
      </c>
      <c r="K46">
        <v>1298</v>
      </c>
      <c r="L46">
        <v>33436</v>
      </c>
      <c r="M46">
        <v>4314</v>
      </c>
      <c r="N46">
        <v>25841.859797419624</v>
      </c>
      <c r="O46">
        <v>31812.730108953281</v>
      </c>
      <c r="P46">
        <v>24935.678909734408</v>
      </c>
      <c r="Q46">
        <v>20624.544599136865</v>
      </c>
      <c r="R46">
        <v>21830.926968356609</v>
      </c>
      <c r="S46">
        <v>19237.432773397413</v>
      </c>
      <c r="T46">
        <v>18821.763202104037</v>
      </c>
      <c r="U46">
        <v>20185.821842496745</v>
      </c>
      <c r="V46">
        <v>8319.0957436749213</v>
      </c>
      <c r="W46">
        <v>6078.0489959031347</v>
      </c>
      <c r="X46">
        <v>6751.5519971970189</v>
      </c>
      <c r="Y46">
        <v>7761.5921501756329</v>
      </c>
      <c r="Z46">
        <v>7674.6455341461951</v>
      </c>
      <c r="AA46">
        <v>7831.4834004719723</v>
      </c>
      <c r="AB46">
        <v>8489.8754745924634</v>
      </c>
      <c r="AC46">
        <v>9362.4653251762575</v>
      </c>
      <c r="AD46">
        <v>15637.899882712692</v>
      </c>
      <c r="AE46">
        <v>15637.899882712692</v>
      </c>
      <c r="AF46">
        <v>12896.783858747198</v>
      </c>
      <c r="AG46">
        <v>9886.6551653354472</v>
      </c>
      <c r="AH46">
        <v>9814.5668029348144</v>
      </c>
      <c r="AI46">
        <v>12560.957585124743</v>
      </c>
      <c r="AJ46">
        <v>10458.087306316067</v>
      </c>
      <c r="AK46">
        <v>11154.355391941683</v>
      </c>
      <c r="AL46">
        <v>11154.355391941683</v>
      </c>
      <c r="AM46">
        <v>11734.578796629696</v>
      </c>
      <c r="AN46">
        <v>6266.4127706305408</v>
      </c>
      <c r="AO46">
        <v>5280.0329826609186</v>
      </c>
      <c r="AP46">
        <v>3481.3404281280791</v>
      </c>
      <c r="AQ46">
        <v>3481.3404281280791</v>
      </c>
      <c r="AR46">
        <v>2146.8265973456482</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row>
    <row r="47" spans="1:66">
      <c r="A47">
        <v>2408</v>
      </c>
      <c r="B47" t="s">
        <v>23</v>
      </c>
      <c r="C47" t="s">
        <v>336</v>
      </c>
      <c r="D47">
        <v>0</v>
      </c>
      <c r="E47">
        <v>0</v>
      </c>
      <c r="F47">
        <v>498.48066592933804</v>
      </c>
      <c r="G47">
        <v>1223.5193340706619</v>
      </c>
      <c r="H47">
        <v>8011.1281251400324</v>
      </c>
      <c r="I47">
        <v>9430.6824223476069</v>
      </c>
      <c r="J47">
        <v>16563</v>
      </c>
      <c r="K47">
        <v>32256</v>
      </c>
      <c r="L47">
        <v>47553</v>
      </c>
      <c r="M47">
        <v>48014</v>
      </c>
      <c r="N47">
        <v>27065.875828648022</v>
      </c>
      <c r="O47">
        <v>16079.631804823293</v>
      </c>
      <c r="P47">
        <v>19801.028548104769</v>
      </c>
      <c r="Q47">
        <v>35506.715427234492</v>
      </c>
      <c r="R47">
        <v>82623.776064623671</v>
      </c>
      <c r="S47">
        <v>75877.293819007347</v>
      </c>
      <c r="T47">
        <v>79196.377400852987</v>
      </c>
      <c r="U47">
        <v>79196.377400852987</v>
      </c>
      <c r="V47">
        <v>74783.827277668912</v>
      </c>
      <c r="W47">
        <v>86755.222760907054</v>
      </c>
      <c r="X47">
        <v>102460.90964003679</v>
      </c>
      <c r="Y47">
        <v>118166.5965191665</v>
      </c>
      <c r="Z47">
        <v>133941.05487888353</v>
      </c>
      <c r="AA47">
        <v>133941.05487888353</v>
      </c>
      <c r="AB47">
        <v>95729.900977552606</v>
      </c>
      <c r="AC47">
        <v>94234.121274778328</v>
      </c>
      <c r="AD47">
        <v>94234.121274778328</v>
      </c>
      <c r="AE47">
        <v>90494.672017842706</v>
      </c>
      <c r="AF47">
        <v>101713.01978864965</v>
      </c>
      <c r="AG47">
        <v>109939.80815390807</v>
      </c>
      <c r="AH47">
        <v>109939.80815390807</v>
      </c>
      <c r="AI47">
        <v>125645.49503303781</v>
      </c>
      <c r="AJ47">
        <v>136115.95295245762</v>
      </c>
      <c r="AK47">
        <v>125645.49503303781</v>
      </c>
      <c r="AL47">
        <v>592.31176760632229</v>
      </c>
      <c r="AM47">
        <v>592.31176760632229</v>
      </c>
      <c r="AN47">
        <v>141351.18191216749</v>
      </c>
      <c r="AO47">
        <v>141351.18191216749</v>
      </c>
      <c r="AP47">
        <v>100591.18501156896</v>
      </c>
      <c r="AQ47">
        <v>65814.306922067408</v>
      </c>
      <c r="AR47">
        <v>47491.005563082748</v>
      </c>
      <c r="AS47">
        <v>31411.373758259448</v>
      </c>
      <c r="AT47">
        <v>31411.373758259448</v>
      </c>
      <c r="AU47">
        <v>24306.420170081714</v>
      </c>
      <c r="AV47">
        <v>0</v>
      </c>
      <c r="AW47">
        <v>0</v>
      </c>
      <c r="AX47">
        <v>0</v>
      </c>
      <c r="AY47">
        <v>0</v>
      </c>
      <c r="AZ47">
        <v>0</v>
      </c>
      <c r="BA47">
        <v>0</v>
      </c>
      <c r="BB47">
        <v>0</v>
      </c>
      <c r="BC47">
        <v>0</v>
      </c>
      <c r="BD47">
        <v>0</v>
      </c>
      <c r="BE47">
        <v>0</v>
      </c>
      <c r="BF47">
        <v>0</v>
      </c>
      <c r="BG47">
        <v>0</v>
      </c>
      <c r="BH47">
        <v>0</v>
      </c>
      <c r="BI47">
        <v>0</v>
      </c>
      <c r="BJ47">
        <v>0</v>
      </c>
      <c r="BK47">
        <v>0</v>
      </c>
      <c r="BL47">
        <v>0</v>
      </c>
      <c r="BM47">
        <v>0</v>
      </c>
      <c r="BN47">
        <v>0</v>
      </c>
    </row>
    <row r="48" spans="1:66">
      <c r="A48">
        <v>2408</v>
      </c>
      <c r="B48" t="s">
        <v>24</v>
      </c>
      <c r="C48" t="s">
        <v>340</v>
      </c>
      <c r="D48">
        <v>0</v>
      </c>
      <c r="E48">
        <v>0</v>
      </c>
      <c r="F48">
        <v>0</v>
      </c>
      <c r="G48">
        <v>0</v>
      </c>
      <c r="H48">
        <v>0</v>
      </c>
      <c r="I48">
        <v>0</v>
      </c>
      <c r="J48">
        <v>0</v>
      </c>
      <c r="K48">
        <v>0</v>
      </c>
      <c r="L48">
        <v>0</v>
      </c>
      <c r="M48">
        <v>0</v>
      </c>
      <c r="N48">
        <v>0</v>
      </c>
      <c r="O48">
        <v>0</v>
      </c>
      <c r="P48">
        <v>2906.9758036510311</v>
      </c>
      <c r="Q48">
        <v>5869.3175920047606</v>
      </c>
      <c r="R48">
        <v>7729.9060682353675</v>
      </c>
      <c r="S48">
        <v>16229.872540019001</v>
      </c>
      <c r="T48">
        <v>17389.726927705706</v>
      </c>
      <c r="U48">
        <v>8422.483255888772</v>
      </c>
      <c r="V48">
        <v>9156.0113051015396</v>
      </c>
      <c r="W48">
        <v>12599.791588917489</v>
      </c>
      <c r="X48">
        <v>14877.125746750071</v>
      </c>
      <c r="Y48">
        <v>9664.6602919150409</v>
      </c>
      <c r="Z48">
        <v>8448.1030198464177</v>
      </c>
      <c r="AA48">
        <v>7351.7378117913677</v>
      </c>
      <c r="AB48">
        <v>15050.67531784028</v>
      </c>
      <c r="AC48">
        <v>13049.864221860767</v>
      </c>
      <c r="AD48">
        <v>10669.493606972694</v>
      </c>
      <c r="AE48">
        <v>2631.2764993321216</v>
      </c>
      <c r="AF48">
        <v>7726.5043753005375</v>
      </c>
      <c r="AG48">
        <v>9740.8967913810739</v>
      </c>
      <c r="AH48">
        <v>9740.8967913810739</v>
      </c>
      <c r="AI48">
        <v>13215.453770440945</v>
      </c>
      <c r="AJ48">
        <v>6721.4624389317696</v>
      </c>
      <c r="AK48">
        <v>10355.493719026446</v>
      </c>
      <c r="AL48">
        <v>10343.706817021901</v>
      </c>
      <c r="AM48">
        <v>15911.010492647007</v>
      </c>
      <c r="AN48">
        <v>15911.010492647007</v>
      </c>
      <c r="AO48">
        <v>18415.288461788223</v>
      </c>
      <c r="AP48">
        <v>17039.281137577997</v>
      </c>
      <c r="AQ48">
        <v>13597.925743081609</v>
      </c>
      <c r="AR48">
        <v>15386.330114047394</v>
      </c>
      <c r="AS48">
        <v>27408.121447419329</v>
      </c>
      <c r="AT48">
        <v>27369.69859117295</v>
      </c>
      <c r="AU48">
        <v>27713.247210411682</v>
      </c>
      <c r="AV48">
        <v>24905.669618078431</v>
      </c>
      <c r="AW48">
        <v>24905.669618078427</v>
      </c>
      <c r="AX48">
        <v>24220.114609208213</v>
      </c>
      <c r="AY48">
        <v>24011.467432595538</v>
      </c>
      <c r="AZ48">
        <v>20402.910099780758</v>
      </c>
      <c r="BA48">
        <v>15635.060711112485</v>
      </c>
      <c r="BB48">
        <v>5332.2152190367142</v>
      </c>
      <c r="BC48">
        <v>0</v>
      </c>
      <c r="BD48">
        <v>0</v>
      </c>
      <c r="BE48">
        <v>0</v>
      </c>
      <c r="BF48">
        <v>0</v>
      </c>
      <c r="BG48">
        <v>0</v>
      </c>
      <c r="BH48">
        <v>0</v>
      </c>
      <c r="BI48">
        <v>0</v>
      </c>
      <c r="BJ48">
        <v>0</v>
      </c>
      <c r="BK48">
        <v>0</v>
      </c>
      <c r="BL48">
        <v>0</v>
      </c>
      <c r="BM48">
        <v>0</v>
      </c>
      <c r="BN48">
        <v>0</v>
      </c>
    </row>
    <row r="49" spans="1:66">
      <c r="A49">
        <v>2408</v>
      </c>
      <c r="B49" t="s">
        <v>25</v>
      </c>
      <c r="C49" t="s">
        <v>344</v>
      </c>
      <c r="D49">
        <v>0</v>
      </c>
      <c r="E49">
        <v>0</v>
      </c>
      <c r="F49">
        <v>0</v>
      </c>
      <c r="G49">
        <v>0</v>
      </c>
      <c r="H49">
        <v>0</v>
      </c>
      <c r="I49">
        <v>0</v>
      </c>
      <c r="J49">
        <v>0</v>
      </c>
      <c r="K49">
        <v>0</v>
      </c>
      <c r="L49">
        <v>0</v>
      </c>
      <c r="M49">
        <v>0</v>
      </c>
      <c r="N49">
        <v>0</v>
      </c>
      <c r="O49">
        <v>0</v>
      </c>
      <c r="P49">
        <v>0</v>
      </c>
      <c r="Q49">
        <v>3512.4</v>
      </c>
      <c r="R49">
        <v>4433.58</v>
      </c>
      <c r="S49">
        <v>11618.014999999999</v>
      </c>
      <c r="T49">
        <v>10717.955999999998</v>
      </c>
      <c r="U49">
        <v>5172.51</v>
      </c>
      <c r="V49">
        <v>5256.5910000000003</v>
      </c>
      <c r="W49">
        <v>5744.2310000000007</v>
      </c>
      <c r="X49">
        <v>5046.183</v>
      </c>
      <c r="Y49">
        <v>969.56999999999994</v>
      </c>
      <c r="Z49">
        <v>0</v>
      </c>
      <c r="AA49">
        <v>0</v>
      </c>
      <c r="AB49">
        <v>12015.059999999994</v>
      </c>
      <c r="AC49">
        <v>10829.350999999993</v>
      </c>
      <c r="AD49">
        <v>7389.3000000000102</v>
      </c>
      <c r="AE49">
        <v>0</v>
      </c>
      <c r="AF49">
        <v>6041.3280000000004</v>
      </c>
      <c r="AG49">
        <v>8429.76</v>
      </c>
      <c r="AH49">
        <v>8429.76</v>
      </c>
      <c r="AI49">
        <v>12286.559000000001</v>
      </c>
      <c r="AJ49">
        <v>3430.7309999999998</v>
      </c>
      <c r="AK49">
        <v>6075.9059999999999</v>
      </c>
      <c r="AL49">
        <v>6127.7480000000005</v>
      </c>
      <c r="AM49">
        <v>6361.9219999999996</v>
      </c>
      <c r="AN49">
        <v>6455.1620000000003</v>
      </c>
      <c r="AO49">
        <v>18313.71</v>
      </c>
      <c r="AP49">
        <v>16988.519</v>
      </c>
      <c r="AQ49">
        <v>14087.28</v>
      </c>
      <c r="AR49">
        <v>15181.320000000003</v>
      </c>
      <c r="AS49">
        <v>24871.775000000001</v>
      </c>
      <c r="AT49">
        <v>27569.348000000002</v>
      </c>
      <c r="AU49">
        <v>27380.817999999999</v>
      </c>
      <c r="AV49">
        <v>27663.840000000004</v>
      </c>
      <c r="AW49">
        <v>27726.000000000004</v>
      </c>
      <c r="AX49">
        <v>27258.962000000003</v>
      </c>
      <c r="AY49">
        <v>26930.340000000004</v>
      </c>
      <c r="AZ49">
        <v>22138.512000000002</v>
      </c>
      <c r="BA49">
        <v>17725.635000000002</v>
      </c>
      <c r="BB49">
        <v>6322.3200000000006</v>
      </c>
      <c r="BC49">
        <v>0</v>
      </c>
      <c r="BD49">
        <v>0</v>
      </c>
      <c r="BE49">
        <v>0</v>
      </c>
      <c r="BF49">
        <v>0</v>
      </c>
      <c r="BG49">
        <v>0</v>
      </c>
      <c r="BH49">
        <v>0</v>
      </c>
      <c r="BI49">
        <v>0</v>
      </c>
      <c r="BJ49">
        <v>0</v>
      </c>
      <c r="BK49">
        <v>0</v>
      </c>
      <c r="BL49">
        <v>0</v>
      </c>
      <c r="BM49">
        <v>0</v>
      </c>
      <c r="BN49">
        <v>0</v>
      </c>
    </row>
    <row r="50" spans="1:66">
      <c r="A50">
        <v>2408</v>
      </c>
      <c r="B50" t="s">
        <v>26</v>
      </c>
      <c r="C50" t="s">
        <v>348</v>
      </c>
      <c r="D50">
        <v>0</v>
      </c>
      <c r="E50">
        <v>0</v>
      </c>
      <c r="F50">
        <v>0</v>
      </c>
      <c r="G50">
        <v>0</v>
      </c>
      <c r="H50">
        <v>0</v>
      </c>
      <c r="I50">
        <v>0</v>
      </c>
      <c r="J50">
        <v>0</v>
      </c>
      <c r="K50">
        <v>0</v>
      </c>
      <c r="L50">
        <v>0</v>
      </c>
      <c r="M50">
        <v>0</v>
      </c>
      <c r="N50">
        <v>1320.9435133002835</v>
      </c>
      <c r="O50">
        <v>945.54441769871869</v>
      </c>
      <c r="P50">
        <v>796.78419681077366</v>
      </c>
      <c r="Q50">
        <v>731.57423696948285</v>
      </c>
      <c r="R50">
        <v>990.37626508960625</v>
      </c>
      <c r="S50">
        <v>806.9732530359754</v>
      </c>
      <c r="T50">
        <v>772.3304618702897</v>
      </c>
      <c r="U50">
        <v>813.08668677109631</v>
      </c>
      <c r="V50">
        <v>678.59114459843386</v>
      </c>
      <c r="W50">
        <v>635.79710845258671</v>
      </c>
      <c r="X50">
        <v>737.68767070460399</v>
      </c>
      <c r="Y50">
        <v>847.72947793678247</v>
      </c>
      <c r="Z50">
        <v>929.24192773839593</v>
      </c>
      <c r="AA50">
        <v>929.24192773839593</v>
      </c>
      <c r="AB50">
        <v>794.74638556573348</v>
      </c>
      <c r="AC50">
        <v>855.88072291694368</v>
      </c>
      <c r="AD50">
        <v>855.88072291694368</v>
      </c>
      <c r="AE50">
        <v>835.50261046654032</v>
      </c>
      <c r="AF50">
        <v>849.76728918182255</v>
      </c>
      <c r="AG50">
        <v>794.74638556573336</v>
      </c>
      <c r="AH50">
        <v>819.20012050621767</v>
      </c>
      <c r="AI50">
        <v>1027.0568675003324</v>
      </c>
      <c r="AJ50">
        <v>1059.6618474209779</v>
      </c>
      <c r="AK50">
        <v>1027.0568675003324</v>
      </c>
      <c r="AL50">
        <v>1027.0568675003324</v>
      </c>
      <c r="AM50">
        <v>1027.0568675003324</v>
      </c>
      <c r="AN50">
        <v>990.37626508960625</v>
      </c>
      <c r="AO50">
        <v>955.73347392392043</v>
      </c>
      <c r="AP50">
        <v>670.43989961827253</v>
      </c>
      <c r="AQ50">
        <v>480.92345382952078</v>
      </c>
      <c r="AR50">
        <v>334.20104418661612</v>
      </c>
      <c r="AS50">
        <v>171.17614458338878</v>
      </c>
      <c r="AT50">
        <v>171.17614458338878</v>
      </c>
      <c r="AU50">
        <v>132.45773092762224</v>
      </c>
      <c r="AV50">
        <v>0</v>
      </c>
      <c r="AW50">
        <v>0</v>
      </c>
      <c r="AX50">
        <v>0</v>
      </c>
      <c r="AY50">
        <v>0</v>
      </c>
      <c r="AZ50">
        <v>0</v>
      </c>
      <c r="BA50">
        <v>0</v>
      </c>
      <c r="BB50">
        <v>0</v>
      </c>
      <c r="BC50">
        <v>0</v>
      </c>
      <c r="BD50">
        <v>0</v>
      </c>
      <c r="BE50">
        <v>0</v>
      </c>
      <c r="BF50">
        <v>0</v>
      </c>
      <c r="BG50">
        <v>0</v>
      </c>
      <c r="BH50">
        <v>0</v>
      </c>
      <c r="BI50">
        <v>0</v>
      </c>
      <c r="BJ50">
        <v>0</v>
      </c>
      <c r="BK50">
        <v>0</v>
      </c>
      <c r="BL50">
        <v>0</v>
      </c>
      <c r="BM50">
        <v>0</v>
      </c>
      <c r="BN50">
        <v>0</v>
      </c>
    </row>
    <row r="51" spans="1:66">
      <c r="A51">
        <v>2408</v>
      </c>
      <c r="B51" t="s">
        <v>27</v>
      </c>
      <c r="C51" t="s">
        <v>352</v>
      </c>
      <c r="D51">
        <v>0</v>
      </c>
      <c r="E51">
        <v>0</v>
      </c>
      <c r="F51">
        <v>0</v>
      </c>
      <c r="G51">
        <v>0</v>
      </c>
      <c r="H51">
        <v>0</v>
      </c>
      <c r="I51">
        <v>0</v>
      </c>
      <c r="J51">
        <v>0</v>
      </c>
      <c r="K51">
        <v>0</v>
      </c>
      <c r="L51">
        <v>0</v>
      </c>
      <c r="M51">
        <v>0</v>
      </c>
      <c r="N51">
        <v>45.6741490887933</v>
      </c>
      <c r="O51">
        <v>55.503470269742166</v>
      </c>
      <c r="P51">
        <v>39.903356563220278</v>
      </c>
      <c r="Q51">
        <v>32.97708724754699</v>
      </c>
      <c r="R51">
        <v>35.323163706299702</v>
      </c>
      <c r="S51">
        <v>29.138053042315686</v>
      </c>
      <c r="T51">
        <v>25.512298515152729</v>
      </c>
      <c r="U51">
        <v>25.512298515152729</v>
      </c>
      <c r="V51">
        <v>11.936034751555685</v>
      </c>
      <c r="W51">
        <v>8.2366445916114728</v>
      </c>
      <c r="X51">
        <v>6.1774834437086055</v>
      </c>
      <c r="Y51">
        <v>8.2366445916114728</v>
      </c>
      <c r="Z51">
        <v>8.2366445916114728</v>
      </c>
      <c r="AA51">
        <v>8.2366445916114728</v>
      </c>
      <c r="AB51">
        <v>8.2366445916114728</v>
      </c>
      <c r="AC51">
        <v>8.2366445916114728</v>
      </c>
      <c r="AD51">
        <v>8.2366445916114728</v>
      </c>
      <c r="AE51">
        <v>8.2366445916114728</v>
      </c>
      <c r="AF51">
        <v>8.2366445916114728</v>
      </c>
      <c r="AG51">
        <v>6.1774834437086055</v>
      </c>
      <c r="AH51">
        <v>7.3006622516556225</v>
      </c>
      <c r="AI51">
        <v>4.4927152317880896</v>
      </c>
      <c r="AJ51">
        <v>3.3695364238410517</v>
      </c>
      <c r="AK51">
        <v>4.4927152317880896</v>
      </c>
      <c r="AL51">
        <v>4.4927152317880896</v>
      </c>
      <c r="AM51">
        <v>4.4927152317880896</v>
      </c>
      <c r="AN51">
        <v>4.4927152317880896</v>
      </c>
      <c r="AO51">
        <v>2.9015452538631261</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row>
    <row r="52" spans="1:66">
      <c r="A52">
        <v>2408</v>
      </c>
      <c r="B52" t="s">
        <v>28</v>
      </c>
      <c r="C52" t="s">
        <v>356</v>
      </c>
      <c r="D52">
        <v>0</v>
      </c>
      <c r="E52">
        <v>0</v>
      </c>
      <c r="F52">
        <v>0</v>
      </c>
      <c r="G52">
        <v>0</v>
      </c>
      <c r="H52">
        <v>0</v>
      </c>
      <c r="I52">
        <v>0</v>
      </c>
      <c r="J52">
        <v>0</v>
      </c>
      <c r="K52">
        <v>0</v>
      </c>
      <c r="L52">
        <v>0</v>
      </c>
      <c r="M52">
        <v>0</v>
      </c>
      <c r="N52">
        <v>228.37074544396651</v>
      </c>
      <c r="O52">
        <v>277.51735134871086</v>
      </c>
      <c r="P52">
        <v>199.5167828161014</v>
      </c>
      <c r="Q52">
        <v>164.88543623773495</v>
      </c>
      <c r="R52">
        <v>176.61581853149852</v>
      </c>
      <c r="S52">
        <v>145.69026521157843</v>
      </c>
      <c r="T52">
        <v>127.56149257576365</v>
      </c>
      <c r="U52">
        <v>127.56149257576365</v>
      </c>
      <c r="V52">
        <v>59.680173757778419</v>
      </c>
      <c r="W52">
        <v>41.183222958057364</v>
      </c>
      <c r="X52">
        <v>30.887417218543025</v>
      </c>
      <c r="Y52">
        <v>41.183222958057364</v>
      </c>
      <c r="Z52">
        <v>41.183222958057364</v>
      </c>
      <c r="AA52">
        <v>41.183222958057364</v>
      </c>
      <c r="AB52">
        <v>41.183222958057364</v>
      </c>
      <c r="AC52">
        <v>41.183222958057364</v>
      </c>
      <c r="AD52">
        <v>41.183222958057364</v>
      </c>
      <c r="AE52">
        <v>41.183222958057364</v>
      </c>
      <c r="AF52">
        <v>41.183222958057364</v>
      </c>
      <c r="AG52">
        <v>30.887417218543025</v>
      </c>
      <c r="AH52">
        <v>36.503311258278117</v>
      </c>
      <c r="AI52">
        <v>22.463576158940448</v>
      </c>
      <c r="AJ52">
        <v>16.847682119205256</v>
      </c>
      <c r="AK52">
        <v>22.463576158940448</v>
      </c>
      <c r="AL52">
        <v>22.463576158940448</v>
      </c>
      <c r="AM52">
        <v>22.463576158940448</v>
      </c>
      <c r="AN52">
        <v>22.463576158940448</v>
      </c>
      <c r="AO52">
        <v>14.507726269315629</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row>
    <row r="53" spans="1:66">
      <c r="A53">
        <v>2408</v>
      </c>
      <c r="B53" t="s">
        <v>29</v>
      </c>
      <c r="C53" t="s">
        <v>360</v>
      </c>
      <c r="D53">
        <v>0</v>
      </c>
      <c r="E53">
        <v>0</v>
      </c>
      <c r="F53">
        <v>0</v>
      </c>
      <c r="G53">
        <v>0</v>
      </c>
      <c r="H53">
        <v>0</v>
      </c>
      <c r="I53">
        <v>0</v>
      </c>
      <c r="J53">
        <v>0</v>
      </c>
      <c r="K53">
        <v>0</v>
      </c>
      <c r="L53">
        <v>0</v>
      </c>
      <c r="M53">
        <v>0</v>
      </c>
      <c r="N53">
        <v>92.236484059699237</v>
      </c>
      <c r="O53">
        <v>114.32654613282499</v>
      </c>
      <c r="P53">
        <v>101.28138160950506</v>
      </c>
      <c r="Q53">
        <v>108.95047082032227</v>
      </c>
      <c r="R53">
        <v>177.36149819748957</v>
      </c>
      <c r="S53">
        <v>154.71798595163423</v>
      </c>
      <c r="T53">
        <v>152.33742061356597</v>
      </c>
      <c r="U53">
        <v>156.3814633069569</v>
      </c>
      <c r="V53">
        <v>137.77469780117974</v>
      </c>
      <c r="W53">
        <v>146.91756958118629</v>
      </c>
      <c r="X53">
        <v>170.55645831471904</v>
      </c>
      <c r="Y53">
        <v>196.20694560450039</v>
      </c>
      <c r="Z53">
        <v>214.34677009825714</v>
      </c>
      <c r="AA53">
        <v>214.34677009825714</v>
      </c>
      <c r="AB53">
        <v>173.27055294708762</v>
      </c>
      <c r="AC53">
        <v>181.81098743926427</v>
      </c>
      <c r="AD53">
        <v>181.81098743926427</v>
      </c>
      <c r="AE53">
        <v>176.42240477822531</v>
      </c>
      <c r="AF53">
        <v>185.65074343989633</v>
      </c>
      <c r="AG53">
        <v>184.48547546793475</v>
      </c>
      <c r="AH53">
        <v>186.43245272341261</v>
      </c>
      <c r="AI53">
        <v>226.10367772234224</v>
      </c>
      <c r="AJ53">
        <v>240.78730490391229</v>
      </c>
      <c r="AK53">
        <v>229.10127225486602</v>
      </c>
      <c r="AL53">
        <v>229.10127225486602</v>
      </c>
      <c r="AM53">
        <v>226.54768859537947</v>
      </c>
      <c r="AN53">
        <v>234.30641380403986</v>
      </c>
      <c r="AO53">
        <v>229.48691550140074</v>
      </c>
      <c r="AP53">
        <v>161.96286759126323</v>
      </c>
      <c r="AQ53">
        <v>111.84904884360068</v>
      </c>
      <c r="AR53">
        <v>78.924496100939095</v>
      </c>
      <c r="AS53">
        <v>45.264094352727476</v>
      </c>
      <c r="AT53">
        <v>45.264094352727476</v>
      </c>
      <c r="AU53">
        <v>35.0257872967534</v>
      </c>
      <c r="AV53">
        <v>0</v>
      </c>
      <c r="AW53">
        <v>0</v>
      </c>
      <c r="AX53">
        <v>0</v>
      </c>
      <c r="AY53">
        <v>0</v>
      </c>
      <c r="AZ53">
        <v>0</v>
      </c>
      <c r="BA53">
        <v>0</v>
      </c>
      <c r="BB53">
        <v>0</v>
      </c>
      <c r="BC53">
        <v>0</v>
      </c>
      <c r="BD53">
        <v>0</v>
      </c>
      <c r="BE53">
        <v>0</v>
      </c>
      <c r="BF53">
        <v>0</v>
      </c>
      <c r="BG53">
        <v>0</v>
      </c>
      <c r="BH53">
        <v>0</v>
      </c>
      <c r="BI53">
        <v>0</v>
      </c>
      <c r="BJ53">
        <v>0</v>
      </c>
      <c r="BK53">
        <v>0</v>
      </c>
      <c r="BL53">
        <v>0</v>
      </c>
      <c r="BM53">
        <v>0</v>
      </c>
      <c r="BN53">
        <v>0</v>
      </c>
    </row>
    <row r="54" spans="1:66">
      <c r="A54">
        <v>2408</v>
      </c>
      <c r="B54" t="s">
        <v>2655</v>
      </c>
      <c r="C54" t="s">
        <v>367</v>
      </c>
      <c r="D54">
        <v>0</v>
      </c>
      <c r="E54">
        <v>0</v>
      </c>
      <c r="F54">
        <v>0</v>
      </c>
      <c r="G54">
        <v>0</v>
      </c>
      <c r="H54">
        <v>0</v>
      </c>
      <c r="I54">
        <v>0</v>
      </c>
      <c r="J54">
        <v>0</v>
      </c>
      <c r="K54">
        <v>0</v>
      </c>
      <c r="L54">
        <v>0</v>
      </c>
      <c r="M54">
        <v>0</v>
      </c>
      <c r="N54">
        <v>0</v>
      </c>
      <c r="O54">
        <v>0</v>
      </c>
      <c r="P54">
        <v>0</v>
      </c>
      <c r="Q54">
        <v>0</v>
      </c>
      <c r="R54">
        <v>0</v>
      </c>
      <c r="S54">
        <v>0</v>
      </c>
      <c r="T54">
        <v>0</v>
      </c>
      <c r="U54">
        <v>0</v>
      </c>
      <c r="V54">
        <v>19592.357142857141</v>
      </c>
      <c r="W54">
        <v>19592.357142857141</v>
      </c>
      <c r="X54">
        <v>19592.357142857141</v>
      </c>
      <c r="Y54">
        <v>19592.357142857141</v>
      </c>
      <c r="Z54">
        <v>19592.357142857141</v>
      </c>
      <c r="AA54">
        <v>19592.357142857141</v>
      </c>
      <c r="AB54">
        <v>19592.357142857141</v>
      </c>
      <c r="AC54">
        <v>0</v>
      </c>
      <c r="AD54">
        <v>0</v>
      </c>
      <c r="AE54">
        <v>0</v>
      </c>
      <c r="AF54">
        <v>0</v>
      </c>
      <c r="AG54">
        <v>19592.357142857141</v>
      </c>
      <c r="AH54">
        <v>19592.357142857141</v>
      </c>
      <c r="AI54">
        <v>19592.357142857141</v>
      </c>
      <c r="AJ54">
        <v>19592.357142857141</v>
      </c>
      <c r="AK54">
        <v>19592.357142857141</v>
      </c>
      <c r="AL54">
        <v>19592.357142857141</v>
      </c>
      <c r="AM54">
        <v>19592.357142857141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row>
    <row r="55" spans="1:66">
      <c r="A55">
        <v>2408</v>
      </c>
      <c r="B55" t="s">
        <v>2656</v>
      </c>
      <c r="C55" t="s">
        <v>371</v>
      </c>
      <c r="D55">
        <v>0</v>
      </c>
      <c r="E55">
        <v>0</v>
      </c>
      <c r="F55">
        <v>0</v>
      </c>
      <c r="G55">
        <v>0</v>
      </c>
      <c r="H55">
        <v>0</v>
      </c>
      <c r="I55">
        <v>0</v>
      </c>
      <c r="J55">
        <v>0</v>
      </c>
      <c r="K55">
        <v>0</v>
      </c>
      <c r="L55">
        <v>0</v>
      </c>
      <c r="M55">
        <v>0</v>
      </c>
      <c r="N55">
        <v>0</v>
      </c>
      <c r="O55">
        <v>0</v>
      </c>
      <c r="P55">
        <v>0</v>
      </c>
      <c r="Q55">
        <v>0</v>
      </c>
      <c r="R55">
        <v>0</v>
      </c>
      <c r="S55">
        <v>0</v>
      </c>
      <c r="T55">
        <v>0</v>
      </c>
      <c r="U55">
        <v>0</v>
      </c>
      <c r="V55">
        <v>0</v>
      </c>
      <c r="W55">
        <v>796.22928571428565</v>
      </c>
      <c r="X55">
        <v>796.22928571428565</v>
      </c>
      <c r="Y55">
        <v>796.22928571428565</v>
      </c>
      <c r="Z55">
        <v>796.22928571428565</v>
      </c>
      <c r="AA55">
        <v>796.22928571428565</v>
      </c>
      <c r="AB55">
        <v>796.22928571428565</v>
      </c>
      <c r="AC55">
        <v>796.22928571428565</v>
      </c>
      <c r="AD55">
        <v>0</v>
      </c>
      <c r="AE55">
        <v>0</v>
      </c>
      <c r="AF55">
        <v>0</v>
      </c>
      <c r="AG55">
        <v>796.22928571428565</v>
      </c>
      <c r="AH55">
        <v>796.22928571428565</v>
      </c>
      <c r="AI55">
        <v>796.22928571428565</v>
      </c>
      <c r="AJ55">
        <v>796.22928571428565</v>
      </c>
      <c r="AK55">
        <v>796.22928571428565</v>
      </c>
      <c r="AL55">
        <v>796.22928571428565</v>
      </c>
      <c r="AM55">
        <v>796.22928571428565</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row>
    <row r="56" spans="1:66">
      <c r="A56">
        <v>2408</v>
      </c>
      <c r="B56" t="s">
        <v>2657</v>
      </c>
      <c r="C56" t="s">
        <v>375</v>
      </c>
      <c r="D56">
        <v>0</v>
      </c>
      <c r="E56">
        <v>0</v>
      </c>
      <c r="F56">
        <v>0</v>
      </c>
      <c r="G56">
        <v>0</v>
      </c>
      <c r="H56">
        <v>0</v>
      </c>
      <c r="I56">
        <v>0</v>
      </c>
      <c r="J56">
        <v>0</v>
      </c>
      <c r="K56">
        <v>0</v>
      </c>
      <c r="L56">
        <v>0</v>
      </c>
      <c r="M56">
        <v>0</v>
      </c>
      <c r="N56">
        <v>0</v>
      </c>
      <c r="O56">
        <v>0</v>
      </c>
      <c r="P56">
        <v>0</v>
      </c>
      <c r="Q56">
        <v>0</v>
      </c>
      <c r="R56">
        <v>0</v>
      </c>
      <c r="S56">
        <v>0</v>
      </c>
      <c r="T56">
        <v>0</v>
      </c>
      <c r="U56">
        <v>0</v>
      </c>
      <c r="V56">
        <v>0</v>
      </c>
      <c r="W56">
        <v>875.49428571428575</v>
      </c>
      <c r="X56">
        <v>875.49428571428575</v>
      </c>
      <c r="Y56">
        <v>875.49428571428575</v>
      </c>
      <c r="Z56">
        <v>875.49428571428575</v>
      </c>
      <c r="AA56">
        <v>875.49428571428575</v>
      </c>
      <c r="AB56">
        <v>875.49428571428575</v>
      </c>
      <c r="AC56">
        <v>875.49428571428575</v>
      </c>
      <c r="AD56">
        <v>0</v>
      </c>
      <c r="AE56">
        <v>0</v>
      </c>
      <c r="AF56">
        <v>0</v>
      </c>
      <c r="AG56">
        <v>875.49428571428575</v>
      </c>
      <c r="AH56">
        <v>875.49428571428575</v>
      </c>
      <c r="AI56">
        <v>875.49428571428575</v>
      </c>
      <c r="AJ56">
        <v>875.49428571428575</v>
      </c>
      <c r="AK56">
        <v>875.49428571428575</v>
      </c>
      <c r="AL56">
        <v>875.49428571428575</v>
      </c>
      <c r="AM56">
        <v>875.49428571428575</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row>
    <row r="57" spans="1:66">
      <c r="A57">
        <v>2408</v>
      </c>
      <c r="B57" t="s">
        <v>2658</v>
      </c>
      <c r="C57" t="s">
        <v>379</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1616.5766666666666</v>
      </c>
      <c r="AJ57">
        <v>1616.5766666666666</v>
      </c>
      <c r="AK57">
        <v>1616.5766666666666</v>
      </c>
      <c r="AL57">
        <v>1616.5766666666666</v>
      </c>
      <c r="AM57">
        <v>1616.5766666666666</v>
      </c>
      <c r="AN57">
        <v>1616.5766666666666</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row>
    <row r="58" spans="1:66">
      <c r="A58">
        <v>2408</v>
      </c>
      <c r="B58" t="s">
        <v>2659</v>
      </c>
      <c r="C58" t="s">
        <v>383</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24.683333333333334</v>
      </c>
      <c r="AK58">
        <v>24.683333333333334</v>
      </c>
      <c r="AL58">
        <v>24.683333333333334</v>
      </c>
      <c r="AM58">
        <v>24.683333333333334</v>
      </c>
      <c r="AN58">
        <v>24.683333333333334</v>
      </c>
      <c r="AO58">
        <v>24.683333333333334</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row>
    <row r="59" spans="1:66">
      <c r="A59">
        <v>2408</v>
      </c>
      <c r="B59" t="s">
        <v>2661</v>
      </c>
      <c r="C59" t="s">
        <v>391</v>
      </c>
      <c r="D59">
        <v>0</v>
      </c>
      <c r="E59">
        <v>0</v>
      </c>
      <c r="F59">
        <v>0</v>
      </c>
      <c r="G59">
        <v>0</v>
      </c>
      <c r="H59">
        <v>0</v>
      </c>
      <c r="I59">
        <v>0</v>
      </c>
      <c r="J59">
        <v>0</v>
      </c>
      <c r="K59">
        <v>0</v>
      </c>
      <c r="L59">
        <v>0</v>
      </c>
      <c r="M59">
        <v>0</v>
      </c>
      <c r="N59">
        <v>0</v>
      </c>
      <c r="O59">
        <v>0</v>
      </c>
      <c r="P59">
        <v>0</v>
      </c>
      <c r="Q59">
        <v>0</v>
      </c>
      <c r="R59">
        <v>0</v>
      </c>
      <c r="S59">
        <v>0.10000000000000002</v>
      </c>
      <c r="T59">
        <v>0.10000000000000002</v>
      </c>
      <c r="U59">
        <v>0.10000000000000002</v>
      </c>
      <c r="V59">
        <v>0.10000000000000002</v>
      </c>
      <c r="W59">
        <v>0.10000000000000002</v>
      </c>
      <c r="X59">
        <v>0.10000000000000002</v>
      </c>
      <c r="Y59">
        <v>0.10000000000000002</v>
      </c>
      <c r="Z59">
        <v>0.10000000000000002</v>
      </c>
      <c r="AA59">
        <v>0.10000000000000002</v>
      </c>
      <c r="AB59">
        <v>0.10000000000000002</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row>
    <row r="60" spans="1:66">
      <c r="A60">
        <v>2408</v>
      </c>
      <c r="B60" t="s">
        <v>2665</v>
      </c>
      <c r="C60" t="s">
        <v>400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1</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D888-F643-45A5-80A7-79BA84AE0DA3}">
  <sheetPr codeName="Sheet3">
    <tabColor rgb="FF92D050"/>
  </sheetPr>
  <dimension ref="A1:BX30"/>
  <sheetViews>
    <sheetView workbookViewId="0">
      <selection activeCell="F20" sqref="F20"/>
    </sheetView>
  </sheetViews>
  <sheetFormatPr defaultRowHeight="14.5"/>
  <cols>
    <col min="1" max="1" width="9.26953125" bestFit="1" customWidth="1"/>
    <col min="2" max="2" width="18.7265625" bestFit="1" customWidth="1"/>
    <col min="3" max="3" width="18.54296875" bestFit="1" customWidth="1"/>
    <col min="4" max="5" width="12.54296875" bestFit="1" customWidth="1"/>
    <col min="6" max="6" width="6.7265625" bestFit="1" customWidth="1"/>
    <col min="7" max="7" width="21.81640625" bestFit="1" customWidth="1"/>
    <col min="8" max="8" width="6.6328125" bestFit="1" customWidth="1"/>
    <col min="9" max="9" width="18.36328125" bestFit="1" customWidth="1"/>
    <col min="12" max="12" width="13.6328125" bestFit="1" customWidth="1"/>
    <col min="15" max="15" width="8.81640625" bestFit="1" customWidth="1"/>
    <col min="16" max="24" width="10.08984375" bestFit="1" customWidth="1"/>
    <col min="25" max="51" width="11.08984375" bestFit="1" customWidth="1"/>
    <col min="52" max="52" width="10.08984375" bestFit="1" customWidth="1"/>
    <col min="53" max="64" width="9.08984375" bestFit="1" customWidth="1"/>
    <col min="65" max="76" width="8.81640625" bestFit="1" customWidth="1"/>
  </cols>
  <sheetData>
    <row r="1" spans="1:76">
      <c r="A1" s="1" t="s">
        <v>0</v>
      </c>
      <c r="B1" s="1" t="s">
        <v>1</v>
      </c>
      <c r="C1" s="1" t="s">
        <v>4966</v>
      </c>
      <c r="D1" s="1" t="s">
        <v>3</v>
      </c>
      <c r="E1" s="1" t="s">
        <v>5162</v>
      </c>
      <c r="F1" s="90" t="s">
        <v>4</v>
      </c>
      <c r="G1" s="1" t="s">
        <v>5163</v>
      </c>
      <c r="H1" s="1" t="s">
        <v>31</v>
      </c>
      <c r="I1" s="1" t="s">
        <v>65</v>
      </c>
      <c r="J1" s="5" t="s">
        <v>35</v>
      </c>
      <c r="K1" s="5" t="s">
        <v>36</v>
      </c>
      <c r="L1" s="5" t="s">
        <v>67</v>
      </c>
      <c r="M1" s="5" t="s">
        <v>37</v>
      </c>
      <c r="N1" s="2">
        <v>45200</v>
      </c>
      <c r="O1" s="2">
        <f>+EDATE(N1,1)</f>
        <v>45231</v>
      </c>
      <c r="P1" s="2">
        <f t="shared" ref="P1:BX1" si="0">+EDATE(O1,1)</f>
        <v>45261</v>
      </c>
      <c r="Q1" s="2">
        <f t="shared" si="0"/>
        <v>45292</v>
      </c>
      <c r="R1" s="2">
        <f t="shared" si="0"/>
        <v>45323</v>
      </c>
      <c r="S1" s="2">
        <f t="shared" si="0"/>
        <v>45352</v>
      </c>
      <c r="T1" s="2">
        <f t="shared" si="0"/>
        <v>45383</v>
      </c>
      <c r="U1" s="2">
        <f t="shared" si="0"/>
        <v>45413</v>
      </c>
      <c r="V1" s="2">
        <f t="shared" si="0"/>
        <v>45444</v>
      </c>
      <c r="W1" s="7">
        <v>45474</v>
      </c>
      <c r="X1" s="8">
        <f t="shared" si="0"/>
        <v>45505</v>
      </c>
      <c r="Y1" s="2">
        <f t="shared" si="0"/>
        <v>45536</v>
      </c>
      <c r="Z1" s="2">
        <f t="shared" si="0"/>
        <v>45566</v>
      </c>
      <c r="AA1" s="2">
        <f t="shared" si="0"/>
        <v>45597</v>
      </c>
      <c r="AB1" s="2">
        <f t="shared" si="0"/>
        <v>45627</v>
      </c>
      <c r="AC1" s="2">
        <f t="shared" si="0"/>
        <v>45658</v>
      </c>
      <c r="AD1" s="2">
        <f t="shared" si="0"/>
        <v>45689</v>
      </c>
      <c r="AE1" s="2">
        <f t="shared" si="0"/>
        <v>45717</v>
      </c>
      <c r="AF1" s="2">
        <f t="shared" si="0"/>
        <v>45748</v>
      </c>
      <c r="AG1" s="2">
        <f t="shared" si="0"/>
        <v>45778</v>
      </c>
      <c r="AH1" s="2">
        <f t="shared" si="0"/>
        <v>45809</v>
      </c>
      <c r="AI1" s="2">
        <f t="shared" si="0"/>
        <v>45839</v>
      </c>
      <c r="AJ1" s="2">
        <f t="shared" si="0"/>
        <v>45870</v>
      </c>
      <c r="AK1" s="2">
        <f t="shared" si="0"/>
        <v>45901</v>
      </c>
      <c r="AL1" s="2">
        <f t="shared" si="0"/>
        <v>45931</v>
      </c>
      <c r="AM1" s="2">
        <f t="shared" si="0"/>
        <v>45962</v>
      </c>
      <c r="AN1" s="2">
        <f t="shared" si="0"/>
        <v>45992</v>
      </c>
      <c r="AO1" s="2">
        <f t="shared" si="0"/>
        <v>46023</v>
      </c>
      <c r="AP1" s="2">
        <f t="shared" si="0"/>
        <v>46054</v>
      </c>
      <c r="AQ1" s="2">
        <f t="shared" si="0"/>
        <v>46082</v>
      </c>
      <c r="AR1" s="2">
        <f t="shared" si="0"/>
        <v>46113</v>
      </c>
      <c r="AS1" s="2">
        <f t="shared" si="0"/>
        <v>46143</v>
      </c>
      <c r="AT1" s="2">
        <f t="shared" si="0"/>
        <v>46174</v>
      </c>
      <c r="AU1" s="2">
        <f t="shared" si="0"/>
        <v>46204</v>
      </c>
      <c r="AV1" s="2">
        <f t="shared" si="0"/>
        <v>46235</v>
      </c>
      <c r="AW1" s="2">
        <f t="shared" si="0"/>
        <v>46266</v>
      </c>
      <c r="AX1" s="2">
        <f t="shared" si="0"/>
        <v>46296</v>
      </c>
      <c r="AY1" s="2">
        <f t="shared" si="0"/>
        <v>46327</v>
      </c>
      <c r="AZ1" s="2">
        <f t="shared" si="0"/>
        <v>46357</v>
      </c>
      <c r="BA1" s="2">
        <f t="shared" si="0"/>
        <v>46388</v>
      </c>
      <c r="BB1" s="2">
        <f t="shared" si="0"/>
        <v>46419</v>
      </c>
      <c r="BC1" s="2">
        <f t="shared" si="0"/>
        <v>46447</v>
      </c>
      <c r="BD1" s="2">
        <f t="shared" si="0"/>
        <v>46478</v>
      </c>
      <c r="BE1" s="2">
        <f t="shared" si="0"/>
        <v>46508</v>
      </c>
      <c r="BF1" s="2">
        <f t="shared" si="0"/>
        <v>46539</v>
      </c>
      <c r="BG1" s="2">
        <f t="shared" si="0"/>
        <v>46569</v>
      </c>
      <c r="BH1" s="2">
        <f t="shared" si="0"/>
        <v>46600</v>
      </c>
      <c r="BI1" s="2">
        <f t="shared" si="0"/>
        <v>46631</v>
      </c>
      <c r="BJ1" s="2">
        <f t="shared" si="0"/>
        <v>46661</v>
      </c>
      <c r="BK1" s="2">
        <f t="shared" si="0"/>
        <v>46692</v>
      </c>
      <c r="BL1" s="2">
        <f t="shared" si="0"/>
        <v>46722</v>
      </c>
      <c r="BM1" s="2">
        <f t="shared" si="0"/>
        <v>46753</v>
      </c>
      <c r="BN1" s="2">
        <f t="shared" si="0"/>
        <v>46784</v>
      </c>
      <c r="BO1" s="2">
        <f t="shared" si="0"/>
        <v>46813</v>
      </c>
      <c r="BP1" s="2">
        <f t="shared" si="0"/>
        <v>46844</v>
      </c>
      <c r="BQ1" s="2">
        <f t="shared" si="0"/>
        <v>46874</v>
      </c>
      <c r="BR1" s="2">
        <f t="shared" si="0"/>
        <v>46905</v>
      </c>
      <c r="BS1" s="2">
        <f t="shared" si="0"/>
        <v>46935</v>
      </c>
      <c r="BT1" s="2">
        <f t="shared" si="0"/>
        <v>46966</v>
      </c>
      <c r="BU1" s="2">
        <f t="shared" si="0"/>
        <v>46997</v>
      </c>
      <c r="BV1" s="2">
        <f t="shared" si="0"/>
        <v>47027</v>
      </c>
      <c r="BW1" s="2">
        <f t="shared" si="0"/>
        <v>47058</v>
      </c>
      <c r="BX1" s="2">
        <f t="shared" si="0"/>
        <v>47088</v>
      </c>
    </row>
    <row r="2" spans="1:76">
      <c r="A2" s="3" t="s">
        <v>66</v>
      </c>
      <c r="B2" t="s">
        <v>5272</v>
      </c>
      <c r="C2" t="s">
        <v>2</v>
      </c>
      <c r="D2" t="s">
        <v>4967</v>
      </c>
      <c r="E2" t="s">
        <v>4968</v>
      </c>
      <c r="F2" t="s">
        <v>4973</v>
      </c>
      <c r="G2" t="s">
        <v>4983</v>
      </c>
      <c r="H2" t="s">
        <v>4984</v>
      </c>
      <c r="L2" s="126">
        <f>+SUM(N2:BX2)</f>
        <v>1560953.0101600008</v>
      </c>
      <c r="M2">
        <v>4.0000000000000008E-2</v>
      </c>
      <c r="N2">
        <f>+SUMIFS('SU - Miktar-Grp'!D:D,'SU - Miktar-Grp'!$B:$B,'SU TEMİNİ'!$C2)*$M2</f>
        <v>0</v>
      </c>
      <c r="O2">
        <f>+SUMIFS('SU - Miktar-Grp'!E:E,'SU - Miktar-Grp'!$B:$B,'SU TEMİNİ'!$C2)*$M2</f>
        <v>0</v>
      </c>
      <c r="P2">
        <f>+SUMIFS('SU - Miktar-Grp'!F:F,'SU - Miktar-Grp'!$B:$B,'SU TEMİNİ'!$C2)*$M2</f>
        <v>13802.859600000002</v>
      </c>
      <c r="Q2">
        <f>+SUMIFS('SU - Miktar-Grp'!G:G,'SU - Miktar-Grp'!$B:$B,'SU TEMİNİ'!$C2)*$M2</f>
        <v>18767.637200000005</v>
      </c>
      <c r="R2">
        <f>+SUMIFS('SU - Miktar-Grp'!H:H,'SU - Miktar-Grp'!$B:$B,'SU TEMİNİ'!$C2)*$M2</f>
        <v>31028.231600000006</v>
      </c>
      <c r="S2">
        <f>+SUMIFS('SU - Miktar-Grp'!I:I,'SU - Miktar-Grp'!$B:$B,'SU TEMİNİ'!$C2)*$M2</f>
        <v>47079.117600000005</v>
      </c>
      <c r="T2">
        <f>+SUMIFS('SU - Miktar-Grp'!J:J,'SU - Miktar-Grp'!$B:$B,'SU TEMİNİ'!$C2)*$M2</f>
        <v>42663.413120000019</v>
      </c>
      <c r="U2">
        <f>+SUMIFS('SU - Miktar-Grp'!K:K,'SU - Miktar-Grp'!$B:$B,'SU TEMİNİ'!$C2)*$M2</f>
        <v>40574.590280000004</v>
      </c>
      <c r="V2">
        <f>+SUMIFS('SU - Miktar-Grp'!L:L,'SU - Miktar-Grp'!$B:$B,'SU TEMİNİ'!$C2)*$M2</f>
        <v>40020.997839999989</v>
      </c>
      <c r="W2">
        <f>+SUMIFS('SU - Miktar-Grp'!M:M,'SU - Miktar-Grp'!$B:$B,'SU TEMİNİ'!$C2)*$M2</f>
        <v>35508.345760000026</v>
      </c>
      <c r="X2">
        <f>+SUMIFS('SU - Miktar-Grp'!N:N,'SU - Miktar-Grp'!$B:$B,'SU TEMİNİ'!$C2)*$M2</f>
        <v>29472.845710259142</v>
      </c>
      <c r="Y2">
        <f>+SUMIFS('SU - Miktar-Grp'!O:O,'SU - Miktar-Grp'!$B:$B,'SU TEMİNİ'!$C2)*$M2</f>
        <v>41264.690086456227</v>
      </c>
      <c r="Z2">
        <f>+SUMIFS('SU - Miktar-Grp'!P:P,'SU - Miktar-Grp'!$B:$B,'SU TEMİNİ'!$C2)*$M2</f>
        <v>39672.820608044298</v>
      </c>
      <c r="AA2">
        <f>+SUMIFS('SU - Miktar-Grp'!Q:Q,'SU - Miktar-Grp'!$B:$B,'SU TEMİNİ'!$C2)*$M2</f>
        <v>27927.459799156994</v>
      </c>
      <c r="AB2">
        <f>+SUMIFS('SU - Miktar-Grp'!R:R,'SU - Miktar-Grp'!$B:$B,'SU TEMİNİ'!$C2)*$M2</f>
        <v>24347.095000591857</v>
      </c>
      <c r="AC2">
        <f>+SUMIFS('SU - Miktar-Grp'!S:S,'SU - Miktar-Grp'!$B:$B,'SU TEMİNİ'!$C2)*$M2</f>
        <v>41709.120249845721</v>
      </c>
      <c r="AD2">
        <f>+SUMIFS('SU - Miktar-Grp'!T:T,'SU - Miktar-Grp'!$B:$B,'SU TEMİNİ'!$C2)*$M2</f>
        <v>46535.18468073586</v>
      </c>
      <c r="AE2">
        <f>+SUMIFS('SU - Miktar-Grp'!U:U,'SU - Miktar-Grp'!$B:$B,'SU TEMİNİ'!$C2)*$M2</f>
        <v>56267.703192341905</v>
      </c>
      <c r="AF2">
        <f>+SUMIFS('SU - Miktar-Grp'!V:V,'SU - Miktar-Grp'!$B:$B,'SU TEMİNİ'!$C2)*$M2</f>
        <v>56270.056088755104</v>
      </c>
      <c r="AG2">
        <f>+SUMIFS('SU - Miktar-Grp'!W:W,'SU - Miktar-Grp'!$B:$B,'SU TEMİNİ'!$C2)*$M2</f>
        <v>56129.890764048178</v>
      </c>
      <c r="AH2">
        <f>+SUMIFS('SU - Miktar-Grp'!X:X,'SU - Miktar-Grp'!$B:$B,'SU TEMİNİ'!$C2)*$M2</f>
        <v>58147.849104158231</v>
      </c>
      <c r="AI2">
        <f>+SUMIFS('SU - Miktar-Grp'!Y:Y,'SU - Miktar-Grp'!$B:$B,'SU TEMİNİ'!$C2)*$M2</f>
        <v>58145.496207745033</v>
      </c>
      <c r="AJ2">
        <f>+SUMIFS('SU - Miktar-Grp'!Z:Z,'SU - Miktar-Grp'!$B:$B,'SU TEMİNİ'!$C2)*$M2</f>
        <v>58145.496207745033</v>
      </c>
      <c r="AK2">
        <f>+SUMIFS('SU - Miktar-Grp'!AA:AA,'SU - Miktar-Grp'!$B:$B,'SU TEMİNİ'!$C2)*$M2</f>
        <v>58145.496207745033</v>
      </c>
      <c r="AL2">
        <f>+SUMIFS('SU - Miktar-Grp'!AB:AB,'SU - Miktar-Grp'!$B:$B,'SU TEMİNİ'!$C2)*$M2</f>
        <v>58145.496207745033</v>
      </c>
      <c r="AM2">
        <f>+SUMIFS('SU - Miktar-Grp'!AC:AC,'SU - Miktar-Grp'!$B:$B,'SU TEMİNİ'!$C2)*$M2</f>
        <v>42366.161365048465</v>
      </c>
      <c r="AN2">
        <f>+SUMIFS('SU - Miktar-Grp'!AD:AD,'SU - Miktar-Grp'!$B:$B,'SU TEMİNİ'!$C2)*$M2</f>
        <v>34649.248297139275</v>
      </c>
      <c r="AO2">
        <f>+SUMIFS('SU - Miktar-Grp'!AE:AE,'SU - Miktar-Grp'!$B:$B,'SU TEMİNİ'!$C2)*$M2</f>
        <v>34649.248297139275</v>
      </c>
      <c r="AP2">
        <f>+SUMIFS('SU - Miktar-Grp'!AF:AF,'SU - Miktar-Grp'!$B:$B,'SU TEMİNİ'!$C2)*$M2</f>
        <v>42366.161365048465</v>
      </c>
      <c r="AQ2">
        <f>+SUMIFS('SU - Miktar-Grp'!AG:AG,'SU - Miktar-Grp'!$B:$B,'SU TEMİNİ'!$C2)*$M2</f>
        <v>50085.427329370854</v>
      </c>
      <c r="AR2">
        <f>+SUMIFS('SU - Miktar-Grp'!AH:AH,'SU - Miktar-Grp'!$B:$B,'SU TEMİNİ'!$C2)*$M2</f>
        <v>54115.354818720974</v>
      </c>
      <c r="AS2">
        <f>+SUMIFS('SU - Miktar-Grp'!AI:AI,'SU - Miktar-Grp'!$B:$B,'SU TEMİNİ'!$C2)*$M2</f>
        <v>54118.563313829887</v>
      </c>
      <c r="AT2">
        <f>+SUMIFS('SU - Miktar-Grp'!AJ:AJ,'SU - Miktar-Grp'!$B:$B,'SU TEMİNİ'!$C2)*$M2</f>
        <v>54119.846711873462</v>
      </c>
      <c r="AU2">
        <f>+SUMIFS('SU - Miktar-Grp'!AK:AK,'SU - Miktar-Grp'!$B:$B,'SU TEMİNİ'!$C2)*$M2</f>
        <v>54118.563313829887</v>
      </c>
      <c r="AV2">
        <f>+SUMIFS('SU - Miktar-Grp'!AL:AL,'SU - Miktar-Grp'!$B:$B,'SU TEMİNİ'!$C2)*$M2</f>
        <v>52102.957870133054</v>
      </c>
      <c r="AW2">
        <f>+SUMIFS('SU - Miktar-Grp'!AM:AM,'SU - Miktar-Grp'!$B:$B,'SU TEMİNİ'!$C2)*$M2</f>
        <v>50823.532158692055</v>
      </c>
      <c r="AX2">
        <f>+SUMIFS('SU - Miktar-Grp'!AN:AN,'SU - Miktar-Grp'!$B:$B,'SU TEMİNİ'!$C2)*$M2</f>
        <v>19219.700154799437</v>
      </c>
      <c r="AY2">
        <f>+SUMIFS('SU - Miktar-Grp'!AO:AO,'SU - Miktar-Grp'!$B:$B,'SU TEMİNİ'!$C2)*$M2</f>
        <v>19221.518302027824</v>
      </c>
      <c r="AZ2">
        <f>+SUMIFS('SU - Miktar-Grp'!AP:AP,'SU - Miktar-Grp'!$B:$B,'SU TEMİNİ'!$C2)*$M2</f>
        <v>19224.833746973698</v>
      </c>
      <c r="BA2">
        <f>+SUMIFS('SU - Miktar-Grp'!AQ:AQ,'SU - Miktar-Grp'!$B:$B,'SU TEMİNİ'!$C2)*$M2</f>
        <v>0</v>
      </c>
      <c r="BB2">
        <f>+SUMIFS('SU - Miktar-Grp'!AR:AR,'SU - Miktar-Grp'!$B:$B,'SU TEMİNİ'!$C2)*$M2</f>
        <v>0</v>
      </c>
      <c r="BC2">
        <f>+SUMIFS('SU - Miktar-Grp'!AS:AS,'SU - Miktar-Grp'!$B:$B,'SU TEMİNİ'!$C2)*$M2</f>
        <v>0</v>
      </c>
      <c r="BD2">
        <f>+SUMIFS('SU - Miktar-Grp'!AT:AT,'SU - Miktar-Grp'!$B:$B,'SU TEMİNİ'!$C2)*$M2</f>
        <v>0</v>
      </c>
      <c r="BE2">
        <f>+SUMIFS('SU - Miktar-Grp'!AU:AU,'SU - Miktar-Grp'!$B:$B,'SU TEMİNİ'!$C2)*$M2</f>
        <v>0</v>
      </c>
      <c r="BF2">
        <f>+SUMIFS('SU - Miktar-Grp'!AV:AV,'SU - Miktar-Grp'!$B:$B,'SU TEMİNİ'!$C2)*$M2</f>
        <v>0</v>
      </c>
      <c r="BG2">
        <f>+SUMIFS('SU - Miktar-Grp'!AW:AW,'SU - Miktar-Grp'!$B:$B,'SU TEMİNİ'!$C2)*$M2</f>
        <v>0</v>
      </c>
      <c r="BH2">
        <f>+SUMIFS('SU - Miktar-Grp'!AX:AX,'SU - Miktar-Grp'!$B:$B,'SU TEMİNİ'!$C2)*$M2</f>
        <v>0</v>
      </c>
      <c r="BI2">
        <f>+SUMIFS('SU - Miktar-Grp'!AY:AY,'SU - Miktar-Grp'!$B:$B,'SU TEMİNİ'!$C2)*$M2</f>
        <v>0</v>
      </c>
      <c r="BJ2">
        <f>+SUMIFS('SU - Miktar-Grp'!AZ:AZ,'SU - Miktar-Grp'!$B:$B,'SU TEMİNİ'!$C2)*$M2</f>
        <v>0</v>
      </c>
      <c r="BK2">
        <f>+SUMIFS('SU - Miktar-Grp'!BA:BA,'SU - Miktar-Grp'!$B:$B,'SU TEMİNİ'!$C2)*$M2</f>
        <v>0</v>
      </c>
      <c r="BL2">
        <f>+SUMIFS('SU - Miktar-Grp'!BB:BB,'SU - Miktar-Grp'!$B:$B,'SU TEMİNİ'!$C2)*$M2</f>
        <v>0</v>
      </c>
      <c r="BM2">
        <f>+SUMIFS('SU - Miktar-Grp'!BC:BC,'SU - Miktar-Grp'!$B:$B,'SU TEMİNİ'!$C2)*$M2</f>
        <v>0</v>
      </c>
      <c r="BN2">
        <f>+SUMIFS('SU - Miktar-Grp'!BD:BD,'SU - Miktar-Grp'!$B:$B,'SU TEMİNİ'!$C2)*$M2</f>
        <v>0</v>
      </c>
      <c r="BO2">
        <f>+SUMIFS('SU - Miktar-Grp'!BE:BE,'SU - Miktar-Grp'!$B:$B,'SU TEMİNİ'!$C2)*$M2</f>
        <v>0</v>
      </c>
      <c r="BP2">
        <f>+SUMIFS('SU - Miktar-Grp'!BF:BF,'SU - Miktar-Grp'!$B:$B,'SU TEMİNİ'!$C2)*$M2</f>
        <v>0</v>
      </c>
      <c r="BQ2">
        <f>+SUMIFS('SU - Miktar-Grp'!BG:BG,'SU - Miktar-Grp'!$B:$B,'SU TEMİNİ'!$C2)*$M2</f>
        <v>0</v>
      </c>
      <c r="BR2">
        <f>+SUMIFS('SU - Miktar-Grp'!BH:BH,'SU - Miktar-Grp'!$B:$B,'SU TEMİNİ'!$C2)*$M2</f>
        <v>0</v>
      </c>
      <c r="BS2">
        <f>+SUMIFS('SU - Miktar-Grp'!BI:BI,'SU - Miktar-Grp'!$B:$B,'SU TEMİNİ'!$C2)*$M2</f>
        <v>0</v>
      </c>
      <c r="BT2">
        <f>+SUMIFS('SU - Miktar-Grp'!BJ:BJ,'SU - Miktar-Grp'!$B:$B,'SU TEMİNİ'!$C2)*$M2</f>
        <v>0</v>
      </c>
      <c r="BU2">
        <f>+SUMIFS('SU - Miktar-Grp'!BK:BK,'SU - Miktar-Grp'!$B:$B,'SU TEMİNİ'!$C2)*$M2</f>
        <v>0</v>
      </c>
      <c r="BV2">
        <f>+SUMIFS('SU - Miktar-Grp'!BL:BL,'SU - Miktar-Grp'!$B:$B,'SU TEMİNİ'!$C2)*$M2</f>
        <v>0</v>
      </c>
      <c r="BW2">
        <f>+SUMIFS('SU - Miktar-Grp'!BM:BM,'SU - Miktar-Grp'!$B:$B,'SU TEMİNİ'!$C2)*$M2</f>
        <v>0</v>
      </c>
      <c r="BX2">
        <f>+SUMIFS('SU - Miktar-Grp'!BN:BN,'SU - Miktar-Grp'!$B:$B,'SU TEMİNİ'!$C2)*$M2</f>
        <v>0</v>
      </c>
    </row>
    <row r="3" spans="1:76">
      <c r="A3" s="3" t="s">
        <v>66</v>
      </c>
      <c r="B3" t="s">
        <v>5272</v>
      </c>
      <c r="C3" t="s">
        <v>2615</v>
      </c>
      <c r="D3" t="s">
        <v>4967</v>
      </c>
      <c r="E3" t="s">
        <v>4968</v>
      </c>
      <c r="F3" t="s">
        <v>4973</v>
      </c>
      <c r="G3" t="s">
        <v>4983</v>
      </c>
      <c r="H3" t="s">
        <v>4984</v>
      </c>
      <c r="L3" s="126">
        <f t="shared" ref="L3:L28" si="1">+SUM(N3:BX3)</f>
        <v>887000</v>
      </c>
      <c r="M3">
        <v>0.1</v>
      </c>
      <c r="N3">
        <f>+SUMIFS('SU - Miktar-Grp'!D:D,'SU - Miktar-Grp'!$B:$B,'SU TEMİNİ'!$C3)*$M3</f>
        <v>0</v>
      </c>
      <c r="O3">
        <f>+SUMIFS('SU - Miktar-Grp'!E:E,'SU - Miktar-Grp'!$B:$B,'SU TEMİNİ'!$C3)*$M3</f>
        <v>0</v>
      </c>
      <c r="P3">
        <f>+SUMIFS('SU - Miktar-Grp'!F:F,'SU - Miktar-Grp'!$B:$B,'SU TEMİNİ'!$C3)*$M3</f>
        <v>0</v>
      </c>
      <c r="Q3">
        <f>+SUMIFS('SU - Miktar-Grp'!G:G,'SU - Miktar-Grp'!$B:$B,'SU TEMİNİ'!$C3)*$M3</f>
        <v>0</v>
      </c>
      <c r="R3">
        <f>+SUMIFS('SU - Miktar-Grp'!H:H,'SU - Miktar-Grp'!$B:$B,'SU TEMİNİ'!$C3)*$M3</f>
        <v>0</v>
      </c>
      <c r="S3">
        <f>+SUMIFS('SU - Miktar-Grp'!I:I,'SU - Miktar-Grp'!$B:$B,'SU TEMİNİ'!$C3)*$M3</f>
        <v>0</v>
      </c>
      <c r="T3">
        <f>+SUMIFS('SU - Miktar-Grp'!J:J,'SU - Miktar-Grp'!$B:$B,'SU TEMİNİ'!$C3)*$M3</f>
        <v>0</v>
      </c>
      <c r="U3">
        <f>+SUMIFS('SU - Miktar-Grp'!K:K,'SU - Miktar-Grp'!$B:$B,'SU TEMİNİ'!$C3)*$M3</f>
        <v>0</v>
      </c>
      <c r="V3">
        <f>+SUMIFS('SU - Miktar-Grp'!L:L,'SU - Miktar-Grp'!$B:$B,'SU TEMİNİ'!$C3)*$M3</f>
        <v>0</v>
      </c>
      <c r="W3">
        <f>+SUMIFS('SU - Miktar-Grp'!M:M,'SU - Miktar-Grp'!$B:$B,'SU TEMİNİ'!$C3)*$M3</f>
        <v>0</v>
      </c>
      <c r="X3">
        <f>+SUMIFS('SU - Miktar-Grp'!N:N,'SU - Miktar-Grp'!$B:$B,'SU TEMİNİ'!$C3)*$M3</f>
        <v>5000</v>
      </c>
      <c r="Y3">
        <f>+SUMIFS('SU - Miktar-Grp'!O:O,'SU - Miktar-Grp'!$B:$B,'SU TEMİNİ'!$C3)*$M3</f>
        <v>30000</v>
      </c>
      <c r="Z3">
        <f>+SUMIFS('SU - Miktar-Grp'!P:P,'SU - Miktar-Grp'!$B:$B,'SU TEMİNİ'!$C3)*$M3</f>
        <v>30000</v>
      </c>
      <c r="AA3">
        <f>+SUMIFS('SU - Miktar-Grp'!Q:Q,'SU - Miktar-Grp'!$B:$B,'SU TEMİNİ'!$C3)*$M3</f>
        <v>30000</v>
      </c>
      <c r="AB3">
        <f>+SUMIFS('SU - Miktar-Grp'!R:R,'SU - Miktar-Grp'!$B:$B,'SU TEMİNİ'!$C3)*$M3</f>
        <v>27000</v>
      </c>
      <c r="AC3">
        <f>+SUMIFS('SU - Miktar-Grp'!S:S,'SU - Miktar-Grp'!$B:$B,'SU TEMİNİ'!$C3)*$M3</f>
        <v>15000</v>
      </c>
      <c r="AD3">
        <f>+SUMIFS('SU - Miktar-Grp'!T:T,'SU - Miktar-Grp'!$B:$B,'SU TEMİNİ'!$C3)*$M3</f>
        <v>15000</v>
      </c>
      <c r="AE3">
        <f>+SUMIFS('SU - Miktar-Grp'!U:U,'SU - Miktar-Grp'!$B:$B,'SU TEMİNİ'!$C3)*$M3</f>
        <v>25000</v>
      </c>
      <c r="AF3">
        <f>+SUMIFS('SU - Miktar-Grp'!V:V,'SU - Miktar-Grp'!$B:$B,'SU TEMİNİ'!$C3)*$M3</f>
        <v>35000</v>
      </c>
      <c r="AG3">
        <f>+SUMIFS('SU - Miktar-Grp'!W:W,'SU - Miktar-Grp'!$B:$B,'SU TEMİNİ'!$C3)*$M3</f>
        <v>45000</v>
      </c>
      <c r="AH3">
        <f>+SUMIFS('SU - Miktar-Grp'!X:X,'SU - Miktar-Grp'!$B:$B,'SU TEMİNİ'!$C3)*$M3</f>
        <v>45000</v>
      </c>
      <c r="AI3">
        <f>+SUMIFS('SU - Miktar-Grp'!Y:Y,'SU - Miktar-Grp'!$B:$B,'SU TEMİNİ'!$C3)*$M3</f>
        <v>45000</v>
      </c>
      <c r="AJ3">
        <f>+SUMIFS('SU - Miktar-Grp'!Z:Z,'SU - Miktar-Grp'!$B:$B,'SU TEMİNİ'!$C3)*$M3</f>
        <v>45000</v>
      </c>
      <c r="AK3">
        <f>+SUMIFS('SU - Miktar-Grp'!AA:AA,'SU - Miktar-Grp'!$B:$B,'SU TEMİNİ'!$C3)*$M3</f>
        <v>45000</v>
      </c>
      <c r="AL3">
        <f>+SUMIFS('SU - Miktar-Grp'!AB:AB,'SU - Miktar-Grp'!$B:$B,'SU TEMİNİ'!$C3)*$M3</f>
        <v>45000</v>
      </c>
      <c r="AM3">
        <f>+SUMIFS('SU - Miktar-Grp'!AC:AC,'SU - Miktar-Grp'!$B:$B,'SU TEMİNİ'!$C3)*$M3</f>
        <v>30000</v>
      </c>
      <c r="AN3">
        <f>+SUMIFS('SU - Miktar-Grp'!AD:AD,'SU - Miktar-Grp'!$B:$B,'SU TEMİNİ'!$C3)*$M3</f>
        <v>10000</v>
      </c>
      <c r="AO3">
        <f>+SUMIFS('SU - Miktar-Grp'!AE:AE,'SU - Miktar-Grp'!$B:$B,'SU TEMİNİ'!$C3)*$M3</f>
        <v>0</v>
      </c>
      <c r="AP3">
        <f>+SUMIFS('SU - Miktar-Grp'!AF:AF,'SU - Miktar-Grp'!$B:$B,'SU TEMİNİ'!$C3)*$M3</f>
        <v>15000</v>
      </c>
      <c r="AQ3">
        <f>+SUMIFS('SU - Miktar-Grp'!AG:AG,'SU - Miktar-Grp'!$B:$B,'SU TEMİNİ'!$C3)*$M3</f>
        <v>25000</v>
      </c>
      <c r="AR3">
        <f>+SUMIFS('SU - Miktar-Grp'!AH:AH,'SU - Miktar-Grp'!$B:$B,'SU TEMİNİ'!$C3)*$M3</f>
        <v>35000</v>
      </c>
      <c r="AS3">
        <f>+SUMIFS('SU - Miktar-Grp'!AI:AI,'SU - Miktar-Grp'!$B:$B,'SU TEMİNİ'!$C3)*$M3</f>
        <v>45000</v>
      </c>
      <c r="AT3">
        <f>+SUMIFS('SU - Miktar-Grp'!AJ:AJ,'SU - Miktar-Grp'!$B:$B,'SU TEMİNİ'!$C3)*$M3</f>
        <v>45000</v>
      </c>
      <c r="AU3">
        <f>+SUMIFS('SU - Miktar-Grp'!AK:AK,'SU - Miktar-Grp'!$B:$B,'SU TEMİNİ'!$C3)*$M3</f>
        <v>45000</v>
      </c>
      <c r="AV3">
        <f>+SUMIFS('SU - Miktar-Grp'!AL:AL,'SU - Miktar-Grp'!$B:$B,'SU TEMİNİ'!$C3)*$M3</f>
        <v>45000</v>
      </c>
      <c r="AW3">
        <f>+SUMIFS('SU - Miktar-Grp'!AM:AM,'SU - Miktar-Grp'!$B:$B,'SU TEMİNİ'!$C3)*$M3</f>
        <v>45000</v>
      </c>
      <c r="AX3">
        <f>+SUMIFS('SU - Miktar-Grp'!AN:AN,'SU - Miktar-Grp'!$B:$B,'SU TEMİNİ'!$C3)*$M3</f>
        <v>45000</v>
      </c>
      <c r="AY3">
        <f>+SUMIFS('SU - Miktar-Grp'!AO:AO,'SU - Miktar-Grp'!$B:$B,'SU TEMİNİ'!$C3)*$M3</f>
        <v>20000</v>
      </c>
      <c r="AZ3">
        <f>+SUMIFS('SU - Miktar-Grp'!AP:AP,'SU - Miktar-Grp'!$B:$B,'SU TEMİNİ'!$C3)*$M3</f>
        <v>0</v>
      </c>
      <c r="BA3">
        <f>+SUMIFS('SU - Miktar-Grp'!AQ:AQ,'SU - Miktar-Grp'!$B:$B,'SU TEMİNİ'!$C3)*$M3</f>
        <v>0</v>
      </c>
      <c r="BB3">
        <f>+SUMIFS('SU - Miktar-Grp'!AR:AR,'SU - Miktar-Grp'!$B:$B,'SU TEMİNİ'!$C3)*$M3</f>
        <v>0</v>
      </c>
      <c r="BC3">
        <f>+SUMIFS('SU - Miktar-Grp'!AS:AS,'SU - Miktar-Grp'!$B:$B,'SU TEMİNİ'!$C3)*$M3</f>
        <v>0</v>
      </c>
      <c r="BD3">
        <f>+SUMIFS('SU - Miktar-Grp'!AT:AT,'SU - Miktar-Grp'!$B:$B,'SU TEMİNİ'!$C3)*$M3</f>
        <v>0</v>
      </c>
      <c r="BE3">
        <f>+SUMIFS('SU - Miktar-Grp'!AU:AU,'SU - Miktar-Grp'!$B:$B,'SU TEMİNİ'!$C3)*$M3</f>
        <v>0</v>
      </c>
      <c r="BF3">
        <f>+SUMIFS('SU - Miktar-Grp'!AV:AV,'SU - Miktar-Grp'!$B:$B,'SU TEMİNİ'!$C3)*$M3</f>
        <v>0</v>
      </c>
      <c r="BG3">
        <f>+SUMIFS('SU - Miktar-Grp'!AW:AW,'SU - Miktar-Grp'!$B:$B,'SU TEMİNİ'!$C3)*$M3</f>
        <v>0</v>
      </c>
      <c r="BH3">
        <f>+SUMIFS('SU - Miktar-Grp'!AX:AX,'SU - Miktar-Grp'!$B:$B,'SU TEMİNİ'!$C3)*$M3</f>
        <v>0</v>
      </c>
      <c r="BI3">
        <f>+SUMIFS('SU - Miktar-Grp'!AY:AY,'SU - Miktar-Grp'!$B:$B,'SU TEMİNİ'!$C3)*$M3</f>
        <v>0</v>
      </c>
      <c r="BJ3">
        <f>+SUMIFS('SU - Miktar-Grp'!AZ:AZ,'SU - Miktar-Grp'!$B:$B,'SU TEMİNİ'!$C3)*$M3</f>
        <v>0</v>
      </c>
      <c r="BK3">
        <f>+SUMIFS('SU - Miktar-Grp'!BA:BA,'SU - Miktar-Grp'!$B:$B,'SU TEMİNİ'!$C3)*$M3</f>
        <v>0</v>
      </c>
      <c r="BL3">
        <f>+SUMIFS('SU - Miktar-Grp'!BB:BB,'SU - Miktar-Grp'!$B:$B,'SU TEMİNİ'!$C3)*$M3</f>
        <v>0</v>
      </c>
      <c r="BM3">
        <f>+SUMIFS('SU - Miktar-Grp'!BC:BC,'SU - Miktar-Grp'!$B:$B,'SU TEMİNİ'!$C3)*$M3</f>
        <v>0</v>
      </c>
      <c r="BN3">
        <f>+SUMIFS('SU - Miktar-Grp'!BD:BD,'SU - Miktar-Grp'!$B:$B,'SU TEMİNİ'!$C3)*$M3</f>
        <v>0</v>
      </c>
      <c r="BO3">
        <f>+SUMIFS('SU - Miktar-Grp'!BE:BE,'SU - Miktar-Grp'!$B:$B,'SU TEMİNİ'!$C3)*$M3</f>
        <v>0</v>
      </c>
      <c r="BP3">
        <f>+SUMIFS('SU - Miktar-Grp'!BF:BF,'SU - Miktar-Grp'!$B:$B,'SU TEMİNİ'!$C3)*$M3</f>
        <v>0</v>
      </c>
      <c r="BQ3">
        <f>+SUMIFS('SU - Miktar-Grp'!BG:BG,'SU - Miktar-Grp'!$B:$B,'SU TEMİNİ'!$C3)*$M3</f>
        <v>0</v>
      </c>
      <c r="BR3">
        <f>+SUMIFS('SU - Miktar-Grp'!BH:BH,'SU - Miktar-Grp'!$B:$B,'SU TEMİNİ'!$C3)*$M3</f>
        <v>0</v>
      </c>
      <c r="BS3">
        <f>+SUMIFS('SU - Miktar-Grp'!BI:BI,'SU - Miktar-Grp'!$B:$B,'SU TEMİNİ'!$C3)*$M3</f>
        <v>0</v>
      </c>
      <c r="BT3">
        <f>+SUMIFS('SU - Miktar-Grp'!BJ:BJ,'SU - Miktar-Grp'!$B:$B,'SU TEMİNİ'!$C3)*$M3</f>
        <v>0</v>
      </c>
      <c r="BU3">
        <f>+SUMIFS('SU - Miktar-Grp'!BK:BK,'SU - Miktar-Grp'!$B:$B,'SU TEMİNİ'!$C3)*$M3</f>
        <v>0</v>
      </c>
      <c r="BV3">
        <f>+SUMIFS('SU - Miktar-Grp'!BL:BL,'SU - Miktar-Grp'!$B:$B,'SU TEMİNİ'!$C3)*$M3</f>
        <v>0</v>
      </c>
      <c r="BW3">
        <f>+SUMIFS('SU - Miktar-Grp'!BM:BM,'SU - Miktar-Grp'!$B:$B,'SU TEMİNİ'!$C3)*$M3</f>
        <v>0</v>
      </c>
      <c r="BX3">
        <f>+SUMIFS('SU - Miktar-Grp'!BN:BN,'SU - Miktar-Grp'!$B:$B,'SU TEMİNİ'!$C3)*$M3</f>
        <v>0</v>
      </c>
    </row>
    <row r="4" spans="1:76">
      <c r="A4" s="3" t="s">
        <v>66</v>
      </c>
      <c r="B4" t="s">
        <v>5272</v>
      </c>
      <c r="C4" t="s">
        <v>2616</v>
      </c>
      <c r="D4" t="s">
        <v>4967</v>
      </c>
      <c r="E4" t="s">
        <v>4968</v>
      </c>
      <c r="F4" t="s">
        <v>4973</v>
      </c>
      <c r="G4" t="s">
        <v>4983</v>
      </c>
      <c r="H4" t="s">
        <v>4984</v>
      </c>
      <c r="L4" s="126">
        <f t="shared" si="1"/>
        <v>208525.80000000005</v>
      </c>
      <c r="M4">
        <v>0.1</v>
      </c>
      <c r="N4">
        <f>+SUMIFS('SU - Miktar-Grp'!D:D,'SU - Miktar-Grp'!$B:$B,'SU TEMİNİ'!$C4)*$M4</f>
        <v>0</v>
      </c>
      <c r="O4">
        <f>+SUMIFS('SU - Miktar-Grp'!E:E,'SU - Miktar-Grp'!$B:$B,'SU TEMİNİ'!$C4)*$M4</f>
        <v>0</v>
      </c>
      <c r="P4">
        <f>+SUMIFS('SU - Miktar-Grp'!F:F,'SU - Miktar-Grp'!$B:$B,'SU TEMİNİ'!$C4)*$M4</f>
        <v>0</v>
      </c>
      <c r="Q4">
        <f>+SUMIFS('SU - Miktar-Grp'!G:G,'SU - Miktar-Grp'!$B:$B,'SU TEMİNİ'!$C4)*$M4</f>
        <v>0</v>
      </c>
      <c r="R4">
        <f>+SUMIFS('SU - Miktar-Grp'!H:H,'SU - Miktar-Grp'!$B:$B,'SU TEMİNİ'!$C4)*$M4</f>
        <v>0</v>
      </c>
      <c r="S4">
        <f>+SUMIFS('SU - Miktar-Grp'!I:I,'SU - Miktar-Grp'!$B:$B,'SU TEMİNİ'!$C4)*$M4</f>
        <v>0</v>
      </c>
      <c r="T4">
        <f>+SUMIFS('SU - Miktar-Grp'!J:J,'SU - Miktar-Grp'!$B:$B,'SU TEMİNİ'!$C4)*$M4</f>
        <v>0</v>
      </c>
      <c r="U4">
        <f>+SUMIFS('SU - Miktar-Grp'!K:K,'SU - Miktar-Grp'!$B:$B,'SU TEMİNİ'!$C4)*$M4</f>
        <v>0</v>
      </c>
      <c r="V4">
        <f>+SUMIFS('SU - Miktar-Grp'!L:L,'SU - Miktar-Grp'!$B:$B,'SU TEMİNİ'!$C4)*$M4</f>
        <v>228.6754</v>
      </c>
      <c r="W4">
        <f>+SUMIFS('SU - Miktar-Grp'!M:M,'SU - Miktar-Grp'!$B:$B,'SU TEMİNİ'!$C4)*$M4</f>
        <v>44.234000000000016</v>
      </c>
      <c r="X4">
        <f>+SUMIFS('SU - Miktar-Grp'!N:N,'SU - Miktar-Grp'!$B:$B,'SU TEMİNİ'!$C4)*$M4</f>
        <v>1997.3824879223585</v>
      </c>
      <c r="Y4">
        <f>+SUMIFS('SU - Miktar-Grp'!O:O,'SU - Miktar-Grp'!$B:$B,'SU TEMİNİ'!$C4)*$M4</f>
        <v>4993.4562198058957</v>
      </c>
      <c r="Z4">
        <f>+SUMIFS('SU - Miktar-Grp'!P:P,'SU - Miktar-Grp'!$B:$B,'SU TEMİNİ'!$C4)*$M4</f>
        <v>4993.4562198058957</v>
      </c>
      <c r="AA4">
        <f>+SUMIFS('SU - Miktar-Grp'!Q:Q,'SU - Miktar-Grp'!$B:$B,'SU TEMİNİ'!$C4)*$M4</f>
        <v>4993.4562198058957</v>
      </c>
      <c r="AB4">
        <f>+SUMIFS('SU - Miktar-Grp'!R:R,'SU - Miktar-Grp'!$B:$B,'SU TEMİNİ'!$C4)*$M4</f>
        <v>4993.4562198058957</v>
      </c>
      <c r="AC4">
        <f>+SUMIFS('SU - Miktar-Grp'!S:S,'SU - Miktar-Grp'!$B:$B,'SU TEMİNİ'!$C4)*$M4</f>
        <v>2496.7281099029478</v>
      </c>
      <c r="AD4">
        <f>+SUMIFS('SU - Miktar-Grp'!T:T,'SU - Miktar-Grp'!$B:$B,'SU TEMİNİ'!$C4)*$M4</f>
        <v>4993.4562198058957</v>
      </c>
      <c r="AE4">
        <f>+SUMIFS('SU - Miktar-Grp'!U:U,'SU - Miktar-Grp'!$B:$B,'SU TEMİNİ'!$C4)*$M4</f>
        <v>4993.4562198058957</v>
      </c>
      <c r="AF4">
        <f>+SUMIFS('SU - Miktar-Grp'!V:V,'SU - Miktar-Grp'!$B:$B,'SU TEMİNİ'!$C4)*$M4</f>
        <v>4993.4562198058957</v>
      </c>
      <c r="AG4">
        <f>+SUMIFS('SU - Miktar-Grp'!W:W,'SU - Miktar-Grp'!$B:$B,'SU TEMİNİ'!$C4)*$M4</f>
        <v>9986.9124396117913</v>
      </c>
      <c r="AH4">
        <f>+SUMIFS('SU - Miktar-Grp'!X:X,'SU - Miktar-Grp'!$B:$B,'SU TEMİNİ'!$C4)*$M4</f>
        <v>12483.640549514737</v>
      </c>
      <c r="AI4">
        <f>+SUMIFS('SU - Miktar-Grp'!Y:Y,'SU - Miktar-Grp'!$B:$B,'SU TEMİNİ'!$C4)*$M4</f>
        <v>12483.640549514737</v>
      </c>
      <c r="AJ4">
        <f>+SUMIFS('SU - Miktar-Grp'!Z:Z,'SU - Miktar-Grp'!$B:$B,'SU TEMİNİ'!$C4)*$M4</f>
        <v>12483.640549514737</v>
      </c>
      <c r="AK4">
        <f>+SUMIFS('SU - Miktar-Grp'!AA:AA,'SU - Miktar-Grp'!$B:$B,'SU TEMİNİ'!$C4)*$M4</f>
        <v>9986.9124396117913</v>
      </c>
      <c r="AL4">
        <f>+SUMIFS('SU - Miktar-Grp'!AB:AB,'SU - Miktar-Grp'!$B:$B,'SU TEMİNİ'!$C4)*$M4</f>
        <v>9986.9124396117913</v>
      </c>
      <c r="AM4">
        <f>+SUMIFS('SU - Miktar-Grp'!AC:AC,'SU - Miktar-Grp'!$B:$B,'SU TEMİNİ'!$C4)*$M4</f>
        <v>4993.4562198058957</v>
      </c>
      <c r="AN4">
        <f>+SUMIFS('SU - Miktar-Grp'!AD:AD,'SU - Miktar-Grp'!$B:$B,'SU TEMİNİ'!$C4)*$M4</f>
        <v>2496.7281099029478</v>
      </c>
      <c r="AO4">
        <f>+SUMIFS('SU - Miktar-Grp'!AE:AE,'SU - Miktar-Grp'!$B:$B,'SU TEMİNİ'!$C4)*$M4</f>
        <v>2496.7281099029478</v>
      </c>
      <c r="AP4">
        <f>+SUMIFS('SU - Miktar-Grp'!AF:AF,'SU - Miktar-Grp'!$B:$B,'SU TEMİNİ'!$C4)*$M4</f>
        <v>2496.7281099029478</v>
      </c>
      <c r="AQ4">
        <f>+SUMIFS('SU - Miktar-Grp'!AG:AG,'SU - Miktar-Grp'!$B:$B,'SU TEMİNİ'!$C4)*$M4</f>
        <v>4993.4562198058957</v>
      </c>
      <c r="AR4">
        <f>+SUMIFS('SU - Miktar-Grp'!AH:AH,'SU - Miktar-Grp'!$B:$B,'SU TEMİNİ'!$C4)*$M4</f>
        <v>7490.1843297088435</v>
      </c>
      <c r="AS4">
        <f>+SUMIFS('SU - Miktar-Grp'!AI:AI,'SU - Miktar-Grp'!$B:$B,'SU TEMİNİ'!$C4)*$M4</f>
        <v>12483.640549514737</v>
      </c>
      <c r="AT4">
        <f>+SUMIFS('SU - Miktar-Grp'!AJ:AJ,'SU - Miktar-Grp'!$B:$B,'SU TEMİNİ'!$C4)*$M4</f>
        <v>12483.640549514737</v>
      </c>
      <c r="AU4">
        <f>+SUMIFS('SU - Miktar-Grp'!AK:AK,'SU - Miktar-Grp'!$B:$B,'SU TEMİNİ'!$C4)*$M4</f>
        <v>12483.640549514737</v>
      </c>
      <c r="AV4">
        <f>+SUMIFS('SU - Miktar-Grp'!AL:AL,'SU - Miktar-Grp'!$B:$B,'SU TEMİNİ'!$C4)*$M4</f>
        <v>12483.640549514737</v>
      </c>
      <c r="AW4">
        <f>+SUMIFS('SU - Miktar-Grp'!AM:AM,'SU - Miktar-Grp'!$B:$B,'SU TEMİNİ'!$C4)*$M4</f>
        <v>12483.640549514737</v>
      </c>
      <c r="AX4">
        <f>+SUMIFS('SU - Miktar-Grp'!AN:AN,'SU - Miktar-Grp'!$B:$B,'SU TEMİNİ'!$C4)*$M4</f>
        <v>9986.9124396117913</v>
      </c>
      <c r="AY4">
        <f>+SUMIFS('SU - Miktar-Grp'!AO:AO,'SU - Miktar-Grp'!$B:$B,'SU TEMİNİ'!$C4)*$M4</f>
        <v>4020.5312099389143</v>
      </c>
      <c r="AZ4">
        <f>+SUMIFS('SU - Miktar-Grp'!AP:AP,'SU - Miktar-Grp'!$B:$B,'SU TEMİNİ'!$C4)*$M4</f>
        <v>0</v>
      </c>
      <c r="BA4">
        <f>+SUMIFS('SU - Miktar-Grp'!AQ:AQ,'SU - Miktar-Grp'!$B:$B,'SU TEMİNİ'!$C4)*$M4</f>
        <v>0</v>
      </c>
      <c r="BB4">
        <f>+SUMIFS('SU - Miktar-Grp'!AR:AR,'SU - Miktar-Grp'!$B:$B,'SU TEMİNİ'!$C4)*$M4</f>
        <v>0</v>
      </c>
      <c r="BC4">
        <f>+SUMIFS('SU - Miktar-Grp'!AS:AS,'SU - Miktar-Grp'!$B:$B,'SU TEMİNİ'!$C4)*$M4</f>
        <v>0</v>
      </c>
      <c r="BD4">
        <f>+SUMIFS('SU - Miktar-Grp'!AT:AT,'SU - Miktar-Grp'!$B:$B,'SU TEMİNİ'!$C4)*$M4</f>
        <v>0</v>
      </c>
      <c r="BE4">
        <f>+SUMIFS('SU - Miktar-Grp'!AU:AU,'SU - Miktar-Grp'!$B:$B,'SU TEMİNİ'!$C4)*$M4</f>
        <v>0</v>
      </c>
      <c r="BF4">
        <f>+SUMIFS('SU - Miktar-Grp'!AV:AV,'SU - Miktar-Grp'!$B:$B,'SU TEMİNİ'!$C4)*$M4</f>
        <v>0</v>
      </c>
      <c r="BG4">
        <f>+SUMIFS('SU - Miktar-Grp'!AW:AW,'SU - Miktar-Grp'!$B:$B,'SU TEMİNİ'!$C4)*$M4</f>
        <v>0</v>
      </c>
      <c r="BH4">
        <f>+SUMIFS('SU - Miktar-Grp'!AX:AX,'SU - Miktar-Grp'!$B:$B,'SU TEMİNİ'!$C4)*$M4</f>
        <v>0</v>
      </c>
      <c r="BI4">
        <f>+SUMIFS('SU - Miktar-Grp'!AY:AY,'SU - Miktar-Grp'!$B:$B,'SU TEMİNİ'!$C4)*$M4</f>
        <v>0</v>
      </c>
      <c r="BJ4">
        <f>+SUMIFS('SU - Miktar-Grp'!AZ:AZ,'SU - Miktar-Grp'!$B:$B,'SU TEMİNİ'!$C4)*$M4</f>
        <v>0</v>
      </c>
      <c r="BK4">
        <f>+SUMIFS('SU - Miktar-Grp'!BA:BA,'SU - Miktar-Grp'!$B:$B,'SU TEMİNİ'!$C4)*$M4</f>
        <v>0</v>
      </c>
      <c r="BL4">
        <f>+SUMIFS('SU - Miktar-Grp'!BB:BB,'SU - Miktar-Grp'!$B:$B,'SU TEMİNİ'!$C4)*$M4</f>
        <v>0</v>
      </c>
      <c r="BM4">
        <f>+SUMIFS('SU - Miktar-Grp'!BC:BC,'SU - Miktar-Grp'!$B:$B,'SU TEMİNİ'!$C4)*$M4</f>
        <v>0</v>
      </c>
      <c r="BN4">
        <f>+SUMIFS('SU - Miktar-Grp'!BD:BD,'SU - Miktar-Grp'!$B:$B,'SU TEMİNİ'!$C4)*$M4</f>
        <v>0</v>
      </c>
      <c r="BO4">
        <f>+SUMIFS('SU - Miktar-Grp'!BE:BE,'SU - Miktar-Grp'!$B:$B,'SU TEMİNİ'!$C4)*$M4</f>
        <v>0</v>
      </c>
      <c r="BP4">
        <f>+SUMIFS('SU - Miktar-Grp'!BF:BF,'SU - Miktar-Grp'!$B:$B,'SU TEMİNİ'!$C4)*$M4</f>
        <v>0</v>
      </c>
      <c r="BQ4">
        <f>+SUMIFS('SU - Miktar-Grp'!BG:BG,'SU - Miktar-Grp'!$B:$B,'SU TEMİNİ'!$C4)*$M4</f>
        <v>0</v>
      </c>
      <c r="BR4">
        <f>+SUMIFS('SU - Miktar-Grp'!BH:BH,'SU - Miktar-Grp'!$B:$B,'SU TEMİNİ'!$C4)*$M4</f>
        <v>0</v>
      </c>
      <c r="BS4">
        <f>+SUMIFS('SU - Miktar-Grp'!BI:BI,'SU - Miktar-Grp'!$B:$B,'SU TEMİNİ'!$C4)*$M4</f>
        <v>0</v>
      </c>
      <c r="BT4">
        <f>+SUMIFS('SU - Miktar-Grp'!BJ:BJ,'SU - Miktar-Grp'!$B:$B,'SU TEMİNİ'!$C4)*$M4</f>
        <v>0</v>
      </c>
      <c r="BU4">
        <f>+SUMIFS('SU - Miktar-Grp'!BK:BK,'SU - Miktar-Grp'!$B:$B,'SU TEMİNİ'!$C4)*$M4</f>
        <v>0</v>
      </c>
      <c r="BV4">
        <f>+SUMIFS('SU - Miktar-Grp'!BL:BL,'SU - Miktar-Grp'!$B:$B,'SU TEMİNİ'!$C4)*$M4</f>
        <v>0</v>
      </c>
      <c r="BW4">
        <f>+SUMIFS('SU - Miktar-Grp'!BM:BM,'SU - Miktar-Grp'!$B:$B,'SU TEMİNİ'!$C4)*$M4</f>
        <v>0</v>
      </c>
      <c r="BX4">
        <f>+SUMIFS('SU - Miktar-Grp'!BN:BN,'SU - Miktar-Grp'!$B:$B,'SU TEMİNİ'!$C4)*$M4</f>
        <v>0</v>
      </c>
    </row>
    <row r="5" spans="1:76">
      <c r="A5" s="3" t="s">
        <v>66</v>
      </c>
      <c r="B5" t="s">
        <v>5272</v>
      </c>
      <c r="C5" t="s">
        <v>2617</v>
      </c>
      <c r="D5" t="s">
        <v>4967</v>
      </c>
      <c r="E5" t="s">
        <v>4968</v>
      </c>
      <c r="F5" t="s">
        <v>4973</v>
      </c>
      <c r="G5" t="s">
        <v>4983</v>
      </c>
      <c r="H5" t="s">
        <v>4984</v>
      </c>
      <c r="L5" s="126">
        <f t="shared" si="1"/>
        <v>2982433.7487000003</v>
      </c>
      <c r="M5">
        <v>1.05</v>
      </c>
      <c r="N5">
        <f>+SUMIFS('SU - Miktar-Grp'!D:D,'SU - Miktar-Grp'!$B:$B,'SU TEMİNİ'!$C5)*$M5</f>
        <v>0</v>
      </c>
      <c r="O5">
        <f>+SUMIFS('SU - Miktar-Grp'!E:E,'SU - Miktar-Grp'!$B:$B,'SU TEMİNİ'!$C5)*$M5</f>
        <v>0</v>
      </c>
      <c r="P5">
        <f>+SUMIFS('SU - Miktar-Grp'!F:F,'SU - Miktar-Grp'!$B:$B,'SU TEMİNİ'!$C5)*$M5</f>
        <v>0</v>
      </c>
      <c r="Q5">
        <f>+SUMIFS('SU - Miktar-Grp'!G:G,'SU - Miktar-Grp'!$B:$B,'SU TEMİNİ'!$C5)*$M5</f>
        <v>0</v>
      </c>
      <c r="R5">
        <f>+SUMIFS('SU - Miktar-Grp'!H:H,'SU - Miktar-Grp'!$B:$B,'SU TEMİNİ'!$C5)*$M5</f>
        <v>0</v>
      </c>
      <c r="S5">
        <f>+SUMIFS('SU - Miktar-Grp'!I:I,'SU - Miktar-Grp'!$B:$B,'SU TEMİNİ'!$C5)*$M5</f>
        <v>0</v>
      </c>
      <c r="T5">
        <f>+SUMIFS('SU - Miktar-Grp'!J:J,'SU - Miktar-Grp'!$B:$B,'SU TEMİNİ'!$C5)*$M5</f>
        <v>0</v>
      </c>
      <c r="U5">
        <f>+SUMIFS('SU - Miktar-Grp'!K:K,'SU - Miktar-Grp'!$B:$B,'SU TEMİNİ'!$C5)*$M5</f>
        <v>0</v>
      </c>
      <c r="V5">
        <f>+SUMIFS('SU - Miktar-Grp'!L:L,'SU - Miktar-Grp'!$B:$B,'SU TEMİNİ'!$C5)*$M5</f>
        <v>0</v>
      </c>
      <c r="W5">
        <f>+SUMIFS('SU - Miktar-Grp'!M:M,'SU - Miktar-Grp'!$B:$B,'SU TEMİNİ'!$C5)*$M5</f>
        <v>0</v>
      </c>
      <c r="X5">
        <f>+SUMIFS('SU - Miktar-Grp'!N:N,'SU - Miktar-Grp'!$B:$B,'SU TEMİNİ'!$C5)*$M5</f>
        <v>21020.196390436708</v>
      </c>
      <c r="Y5">
        <f>+SUMIFS('SU - Miktar-Grp'!O:O,'SU - Miktar-Grp'!$B:$B,'SU TEMİNİ'!$C5)*$M5</f>
        <v>52550.490976091773</v>
      </c>
      <c r="Z5">
        <f>+SUMIFS('SU - Miktar-Grp'!P:P,'SU - Miktar-Grp'!$B:$B,'SU TEMİNİ'!$C5)*$M5</f>
        <v>52550.490976091773</v>
      </c>
      <c r="AA5">
        <f>+SUMIFS('SU - Miktar-Grp'!Q:Q,'SU - Miktar-Grp'!$B:$B,'SU TEMİNİ'!$C5)*$M5</f>
        <v>52550.490976091773</v>
      </c>
      <c r="AB5">
        <f>+SUMIFS('SU - Miktar-Grp'!R:R,'SU - Miktar-Grp'!$B:$B,'SU TEMİNİ'!$C5)*$M5</f>
        <v>52550.490976091773</v>
      </c>
      <c r="AC5">
        <f>+SUMIFS('SU - Miktar-Grp'!S:S,'SU - Miktar-Grp'!$B:$B,'SU TEMİNİ'!$C5)*$M5</f>
        <v>52550.490976091773</v>
      </c>
      <c r="AD5">
        <f>+SUMIFS('SU - Miktar-Grp'!T:T,'SU - Miktar-Grp'!$B:$B,'SU TEMİNİ'!$C5)*$M5</f>
        <v>78825.736464137663</v>
      </c>
      <c r="AE5">
        <f>+SUMIFS('SU - Miktar-Grp'!U:U,'SU - Miktar-Grp'!$B:$B,'SU TEMİNİ'!$C5)*$M5</f>
        <v>78825.736464137663</v>
      </c>
      <c r="AF5">
        <f>+SUMIFS('SU - Miktar-Grp'!V:V,'SU - Miktar-Grp'!$B:$B,'SU TEMİNİ'!$C5)*$M5</f>
        <v>131376.22744022944</v>
      </c>
      <c r="AG5">
        <f>+SUMIFS('SU - Miktar-Grp'!W:W,'SU - Miktar-Grp'!$B:$B,'SU TEMİNİ'!$C5)*$M5</f>
        <v>131376.22744022944</v>
      </c>
      <c r="AH5">
        <f>+SUMIFS('SU - Miktar-Grp'!X:X,'SU - Miktar-Grp'!$B:$B,'SU TEMİNİ'!$C5)*$M5</f>
        <v>157651.47292827533</v>
      </c>
      <c r="AI5">
        <f>+SUMIFS('SU - Miktar-Grp'!Y:Y,'SU - Miktar-Grp'!$B:$B,'SU TEMİNİ'!$C5)*$M5</f>
        <v>157651.47292827533</v>
      </c>
      <c r="AJ5">
        <f>+SUMIFS('SU - Miktar-Grp'!Z:Z,'SU - Miktar-Grp'!$B:$B,'SU TEMİNİ'!$C5)*$M5</f>
        <v>157651.47292827533</v>
      </c>
      <c r="AK5">
        <f>+SUMIFS('SU - Miktar-Grp'!AA:AA,'SU - Miktar-Grp'!$B:$B,'SU TEMİNİ'!$C5)*$M5</f>
        <v>131376.22744022944</v>
      </c>
      <c r="AL5">
        <f>+SUMIFS('SU - Miktar-Grp'!AB:AB,'SU - Miktar-Grp'!$B:$B,'SU TEMİNİ'!$C5)*$M5</f>
        <v>131376.22744022944</v>
      </c>
      <c r="AM5">
        <f>+SUMIFS('SU - Miktar-Grp'!AC:AC,'SU - Miktar-Grp'!$B:$B,'SU TEMİNİ'!$C5)*$M5</f>
        <v>78825.736464137663</v>
      </c>
      <c r="AN5">
        <f>+SUMIFS('SU - Miktar-Grp'!AD:AD,'SU - Miktar-Grp'!$B:$B,'SU TEMİNİ'!$C5)*$M5</f>
        <v>52550.490976091773</v>
      </c>
      <c r="AO5">
        <f>+SUMIFS('SU - Miktar-Grp'!AE:AE,'SU - Miktar-Grp'!$B:$B,'SU TEMİNİ'!$C5)*$M5</f>
        <v>63060.58917131013</v>
      </c>
      <c r="AP5">
        <f>+SUMIFS('SU - Miktar-Grp'!AF:AF,'SU - Miktar-Grp'!$B:$B,'SU TEMİNİ'!$C5)*$M5</f>
        <v>63060.58917131013</v>
      </c>
      <c r="AQ5">
        <f>+SUMIFS('SU - Miktar-Grp'!AG:AG,'SU - Miktar-Grp'!$B:$B,'SU TEMİNİ'!$C5)*$M5</f>
        <v>89335.834659356013</v>
      </c>
      <c r="AR5">
        <f>+SUMIFS('SU - Miktar-Grp'!AH:AH,'SU - Miktar-Grp'!$B:$B,'SU TEMİNİ'!$C5)*$M5</f>
        <v>115611.0801474019</v>
      </c>
      <c r="AS5">
        <f>+SUMIFS('SU - Miktar-Grp'!AI:AI,'SU - Miktar-Grp'!$B:$B,'SU TEMİNİ'!$C5)*$M5</f>
        <v>168161.57112349366</v>
      </c>
      <c r="AT5">
        <f>+SUMIFS('SU - Miktar-Grp'!AJ:AJ,'SU - Miktar-Grp'!$B:$B,'SU TEMİNİ'!$C5)*$M5</f>
        <v>168161.57112349366</v>
      </c>
      <c r="AU5">
        <f>+SUMIFS('SU - Miktar-Grp'!AK:AK,'SU - Miktar-Grp'!$B:$B,'SU TEMİNİ'!$C5)*$M5</f>
        <v>168161.57112349366</v>
      </c>
      <c r="AV5">
        <f>+SUMIFS('SU - Miktar-Grp'!AL:AL,'SU - Miktar-Grp'!$B:$B,'SU TEMİNİ'!$C5)*$M5</f>
        <v>168161.57112349366</v>
      </c>
      <c r="AW5">
        <f>+SUMIFS('SU - Miktar-Grp'!AM:AM,'SU - Miktar-Grp'!$B:$B,'SU TEMİNİ'!$C5)*$M5</f>
        <v>168161.57112349366</v>
      </c>
      <c r="AX5">
        <f>+SUMIFS('SU - Miktar-Grp'!AN:AN,'SU - Miktar-Grp'!$B:$B,'SU TEMİNİ'!$C5)*$M5</f>
        <v>141886.32563544781</v>
      </c>
      <c r="AY5">
        <f>+SUMIFS('SU - Miktar-Grp'!AO:AO,'SU - Miktar-Grp'!$B:$B,'SU TEMİNİ'!$C5)*$M5</f>
        <v>79096.89699757428</v>
      </c>
      <c r="AZ5">
        <f>+SUMIFS('SU - Miktar-Grp'!AP:AP,'SU - Miktar-Grp'!$B:$B,'SU TEMİNİ'!$C5)*$M5</f>
        <v>18314.897114987507</v>
      </c>
      <c r="BA5">
        <f>+SUMIFS('SU - Miktar-Grp'!AQ:AQ,'SU - Miktar-Grp'!$B:$B,'SU TEMİNİ'!$C5)*$M5</f>
        <v>0</v>
      </c>
      <c r="BB5">
        <f>+SUMIFS('SU - Miktar-Grp'!AR:AR,'SU - Miktar-Grp'!$B:$B,'SU TEMİNİ'!$C5)*$M5</f>
        <v>0</v>
      </c>
      <c r="BC5">
        <f>+SUMIFS('SU - Miktar-Grp'!AS:AS,'SU - Miktar-Grp'!$B:$B,'SU TEMİNİ'!$C5)*$M5</f>
        <v>0</v>
      </c>
      <c r="BD5">
        <f>+SUMIFS('SU - Miktar-Grp'!AT:AT,'SU - Miktar-Grp'!$B:$B,'SU TEMİNİ'!$C5)*$M5</f>
        <v>0</v>
      </c>
      <c r="BE5">
        <f>+SUMIFS('SU - Miktar-Grp'!AU:AU,'SU - Miktar-Grp'!$B:$B,'SU TEMİNİ'!$C5)*$M5</f>
        <v>0</v>
      </c>
      <c r="BF5">
        <f>+SUMIFS('SU - Miktar-Grp'!AV:AV,'SU - Miktar-Grp'!$B:$B,'SU TEMİNİ'!$C5)*$M5</f>
        <v>0</v>
      </c>
      <c r="BG5">
        <f>+SUMIFS('SU - Miktar-Grp'!AW:AW,'SU - Miktar-Grp'!$B:$B,'SU TEMİNİ'!$C5)*$M5</f>
        <v>0</v>
      </c>
      <c r="BH5">
        <f>+SUMIFS('SU - Miktar-Grp'!AX:AX,'SU - Miktar-Grp'!$B:$B,'SU TEMİNİ'!$C5)*$M5</f>
        <v>0</v>
      </c>
      <c r="BI5">
        <f>+SUMIFS('SU - Miktar-Grp'!AY:AY,'SU - Miktar-Grp'!$B:$B,'SU TEMİNİ'!$C5)*$M5</f>
        <v>0</v>
      </c>
      <c r="BJ5">
        <f>+SUMIFS('SU - Miktar-Grp'!AZ:AZ,'SU - Miktar-Grp'!$B:$B,'SU TEMİNİ'!$C5)*$M5</f>
        <v>0</v>
      </c>
      <c r="BK5">
        <f>+SUMIFS('SU - Miktar-Grp'!BA:BA,'SU - Miktar-Grp'!$B:$B,'SU TEMİNİ'!$C5)*$M5</f>
        <v>0</v>
      </c>
      <c r="BL5">
        <f>+SUMIFS('SU - Miktar-Grp'!BB:BB,'SU - Miktar-Grp'!$B:$B,'SU TEMİNİ'!$C5)*$M5</f>
        <v>0</v>
      </c>
      <c r="BM5">
        <f>+SUMIFS('SU - Miktar-Grp'!BC:BC,'SU - Miktar-Grp'!$B:$B,'SU TEMİNİ'!$C5)*$M5</f>
        <v>0</v>
      </c>
      <c r="BN5">
        <f>+SUMIFS('SU - Miktar-Grp'!BD:BD,'SU - Miktar-Grp'!$B:$B,'SU TEMİNİ'!$C5)*$M5</f>
        <v>0</v>
      </c>
      <c r="BO5">
        <f>+SUMIFS('SU - Miktar-Grp'!BE:BE,'SU - Miktar-Grp'!$B:$B,'SU TEMİNİ'!$C5)*$M5</f>
        <v>0</v>
      </c>
      <c r="BP5">
        <f>+SUMIFS('SU - Miktar-Grp'!BF:BF,'SU - Miktar-Grp'!$B:$B,'SU TEMİNİ'!$C5)*$M5</f>
        <v>0</v>
      </c>
      <c r="BQ5">
        <f>+SUMIFS('SU - Miktar-Grp'!BG:BG,'SU - Miktar-Grp'!$B:$B,'SU TEMİNİ'!$C5)*$M5</f>
        <v>0</v>
      </c>
      <c r="BR5">
        <f>+SUMIFS('SU - Miktar-Grp'!BH:BH,'SU - Miktar-Grp'!$B:$B,'SU TEMİNİ'!$C5)*$M5</f>
        <v>0</v>
      </c>
      <c r="BS5">
        <f>+SUMIFS('SU - Miktar-Grp'!BI:BI,'SU - Miktar-Grp'!$B:$B,'SU TEMİNİ'!$C5)*$M5</f>
        <v>0</v>
      </c>
      <c r="BT5">
        <f>+SUMIFS('SU - Miktar-Grp'!BJ:BJ,'SU - Miktar-Grp'!$B:$B,'SU TEMİNİ'!$C5)*$M5</f>
        <v>0</v>
      </c>
      <c r="BU5">
        <f>+SUMIFS('SU - Miktar-Grp'!BK:BK,'SU - Miktar-Grp'!$B:$B,'SU TEMİNİ'!$C5)*$M5</f>
        <v>0</v>
      </c>
      <c r="BV5">
        <f>+SUMIFS('SU - Miktar-Grp'!BL:BL,'SU - Miktar-Grp'!$B:$B,'SU TEMİNİ'!$C5)*$M5</f>
        <v>0</v>
      </c>
      <c r="BW5">
        <f>+SUMIFS('SU - Miktar-Grp'!BM:BM,'SU - Miktar-Grp'!$B:$B,'SU TEMİNİ'!$C5)*$M5</f>
        <v>0</v>
      </c>
      <c r="BX5">
        <f>+SUMIFS('SU - Miktar-Grp'!BN:BN,'SU - Miktar-Grp'!$B:$B,'SU TEMİNİ'!$C5)*$M5</f>
        <v>0</v>
      </c>
    </row>
    <row r="6" spans="1:76">
      <c r="A6" s="3" t="s">
        <v>66</v>
      </c>
      <c r="B6" t="s">
        <v>5272</v>
      </c>
      <c r="C6" t="s">
        <v>2618</v>
      </c>
      <c r="D6" t="s">
        <v>4967</v>
      </c>
      <c r="E6" t="s">
        <v>4968</v>
      </c>
      <c r="F6" t="s">
        <v>4973</v>
      </c>
      <c r="G6" t="s">
        <v>4983</v>
      </c>
      <c r="H6" t="s">
        <v>4984</v>
      </c>
      <c r="L6" s="126">
        <f t="shared" si="1"/>
        <v>200673</v>
      </c>
      <c r="M6">
        <v>0.1</v>
      </c>
      <c r="N6">
        <f>+SUMIFS('SU - Miktar-Grp'!D:D,'SU - Miktar-Grp'!$B:$B,'SU TEMİNİ'!$C6)*$M6</f>
        <v>0</v>
      </c>
      <c r="O6">
        <f>+SUMIFS('SU - Miktar-Grp'!E:E,'SU - Miktar-Grp'!$B:$B,'SU TEMİNİ'!$C6)*$M6</f>
        <v>0</v>
      </c>
      <c r="P6">
        <f>+SUMIFS('SU - Miktar-Grp'!F:F,'SU - Miktar-Grp'!$B:$B,'SU TEMİNİ'!$C6)*$M6</f>
        <v>0</v>
      </c>
      <c r="Q6">
        <f>+SUMIFS('SU - Miktar-Grp'!G:G,'SU - Miktar-Grp'!$B:$B,'SU TEMİNİ'!$C6)*$M6</f>
        <v>0</v>
      </c>
      <c r="R6">
        <f>+SUMIFS('SU - Miktar-Grp'!H:H,'SU - Miktar-Grp'!$B:$B,'SU TEMİNİ'!$C6)*$M6</f>
        <v>0</v>
      </c>
      <c r="S6">
        <f>+SUMIFS('SU - Miktar-Grp'!I:I,'SU - Miktar-Grp'!$B:$B,'SU TEMİNİ'!$C6)*$M6</f>
        <v>0</v>
      </c>
      <c r="T6">
        <f>+SUMIFS('SU - Miktar-Grp'!J:J,'SU - Miktar-Grp'!$B:$B,'SU TEMİNİ'!$C6)*$M6</f>
        <v>0</v>
      </c>
      <c r="U6">
        <f>+SUMIFS('SU - Miktar-Grp'!K:K,'SU - Miktar-Grp'!$B:$B,'SU TEMİNİ'!$C6)*$M6</f>
        <v>0</v>
      </c>
      <c r="V6">
        <f>+SUMIFS('SU - Miktar-Grp'!L:L,'SU - Miktar-Grp'!$B:$B,'SU TEMİNİ'!$C6)*$M6</f>
        <v>0</v>
      </c>
      <c r="W6">
        <f>+SUMIFS('SU - Miktar-Grp'!M:M,'SU - Miktar-Grp'!$B:$B,'SU TEMİNİ'!$C6)*$M6</f>
        <v>0</v>
      </c>
      <c r="X6">
        <f>+SUMIFS('SU - Miktar-Grp'!N:N,'SU - Miktar-Grp'!$B:$B,'SU TEMİNİ'!$C6)*$M6</f>
        <v>0</v>
      </c>
      <c r="Y6">
        <f>+SUMIFS('SU - Miktar-Grp'!O:O,'SU - Miktar-Grp'!$B:$B,'SU TEMİNİ'!$C6)*$M6</f>
        <v>7500</v>
      </c>
      <c r="Z6">
        <f>+SUMIFS('SU - Miktar-Grp'!P:P,'SU - Miktar-Grp'!$B:$B,'SU TEMİNİ'!$C6)*$M6</f>
        <v>5000</v>
      </c>
      <c r="AA6">
        <f>+SUMIFS('SU - Miktar-Grp'!Q:Q,'SU - Miktar-Grp'!$B:$B,'SU TEMİNİ'!$C6)*$M6</f>
        <v>5000</v>
      </c>
      <c r="AB6">
        <f>+SUMIFS('SU - Miktar-Grp'!R:R,'SU - Miktar-Grp'!$B:$B,'SU TEMİNİ'!$C6)*$M6</f>
        <v>5000</v>
      </c>
      <c r="AC6">
        <f>+SUMIFS('SU - Miktar-Grp'!S:S,'SU - Miktar-Grp'!$B:$B,'SU TEMİNİ'!$C6)*$M6</f>
        <v>2500</v>
      </c>
      <c r="AD6">
        <f>+SUMIFS('SU - Miktar-Grp'!T:T,'SU - Miktar-Grp'!$B:$B,'SU TEMİNİ'!$C6)*$M6</f>
        <v>5000</v>
      </c>
      <c r="AE6">
        <f>+SUMIFS('SU - Miktar-Grp'!U:U,'SU - Miktar-Grp'!$B:$B,'SU TEMİNİ'!$C6)*$M6</f>
        <v>5000</v>
      </c>
      <c r="AF6">
        <f>+SUMIFS('SU - Miktar-Grp'!V:V,'SU - Miktar-Grp'!$B:$B,'SU TEMİNİ'!$C6)*$M6</f>
        <v>10000</v>
      </c>
      <c r="AG6">
        <f>+SUMIFS('SU - Miktar-Grp'!W:W,'SU - Miktar-Grp'!$B:$B,'SU TEMİNİ'!$C6)*$M6</f>
        <v>10000</v>
      </c>
      <c r="AH6">
        <f>+SUMIFS('SU - Miktar-Grp'!X:X,'SU - Miktar-Grp'!$B:$B,'SU TEMİNİ'!$C6)*$M6</f>
        <v>12500</v>
      </c>
      <c r="AI6">
        <f>+SUMIFS('SU - Miktar-Grp'!Y:Y,'SU - Miktar-Grp'!$B:$B,'SU TEMİNİ'!$C6)*$M6</f>
        <v>12500</v>
      </c>
      <c r="AJ6">
        <f>+SUMIFS('SU - Miktar-Grp'!Z:Z,'SU - Miktar-Grp'!$B:$B,'SU TEMİNİ'!$C6)*$M6</f>
        <v>12500</v>
      </c>
      <c r="AK6">
        <f>+SUMIFS('SU - Miktar-Grp'!AA:AA,'SU - Miktar-Grp'!$B:$B,'SU TEMİNİ'!$C6)*$M6</f>
        <v>12500</v>
      </c>
      <c r="AL6">
        <f>+SUMIFS('SU - Miktar-Grp'!AB:AB,'SU - Miktar-Grp'!$B:$B,'SU TEMİNİ'!$C6)*$M6</f>
        <v>10000</v>
      </c>
      <c r="AM6">
        <f>+SUMIFS('SU - Miktar-Grp'!AC:AC,'SU - Miktar-Grp'!$B:$B,'SU TEMİNİ'!$C6)*$M6</f>
        <v>5000</v>
      </c>
      <c r="AN6">
        <f>+SUMIFS('SU - Miktar-Grp'!AD:AD,'SU - Miktar-Grp'!$B:$B,'SU TEMİNİ'!$C6)*$M6</f>
        <v>2000</v>
      </c>
      <c r="AO6">
        <f>+SUMIFS('SU - Miktar-Grp'!AE:AE,'SU - Miktar-Grp'!$B:$B,'SU TEMİNİ'!$C6)*$M6</f>
        <v>2000</v>
      </c>
      <c r="AP6">
        <f>+SUMIFS('SU - Miktar-Grp'!AF:AF,'SU - Miktar-Grp'!$B:$B,'SU TEMİNİ'!$C6)*$M6</f>
        <v>2000</v>
      </c>
      <c r="AQ6">
        <f>+SUMIFS('SU - Miktar-Grp'!AG:AG,'SU - Miktar-Grp'!$B:$B,'SU TEMİNİ'!$C6)*$M6</f>
        <v>4000</v>
      </c>
      <c r="AR6">
        <f>+SUMIFS('SU - Miktar-Grp'!AH:AH,'SU - Miktar-Grp'!$B:$B,'SU TEMİNİ'!$C6)*$M6</f>
        <v>4000</v>
      </c>
      <c r="AS6">
        <f>+SUMIFS('SU - Miktar-Grp'!AI:AI,'SU - Miktar-Grp'!$B:$B,'SU TEMİNİ'!$C6)*$M6</f>
        <v>10000</v>
      </c>
      <c r="AT6">
        <f>+SUMIFS('SU - Miktar-Grp'!AJ:AJ,'SU - Miktar-Grp'!$B:$B,'SU TEMİNİ'!$C6)*$M6</f>
        <v>10000</v>
      </c>
      <c r="AU6">
        <f>+SUMIFS('SU - Miktar-Grp'!AK:AK,'SU - Miktar-Grp'!$B:$B,'SU TEMİNİ'!$C6)*$M6</f>
        <v>10000</v>
      </c>
      <c r="AV6">
        <f>+SUMIFS('SU - Miktar-Grp'!AL:AL,'SU - Miktar-Grp'!$B:$B,'SU TEMİNİ'!$C6)*$M6</f>
        <v>10000</v>
      </c>
      <c r="AW6">
        <f>+SUMIFS('SU - Miktar-Grp'!AM:AM,'SU - Miktar-Grp'!$B:$B,'SU TEMİNİ'!$C6)*$M6</f>
        <v>10000</v>
      </c>
      <c r="AX6">
        <f>+SUMIFS('SU - Miktar-Grp'!AN:AN,'SU - Miktar-Grp'!$B:$B,'SU TEMİNİ'!$C6)*$M6</f>
        <v>10000</v>
      </c>
      <c r="AY6">
        <f>+SUMIFS('SU - Miktar-Grp'!AO:AO,'SU - Miktar-Grp'!$B:$B,'SU TEMİNİ'!$C6)*$M6</f>
        <v>6673</v>
      </c>
      <c r="AZ6">
        <f>+SUMIFS('SU - Miktar-Grp'!AP:AP,'SU - Miktar-Grp'!$B:$B,'SU TEMİNİ'!$C6)*$M6</f>
        <v>0</v>
      </c>
      <c r="BA6">
        <f>+SUMIFS('SU - Miktar-Grp'!AQ:AQ,'SU - Miktar-Grp'!$B:$B,'SU TEMİNİ'!$C6)*$M6</f>
        <v>0</v>
      </c>
      <c r="BB6">
        <f>+SUMIFS('SU - Miktar-Grp'!AR:AR,'SU - Miktar-Grp'!$B:$B,'SU TEMİNİ'!$C6)*$M6</f>
        <v>0</v>
      </c>
      <c r="BC6">
        <f>+SUMIFS('SU - Miktar-Grp'!AS:AS,'SU - Miktar-Grp'!$B:$B,'SU TEMİNİ'!$C6)*$M6</f>
        <v>0</v>
      </c>
      <c r="BD6">
        <f>+SUMIFS('SU - Miktar-Grp'!AT:AT,'SU - Miktar-Grp'!$B:$B,'SU TEMİNİ'!$C6)*$M6</f>
        <v>0</v>
      </c>
      <c r="BE6">
        <f>+SUMIFS('SU - Miktar-Grp'!AU:AU,'SU - Miktar-Grp'!$B:$B,'SU TEMİNİ'!$C6)*$M6</f>
        <v>0</v>
      </c>
      <c r="BF6">
        <f>+SUMIFS('SU - Miktar-Grp'!AV:AV,'SU - Miktar-Grp'!$B:$B,'SU TEMİNİ'!$C6)*$M6</f>
        <v>0</v>
      </c>
      <c r="BG6">
        <f>+SUMIFS('SU - Miktar-Grp'!AW:AW,'SU - Miktar-Grp'!$B:$B,'SU TEMİNİ'!$C6)*$M6</f>
        <v>0</v>
      </c>
      <c r="BH6">
        <f>+SUMIFS('SU - Miktar-Grp'!AX:AX,'SU - Miktar-Grp'!$B:$B,'SU TEMİNİ'!$C6)*$M6</f>
        <v>0</v>
      </c>
      <c r="BI6">
        <f>+SUMIFS('SU - Miktar-Grp'!AY:AY,'SU - Miktar-Grp'!$B:$B,'SU TEMİNİ'!$C6)*$M6</f>
        <v>0</v>
      </c>
      <c r="BJ6">
        <f>+SUMIFS('SU - Miktar-Grp'!AZ:AZ,'SU - Miktar-Grp'!$B:$B,'SU TEMİNİ'!$C6)*$M6</f>
        <v>0</v>
      </c>
      <c r="BK6">
        <f>+SUMIFS('SU - Miktar-Grp'!BA:BA,'SU - Miktar-Grp'!$B:$B,'SU TEMİNİ'!$C6)*$M6</f>
        <v>0</v>
      </c>
      <c r="BL6">
        <f>+SUMIFS('SU - Miktar-Grp'!BB:BB,'SU - Miktar-Grp'!$B:$B,'SU TEMİNİ'!$C6)*$M6</f>
        <v>0</v>
      </c>
      <c r="BM6">
        <f>+SUMIFS('SU - Miktar-Grp'!BC:BC,'SU - Miktar-Grp'!$B:$B,'SU TEMİNİ'!$C6)*$M6</f>
        <v>0</v>
      </c>
      <c r="BN6">
        <f>+SUMIFS('SU - Miktar-Grp'!BD:BD,'SU - Miktar-Grp'!$B:$B,'SU TEMİNİ'!$C6)*$M6</f>
        <v>0</v>
      </c>
      <c r="BO6">
        <f>+SUMIFS('SU - Miktar-Grp'!BE:BE,'SU - Miktar-Grp'!$B:$B,'SU TEMİNİ'!$C6)*$M6</f>
        <v>0</v>
      </c>
      <c r="BP6">
        <f>+SUMIFS('SU - Miktar-Grp'!BF:BF,'SU - Miktar-Grp'!$B:$B,'SU TEMİNİ'!$C6)*$M6</f>
        <v>0</v>
      </c>
      <c r="BQ6">
        <f>+SUMIFS('SU - Miktar-Grp'!BG:BG,'SU - Miktar-Grp'!$B:$B,'SU TEMİNİ'!$C6)*$M6</f>
        <v>0</v>
      </c>
      <c r="BR6">
        <f>+SUMIFS('SU - Miktar-Grp'!BH:BH,'SU - Miktar-Grp'!$B:$B,'SU TEMİNİ'!$C6)*$M6</f>
        <v>0</v>
      </c>
      <c r="BS6">
        <f>+SUMIFS('SU - Miktar-Grp'!BI:BI,'SU - Miktar-Grp'!$B:$B,'SU TEMİNİ'!$C6)*$M6</f>
        <v>0</v>
      </c>
      <c r="BT6">
        <f>+SUMIFS('SU - Miktar-Grp'!BJ:BJ,'SU - Miktar-Grp'!$B:$B,'SU TEMİNİ'!$C6)*$M6</f>
        <v>0</v>
      </c>
      <c r="BU6">
        <f>+SUMIFS('SU - Miktar-Grp'!BK:BK,'SU - Miktar-Grp'!$B:$B,'SU TEMİNİ'!$C6)*$M6</f>
        <v>0</v>
      </c>
      <c r="BV6">
        <f>+SUMIFS('SU - Miktar-Grp'!BL:BL,'SU - Miktar-Grp'!$B:$B,'SU TEMİNİ'!$C6)*$M6</f>
        <v>0</v>
      </c>
      <c r="BW6">
        <f>+SUMIFS('SU - Miktar-Grp'!BM:BM,'SU - Miktar-Grp'!$B:$B,'SU TEMİNİ'!$C6)*$M6</f>
        <v>0</v>
      </c>
      <c r="BX6">
        <f>+SUMIFS('SU - Miktar-Grp'!BN:BN,'SU - Miktar-Grp'!$B:$B,'SU TEMİNİ'!$C6)*$M6</f>
        <v>0</v>
      </c>
    </row>
    <row r="7" spans="1:76">
      <c r="A7" s="3" t="s">
        <v>66</v>
      </c>
      <c r="B7" t="s">
        <v>5272</v>
      </c>
      <c r="C7" t="s">
        <v>2619</v>
      </c>
      <c r="D7" t="s">
        <v>4967</v>
      </c>
      <c r="E7" t="s">
        <v>4968</v>
      </c>
      <c r="F7" t="s">
        <v>4973</v>
      </c>
      <c r="G7" t="s">
        <v>4983</v>
      </c>
      <c r="H7" t="s">
        <v>4984</v>
      </c>
      <c r="L7" s="126">
        <f t="shared" si="1"/>
        <v>10852</v>
      </c>
      <c r="M7">
        <v>0.1</v>
      </c>
      <c r="N7">
        <f>+SUMIFS('SU - Miktar-Grp'!D:D,'SU - Miktar-Grp'!$B:$B,'SU TEMİNİ'!$C7)*$M7</f>
        <v>0</v>
      </c>
      <c r="O7">
        <f>+SUMIFS('SU - Miktar-Grp'!E:E,'SU - Miktar-Grp'!$B:$B,'SU TEMİNİ'!$C7)*$M7</f>
        <v>0</v>
      </c>
      <c r="P7">
        <f>+SUMIFS('SU - Miktar-Grp'!F:F,'SU - Miktar-Grp'!$B:$B,'SU TEMİNİ'!$C7)*$M7</f>
        <v>0</v>
      </c>
      <c r="Q7">
        <f>+SUMIFS('SU - Miktar-Grp'!G:G,'SU - Miktar-Grp'!$B:$B,'SU TEMİNİ'!$C7)*$M7</f>
        <v>0</v>
      </c>
      <c r="R7">
        <f>+SUMIFS('SU - Miktar-Grp'!H:H,'SU - Miktar-Grp'!$B:$B,'SU TEMİNİ'!$C7)*$M7</f>
        <v>0</v>
      </c>
      <c r="S7">
        <f>+SUMIFS('SU - Miktar-Grp'!I:I,'SU - Miktar-Grp'!$B:$B,'SU TEMİNİ'!$C7)*$M7</f>
        <v>0</v>
      </c>
      <c r="T7">
        <f>+SUMIFS('SU - Miktar-Grp'!J:J,'SU - Miktar-Grp'!$B:$B,'SU TEMİNİ'!$C7)*$M7</f>
        <v>0</v>
      </c>
      <c r="U7">
        <f>+SUMIFS('SU - Miktar-Grp'!K:K,'SU - Miktar-Grp'!$B:$B,'SU TEMİNİ'!$C7)*$M7</f>
        <v>0</v>
      </c>
      <c r="V7">
        <f>+SUMIFS('SU - Miktar-Grp'!L:L,'SU - Miktar-Grp'!$B:$B,'SU TEMİNİ'!$C7)*$M7</f>
        <v>0</v>
      </c>
      <c r="W7">
        <f>+SUMIFS('SU - Miktar-Grp'!M:M,'SU - Miktar-Grp'!$B:$B,'SU TEMİNİ'!$C7)*$M7</f>
        <v>0</v>
      </c>
      <c r="X7">
        <f>+SUMIFS('SU - Miktar-Grp'!N:N,'SU - Miktar-Grp'!$B:$B,'SU TEMİNİ'!$C7)*$M7</f>
        <v>0</v>
      </c>
      <c r="Y7">
        <f>+SUMIFS('SU - Miktar-Grp'!O:O,'SU - Miktar-Grp'!$B:$B,'SU TEMİNİ'!$C7)*$M7</f>
        <v>0</v>
      </c>
      <c r="Z7">
        <f>+SUMIFS('SU - Miktar-Grp'!P:P,'SU - Miktar-Grp'!$B:$B,'SU TEMİNİ'!$C7)*$M7</f>
        <v>0</v>
      </c>
      <c r="AA7">
        <f>+SUMIFS('SU - Miktar-Grp'!Q:Q,'SU - Miktar-Grp'!$B:$B,'SU TEMİNİ'!$C7)*$M7</f>
        <v>0</v>
      </c>
      <c r="AB7">
        <f>+SUMIFS('SU - Miktar-Grp'!R:R,'SU - Miktar-Grp'!$B:$B,'SU TEMİNİ'!$C7)*$M7</f>
        <v>0</v>
      </c>
      <c r="AC7">
        <f>+SUMIFS('SU - Miktar-Grp'!S:S,'SU - Miktar-Grp'!$B:$B,'SU TEMİNİ'!$C7)*$M7</f>
        <v>0</v>
      </c>
      <c r="AD7">
        <f>+SUMIFS('SU - Miktar-Grp'!T:T,'SU - Miktar-Grp'!$B:$B,'SU TEMİNİ'!$C7)*$M7</f>
        <v>0</v>
      </c>
      <c r="AE7">
        <f>+SUMIFS('SU - Miktar-Grp'!U:U,'SU - Miktar-Grp'!$B:$B,'SU TEMİNİ'!$C7)*$M7</f>
        <v>1000</v>
      </c>
      <c r="AF7">
        <f>+SUMIFS('SU - Miktar-Grp'!V:V,'SU - Miktar-Grp'!$B:$B,'SU TEMİNİ'!$C7)*$M7</f>
        <v>1000</v>
      </c>
      <c r="AG7">
        <f>+SUMIFS('SU - Miktar-Grp'!W:W,'SU - Miktar-Grp'!$B:$B,'SU TEMİNİ'!$C7)*$M7</f>
        <v>1000</v>
      </c>
      <c r="AH7">
        <f>+SUMIFS('SU - Miktar-Grp'!X:X,'SU - Miktar-Grp'!$B:$B,'SU TEMİNİ'!$C7)*$M7</f>
        <v>1000</v>
      </c>
      <c r="AI7">
        <f>+SUMIFS('SU - Miktar-Grp'!Y:Y,'SU - Miktar-Grp'!$B:$B,'SU TEMİNİ'!$C7)*$M7</f>
        <v>1000</v>
      </c>
      <c r="AJ7">
        <f>+SUMIFS('SU - Miktar-Grp'!Z:Z,'SU - Miktar-Grp'!$B:$B,'SU TEMİNİ'!$C7)*$M7</f>
        <v>1000</v>
      </c>
      <c r="AK7">
        <f>+SUMIFS('SU - Miktar-Grp'!AA:AA,'SU - Miktar-Grp'!$B:$B,'SU TEMİNİ'!$C7)*$M7</f>
        <v>1000</v>
      </c>
      <c r="AL7">
        <f>+SUMIFS('SU - Miktar-Grp'!AB:AB,'SU - Miktar-Grp'!$B:$B,'SU TEMİNİ'!$C7)*$M7</f>
        <v>0</v>
      </c>
      <c r="AM7">
        <f>+SUMIFS('SU - Miktar-Grp'!AC:AC,'SU - Miktar-Grp'!$B:$B,'SU TEMİNİ'!$C7)*$M7</f>
        <v>0</v>
      </c>
      <c r="AN7">
        <f>+SUMIFS('SU - Miktar-Grp'!AD:AD,'SU - Miktar-Grp'!$B:$B,'SU TEMİNİ'!$C7)*$M7</f>
        <v>0</v>
      </c>
      <c r="AO7">
        <f>+SUMIFS('SU - Miktar-Grp'!AE:AE,'SU - Miktar-Grp'!$B:$B,'SU TEMİNİ'!$C7)*$M7</f>
        <v>0</v>
      </c>
      <c r="AP7">
        <f>+SUMIFS('SU - Miktar-Grp'!AF:AF,'SU - Miktar-Grp'!$B:$B,'SU TEMİNİ'!$C7)*$M7</f>
        <v>0</v>
      </c>
      <c r="AQ7">
        <f>+SUMIFS('SU - Miktar-Grp'!AG:AG,'SU - Miktar-Grp'!$B:$B,'SU TEMİNİ'!$C7)*$M7</f>
        <v>0</v>
      </c>
      <c r="AR7">
        <f>+SUMIFS('SU - Miktar-Grp'!AH:AH,'SU - Miktar-Grp'!$B:$B,'SU TEMİNİ'!$C7)*$M7</f>
        <v>0</v>
      </c>
      <c r="AS7">
        <f>+SUMIFS('SU - Miktar-Grp'!AI:AI,'SU - Miktar-Grp'!$B:$B,'SU TEMİNİ'!$C7)*$M7</f>
        <v>0</v>
      </c>
      <c r="AT7">
        <f>+SUMIFS('SU - Miktar-Grp'!AJ:AJ,'SU - Miktar-Grp'!$B:$B,'SU TEMİNİ'!$C7)*$M7</f>
        <v>1000</v>
      </c>
      <c r="AU7">
        <f>+SUMIFS('SU - Miktar-Grp'!AK:AK,'SU - Miktar-Grp'!$B:$B,'SU TEMİNİ'!$C7)*$M7</f>
        <v>1000</v>
      </c>
      <c r="AV7">
        <f>+SUMIFS('SU - Miktar-Grp'!AL:AL,'SU - Miktar-Grp'!$B:$B,'SU TEMİNİ'!$C7)*$M7</f>
        <v>1000</v>
      </c>
      <c r="AW7">
        <f>+SUMIFS('SU - Miktar-Grp'!AM:AM,'SU - Miktar-Grp'!$B:$B,'SU TEMİNİ'!$C7)*$M7</f>
        <v>852</v>
      </c>
      <c r="AX7">
        <f>+SUMIFS('SU - Miktar-Grp'!AN:AN,'SU - Miktar-Grp'!$B:$B,'SU TEMİNİ'!$C7)*$M7</f>
        <v>0</v>
      </c>
      <c r="AY7">
        <f>+SUMIFS('SU - Miktar-Grp'!AO:AO,'SU - Miktar-Grp'!$B:$B,'SU TEMİNİ'!$C7)*$M7</f>
        <v>0</v>
      </c>
      <c r="AZ7">
        <f>+SUMIFS('SU - Miktar-Grp'!AP:AP,'SU - Miktar-Grp'!$B:$B,'SU TEMİNİ'!$C7)*$M7</f>
        <v>0</v>
      </c>
      <c r="BA7">
        <f>+SUMIFS('SU - Miktar-Grp'!AQ:AQ,'SU - Miktar-Grp'!$B:$B,'SU TEMİNİ'!$C7)*$M7</f>
        <v>0</v>
      </c>
      <c r="BB7">
        <f>+SUMIFS('SU - Miktar-Grp'!AR:AR,'SU - Miktar-Grp'!$B:$B,'SU TEMİNİ'!$C7)*$M7</f>
        <v>0</v>
      </c>
      <c r="BC7">
        <f>+SUMIFS('SU - Miktar-Grp'!AS:AS,'SU - Miktar-Grp'!$B:$B,'SU TEMİNİ'!$C7)*$M7</f>
        <v>0</v>
      </c>
      <c r="BD7">
        <f>+SUMIFS('SU - Miktar-Grp'!AT:AT,'SU - Miktar-Grp'!$B:$B,'SU TEMİNİ'!$C7)*$M7</f>
        <v>0</v>
      </c>
      <c r="BE7">
        <f>+SUMIFS('SU - Miktar-Grp'!AU:AU,'SU - Miktar-Grp'!$B:$B,'SU TEMİNİ'!$C7)*$M7</f>
        <v>0</v>
      </c>
      <c r="BF7">
        <f>+SUMIFS('SU - Miktar-Grp'!AV:AV,'SU - Miktar-Grp'!$B:$B,'SU TEMİNİ'!$C7)*$M7</f>
        <v>0</v>
      </c>
      <c r="BG7">
        <f>+SUMIFS('SU - Miktar-Grp'!AW:AW,'SU - Miktar-Grp'!$B:$B,'SU TEMİNİ'!$C7)*$M7</f>
        <v>0</v>
      </c>
      <c r="BH7">
        <f>+SUMIFS('SU - Miktar-Grp'!AX:AX,'SU - Miktar-Grp'!$B:$B,'SU TEMİNİ'!$C7)*$M7</f>
        <v>0</v>
      </c>
      <c r="BI7">
        <f>+SUMIFS('SU - Miktar-Grp'!AY:AY,'SU - Miktar-Grp'!$B:$B,'SU TEMİNİ'!$C7)*$M7</f>
        <v>0</v>
      </c>
      <c r="BJ7">
        <f>+SUMIFS('SU - Miktar-Grp'!AZ:AZ,'SU - Miktar-Grp'!$B:$B,'SU TEMİNİ'!$C7)*$M7</f>
        <v>0</v>
      </c>
      <c r="BK7">
        <f>+SUMIFS('SU - Miktar-Grp'!BA:BA,'SU - Miktar-Grp'!$B:$B,'SU TEMİNİ'!$C7)*$M7</f>
        <v>0</v>
      </c>
      <c r="BL7">
        <f>+SUMIFS('SU - Miktar-Grp'!BB:BB,'SU - Miktar-Grp'!$B:$B,'SU TEMİNİ'!$C7)*$M7</f>
        <v>0</v>
      </c>
      <c r="BM7">
        <f>+SUMIFS('SU - Miktar-Grp'!BC:BC,'SU - Miktar-Grp'!$B:$B,'SU TEMİNİ'!$C7)*$M7</f>
        <v>0</v>
      </c>
      <c r="BN7">
        <f>+SUMIFS('SU - Miktar-Grp'!BD:BD,'SU - Miktar-Grp'!$B:$B,'SU TEMİNİ'!$C7)*$M7</f>
        <v>0</v>
      </c>
      <c r="BO7">
        <f>+SUMIFS('SU - Miktar-Grp'!BE:BE,'SU - Miktar-Grp'!$B:$B,'SU TEMİNİ'!$C7)*$M7</f>
        <v>0</v>
      </c>
      <c r="BP7">
        <f>+SUMIFS('SU - Miktar-Grp'!BF:BF,'SU - Miktar-Grp'!$B:$B,'SU TEMİNİ'!$C7)*$M7</f>
        <v>0</v>
      </c>
      <c r="BQ7">
        <f>+SUMIFS('SU - Miktar-Grp'!BG:BG,'SU - Miktar-Grp'!$B:$B,'SU TEMİNİ'!$C7)*$M7</f>
        <v>0</v>
      </c>
      <c r="BR7">
        <f>+SUMIFS('SU - Miktar-Grp'!BH:BH,'SU - Miktar-Grp'!$B:$B,'SU TEMİNİ'!$C7)*$M7</f>
        <v>0</v>
      </c>
      <c r="BS7">
        <f>+SUMIFS('SU - Miktar-Grp'!BI:BI,'SU - Miktar-Grp'!$B:$B,'SU TEMİNİ'!$C7)*$M7</f>
        <v>0</v>
      </c>
      <c r="BT7">
        <f>+SUMIFS('SU - Miktar-Grp'!BJ:BJ,'SU - Miktar-Grp'!$B:$B,'SU TEMİNİ'!$C7)*$M7</f>
        <v>0</v>
      </c>
      <c r="BU7">
        <f>+SUMIFS('SU - Miktar-Grp'!BK:BK,'SU - Miktar-Grp'!$B:$B,'SU TEMİNİ'!$C7)*$M7</f>
        <v>0</v>
      </c>
      <c r="BV7">
        <f>+SUMIFS('SU - Miktar-Grp'!BL:BL,'SU - Miktar-Grp'!$B:$B,'SU TEMİNİ'!$C7)*$M7</f>
        <v>0</v>
      </c>
      <c r="BW7">
        <f>+SUMIFS('SU - Miktar-Grp'!BM:BM,'SU - Miktar-Grp'!$B:$B,'SU TEMİNİ'!$C7)*$M7</f>
        <v>0</v>
      </c>
      <c r="BX7">
        <f>+SUMIFS('SU - Miktar-Grp'!BN:BN,'SU - Miktar-Grp'!$B:$B,'SU TEMİNİ'!$C7)*$M7</f>
        <v>0</v>
      </c>
    </row>
    <row r="8" spans="1:76">
      <c r="A8" s="3" t="s">
        <v>66</v>
      </c>
      <c r="B8" t="s">
        <v>5272</v>
      </c>
      <c r="C8" t="s">
        <v>6</v>
      </c>
      <c r="D8" t="s">
        <v>4967</v>
      </c>
      <c r="E8" t="s">
        <v>4968</v>
      </c>
      <c r="F8" t="s">
        <v>4973</v>
      </c>
      <c r="G8" t="s">
        <v>4983</v>
      </c>
      <c r="H8" t="s">
        <v>4984</v>
      </c>
      <c r="L8" s="126">
        <f t="shared" si="1"/>
        <v>4047.9349749768576</v>
      </c>
      <c r="M8">
        <v>0.252</v>
      </c>
      <c r="N8">
        <f>+SUMIFS('SU - Miktar-Grp'!D:D,'SU - Miktar-Grp'!$B:$B,'SU TEMİNİ'!$C8)*$M8</f>
        <v>0</v>
      </c>
      <c r="O8">
        <f>+SUMIFS('SU - Miktar-Grp'!E:E,'SU - Miktar-Grp'!$B:$B,'SU TEMİNİ'!$C8)*$M8</f>
        <v>0</v>
      </c>
      <c r="P8">
        <f>+SUMIFS('SU - Miktar-Grp'!F:F,'SU - Miktar-Grp'!$B:$B,'SU TEMİNİ'!$C8)*$M8</f>
        <v>0</v>
      </c>
      <c r="Q8">
        <f>+SUMIFS('SU - Miktar-Grp'!G:G,'SU - Miktar-Grp'!$B:$B,'SU TEMİNİ'!$C8)*$M8</f>
        <v>0</v>
      </c>
      <c r="R8">
        <f>+SUMIFS('SU - Miktar-Grp'!H:H,'SU - Miktar-Grp'!$B:$B,'SU TEMİNİ'!$C8)*$M8</f>
        <v>20.22588067535354</v>
      </c>
      <c r="S8">
        <f>+SUMIFS('SU - Miktar-Grp'!I:I,'SU - Miktar-Grp'!$B:$B,'SU TEMİNİ'!$C8)*$M8</f>
        <v>23.809862279318203</v>
      </c>
      <c r="T8">
        <f>+SUMIFS('SU - Miktar-Grp'!J:J,'SU - Miktar-Grp'!$B:$B,'SU TEMİNİ'!$C8)*$M8</f>
        <v>27.088233045328252</v>
      </c>
      <c r="U8">
        <f>+SUMIFS('SU - Miktar-Grp'!K:K,'SU - Miktar-Grp'!$B:$B,'SU TEMİNİ'!$C8)*$M8</f>
        <v>0.22176000000001317</v>
      </c>
      <c r="V8">
        <f>+SUMIFS('SU - Miktar-Grp'!L:L,'SU - Miktar-Grp'!$B:$B,'SU TEMİNİ'!$C8)*$M8</f>
        <v>17.322227999999996</v>
      </c>
      <c r="W8">
        <f>+SUMIFS('SU - Miktar-Grp'!M:M,'SU - Miktar-Grp'!$B:$B,'SU TEMİNİ'!$C8)*$M8</f>
        <v>0.36061199999999577</v>
      </c>
      <c r="X8">
        <f>+SUMIFS('SU - Miktar-Grp'!N:N,'SU - Miktar-Grp'!$B:$B,'SU TEMİNİ'!$C8)*$M8</f>
        <v>44.161890824736275</v>
      </c>
      <c r="Y8">
        <f>+SUMIFS('SU - Miktar-Grp'!O:O,'SU - Miktar-Grp'!$B:$B,'SU TEMİNİ'!$C8)*$M8</f>
        <v>57.462895800561</v>
      </c>
      <c r="Z8">
        <f>+SUMIFS('SU - Miktar-Grp'!P:P,'SU - Miktar-Grp'!$B:$B,'SU TEMİNİ'!$C8)*$M8</f>
        <v>104.99748414420458</v>
      </c>
      <c r="AA8">
        <f>+SUMIFS('SU - Miktar-Grp'!Q:Q,'SU - Miktar-Grp'!$B:$B,'SU TEMİNİ'!$C8)*$M8</f>
        <v>121.31802685480682</v>
      </c>
      <c r="AB8">
        <f>+SUMIFS('SU - Miktar-Grp'!R:R,'SU - Miktar-Grp'!$B:$B,'SU TEMİNİ'!$C8)*$M8</f>
        <v>111.60397560832418</v>
      </c>
      <c r="AC8">
        <f>+SUMIFS('SU - Miktar-Grp'!S:S,'SU - Miktar-Grp'!$B:$B,'SU TEMİNİ'!$C8)*$M8</f>
        <v>156.32614399230505</v>
      </c>
      <c r="AD8">
        <f>+SUMIFS('SU - Miktar-Grp'!T:T,'SU - Miktar-Grp'!$B:$B,'SU TEMİNİ'!$C8)*$M8</f>
        <v>232.94937240601081</v>
      </c>
      <c r="AE8">
        <f>+SUMIFS('SU - Miktar-Grp'!U:U,'SU - Miktar-Grp'!$B:$B,'SU TEMİNİ'!$C8)*$M8</f>
        <v>150.79342373141148</v>
      </c>
      <c r="AF8">
        <f>+SUMIFS('SU - Miktar-Grp'!V:V,'SU - Miktar-Grp'!$B:$B,'SU TEMİNİ'!$C8)*$M8</f>
        <v>147.20647000206947</v>
      </c>
      <c r="AG8">
        <f>+SUMIFS('SU - Miktar-Grp'!W:W,'SU - Miktar-Grp'!$B:$B,'SU TEMİNİ'!$C8)*$M8</f>
        <v>198.8849183988618</v>
      </c>
      <c r="AH8">
        <f>+SUMIFS('SU - Miktar-Grp'!X:X,'SU - Miktar-Grp'!$B:$B,'SU TEMİNİ'!$C8)*$M8</f>
        <v>255.50213211399551</v>
      </c>
      <c r="AI8">
        <f>+SUMIFS('SU - Miktar-Grp'!Y:Y,'SU - Miktar-Grp'!$B:$B,'SU TEMİNİ'!$C8)*$M8</f>
        <v>251.91517838465342</v>
      </c>
      <c r="AJ8">
        <f>+SUMIFS('SU - Miktar-Grp'!Z:Z,'SU - Miktar-Grp'!$B:$B,'SU TEMİNİ'!$C8)*$M8</f>
        <v>251.91517838465342</v>
      </c>
      <c r="AK8">
        <f>+SUMIFS('SU - Miktar-Grp'!AA:AA,'SU - Miktar-Grp'!$B:$B,'SU TEMİNİ'!$C8)*$M8</f>
        <v>221.60092643571599</v>
      </c>
      <c r="AL8">
        <f>+SUMIFS('SU - Miktar-Grp'!AB:AB,'SU - Miktar-Grp'!$B:$B,'SU TEMİNİ'!$C8)*$M8</f>
        <v>166.54308513222784</v>
      </c>
      <c r="AM8">
        <f>+SUMIFS('SU - Miktar-Grp'!AC:AC,'SU - Miktar-Grp'!$B:$B,'SU TEMİNİ'!$C8)*$M8</f>
        <v>125.34554793406062</v>
      </c>
      <c r="AN8">
        <f>+SUMIFS('SU - Miktar-Grp'!AD:AD,'SU - Miktar-Grp'!$B:$B,'SU TEMİNİ'!$C8)*$M8</f>
        <v>110.83342772866824</v>
      </c>
      <c r="AO8">
        <f>+SUMIFS('SU - Miktar-Grp'!AE:AE,'SU - Miktar-Grp'!$B:$B,'SU TEMİNİ'!$C8)*$M8</f>
        <v>115.10618653639689</v>
      </c>
      <c r="AP8">
        <f>+SUMIFS('SU - Miktar-Grp'!AF:AF,'SU - Miktar-Grp'!$B:$B,'SU TEMİNİ'!$C8)*$M8</f>
        <v>138.12124275870431</v>
      </c>
      <c r="AQ8">
        <f>+SUMIFS('SU - Miktar-Grp'!AG:AG,'SU - Miktar-Grp'!$B:$B,'SU TEMİNİ'!$C8)*$M8</f>
        <v>141.70819648804635</v>
      </c>
      <c r="AR8">
        <f>+SUMIFS('SU - Miktar-Grp'!AH:AH,'SU - Miktar-Grp'!$B:$B,'SU TEMİNİ'!$C8)*$M8</f>
        <v>141.70819648804635</v>
      </c>
      <c r="AS8">
        <f>+SUMIFS('SU - Miktar-Grp'!AI:AI,'SU - Miktar-Grp'!$B:$B,'SU TEMİNİ'!$C8)*$M8</f>
        <v>141.70819648804635</v>
      </c>
      <c r="AT8">
        <f>+SUMIFS('SU - Miktar-Grp'!AJ:AJ,'SU - Miktar-Grp'!$B:$B,'SU TEMİNİ'!$C8)*$M8</f>
        <v>138.12124275870431</v>
      </c>
      <c r="AU8">
        <f>+SUMIFS('SU - Miktar-Grp'!AK:AK,'SU - Miktar-Grp'!$B:$B,'SU TEMİNİ'!$C8)*$M8</f>
        <v>134.53428902936224</v>
      </c>
      <c r="AV8">
        <f>+SUMIFS('SU - Miktar-Grp'!AL:AL,'SU - Miktar-Grp'!$B:$B,'SU TEMİNİ'!$C8)*$M8</f>
        <v>134.53428902936224</v>
      </c>
      <c r="AW8">
        <f>+SUMIFS('SU - Miktar-Grp'!AM:AM,'SU - Miktar-Grp'!$B:$B,'SU TEMİNİ'!$C8)*$M8</f>
        <v>38.856204985930702</v>
      </c>
      <c r="AX8">
        <f>+SUMIFS('SU - Miktar-Grp'!AN:AN,'SU - Miktar-Grp'!$B:$B,'SU TEMİNİ'!$C8)*$M8</f>
        <v>43.146035775531104</v>
      </c>
      <c r="AY8">
        <f>+SUMIFS('SU - Miktar-Grp'!AO:AO,'SU - Miktar-Grp'!$B:$B,'SU TEMİNİ'!$C8)*$M8</f>
        <v>43.146035775531104</v>
      </c>
      <c r="AZ8">
        <f>+SUMIFS('SU - Miktar-Grp'!AP:AP,'SU - Miktar-Grp'!$B:$B,'SU TEMİNİ'!$C8)*$M8</f>
        <v>38.856204985930702</v>
      </c>
      <c r="BA8">
        <f>+SUMIFS('SU - Miktar-Grp'!AQ:AQ,'SU - Miktar-Grp'!$B:$B,'SU TEMİNİ'!$C8)*$M8</f>
        <v>0</v>
      </c>
      <c r="BB8">
        <f>+SUMIFS('SU - Miktar-Grp'!AR:AR,'SU - Miktar-Grp'!$B:$B,'SU TEMİNİ'!$C8)*$M8</f>
        <v>0</v>
      </c>
      <c r="BC8">
        <f>+SUMIFS('SU - Miktar-Grp'!AS:AS,'SU - Miktar-Grp'!$B:$B,'SU TEMİNİ'!$C8)*$M8</f>
        <v>0</v>
      </c>
      <c r="BD8">
        <f>+SUMIFS('SU - Miktar-Grp'!AT:AT,'SU - Miktar-Grp'!$B:$B,'SU TEMİNİ'!$C8)*$M8</f>
        <v>0</v>
      </c>
      <c r="BE8">
        <f>+SUMIFS('SU - Miktar-Grp'!AU:AU,'SU - Miktar-Grp'!$B:$B,'SU TEMİNİ'!$C8)*$M8</f>
        <v>0</v>
      </c>
      <c r="BF8">
        <f>+SUMIFS('SU - Miktar-Grp'!AV:AV,'SU - Miktar-Grp'!$B:$B,'SU TEMİNİ'!$C8)*$M8</f>
        <v>0</v>
      </c>
      <c r="BG8">
        <f>+SUMIFS('SU - Miktar-Grp'!AW:AW,'SU - Miktar-Grp'!$B:$B,'SU TEMİNİ'!$C8)*$M8</f>
        <v>0</v>
      </c>
      <c r="BH8">
        <f>+SUMIFS('SU - Miktar-Grp'!AX:AX,'SU - Miktar-Grp'!$B:$B,'SU TEMİNİ'!$C8)*$M8</f>
        <v>0</v>
      </c>
      <c r="BI8">
        <f>+SUMIFS('SU - Miktar-Grp'!AY:AY,'SU - Miktar-Grp'!$B:$B,'SU TEMİNİ'!$C8)*$M8</f>
        <v>0</v>
      </c>
      <c r="BJ8">
        <f>+SUMIFS('SU - Miktar-Grp'!AZ:AZ,'SU - Miktar-Grp'!$B:$B,'SU TEMİNİ'!$C8)*$M8</f>
        <v>0</v>
      </c>
      <c r="BK8">
        <f>+SUMIFS('SU - Miktar-Grp'!BA:BA,'SU - Miktar-Grp'!$B:$B,'SU TEMİNİ'!$C8)*$M8</f>
        <v>0</v>
      </c>
      <c r="BL8">
        <f>+SUMIFS('SU - Miktar-Grp'!BB:BB,'SU - Miktar-Grp'!$B:$B,'SU TEMİNİ'!$C8)*$M8</f>
        <v>0</v>
      </c>
      <c r="BM8">
        <f>+SUMIFS('SU - Miktar-Grp'!BC:BC,'SU - Miktar-Grp'!$B:$B,'SU TEMİNİ'!$C8)*$M8</f>
        <v>0</v>
      </c>
      <c r="BN8">
        <f>+SUMIFS('SU - Miktar-Grp'!BD:BD,'SU - Miktar-Grp'!$B:$B,'SU TEMİNİ'!$C8)*$M8</f>
        <v>0</v>
      </c>
      <c r="BO8">
        <f>+SUMIFS('SU - Miktar-Grp'!BE:BE,'SU - Miktar-Grp'!$B:$B,'SU TEMİNİ'!$C8)*$M8</f>
        <v>0</v>
      </c>
      <c r="BP8">
        <f>+SUMIFS('SU - Miktar-Grp'!BF:BF,'SU - Miktar-Grp'!$B:$B,'SU TEMİNİ'!$C8)*$M8</f>
        <v>0</v>
      </c>
      <c r="BQ8">
        <f>+SUMIFS('SU - Miktar-Grp'!BG:BG,'SU - Miktar-Grp'!$B:$B,'SU TEMİNİ'!$C8)*$M8</f>
        <v>0</v>
      </c>
      <c r="BR8">
        <f>+SUMIFS('SU - Miktar-Grp'!BH:BH,'SU - Miktar-Grp'!$B:$B,'SU TEMİNİ'!$C8)*$M8</f>
        <v>0</v>
      </c>
      <c r="BS8">
        <f>+SUMIFS('SU - Miktar-Grp'!BI:BI,'SU - Miktar-Grp'!$B:$B,'SU TEMİNİ'!$C8)*$M8</f>
        <v>0</v>
      </c>
      <c r="BT8">
        <f>+SUMIFS('SU - Miktar-Grp'!BJ:BJ,'SU - Miktar-Grp'!$B:$B,'SU TEMİNİ'!$C8)*$M8</f>
        <v>0</v>
      </c>
      <c r="BU8">
        <f>+SUMIFS('SU - Miktar-Grp'!BK:BK,'SU - Miktar-Grp'!$B:$B,'SU TEMİNİ'!$C8)*$M8</f>
        <v>0</v>
      </c>
      <c r="BV8">
        <f>+SUMIFS('SU - Miktar-Grp'!BL:BL,'SU - Miktar-Grp'!$B:$B,'SU TEMİNİ'!$C8)*$M8</f>
        <v>0</v>
      </c>
      <c r="BW8">
        <f>+SUMIFS('SU - Miktar-Grp'!BM:BM,'SU - Miktar-Grp'!$B:$B,'SU TEMİNİ'!$C8)*$M8</f>
        <v>0</v>
      </c>
      <c r="BX8">
        <f>+SUMIFS('SU - Miktar-Grp'!BN:BN,'SU - Miktar-Grp'!$B:$B,'SU TEMİNİ'!$C8)*$M8</f>
        <v>0</v>
      </c>
    </row>
    <row r="9" spans="1:76">
      <c r="A9" s="3" t="s">
        <v>66</v>
      </c>
      <c r="B9" t="s">
        <v>5272</v>
      </c>
      <c r="C9" t="s">
        <v>7</v>
      </c>
      <c r="D9" t="s">
        <v>4967</v>
      </c>
      <c r="E9" t="s">
        <v>4968</v>
      </c>
      <c r="F9" t="s">
        <v>4973</v>
      </c>
      <c r="G9" t="s">
        <v>4983</v>
      </c>
      <c r="H9" t="s">
        <v>4984</v>
      </c>
      <c r="L9" s="126">
        <f t="shared" si="1"/>
        <v>2956.7233079999992</v>
      </c>
      <c r="M9">
        <v>0.23100000000000001</v>
      </c>
      <c r="N9">
        <f>+SUMIFS('SU - Miktar-Grp'!D:D,'SU - Miktar-Grp'!$B:$B,'SU TEMİNİ'!$C9)*$M9</f>
        <v>0</v>
      </c>
      <c r="O9">
        <f>+SUMIFS('SU - Miktar-Grp'!E:E,'SU - Miktar-Grp'!$B:$B,'SU TEMİNİ'!$C9)*$M9</f>
        <v>0</v>
      </c>
      <c r="P9">
        <f>+SUMIFS('SU - Miktar-Grp'!F:F,'SU - Miktar-Grp'!$B:$B,'SU TEMİNİ'!$C9)*$M9</f>
        <v>74.617620000000002</v>
      </c>
      <c r="Q9">
        <f>+SUMIFS('SU - Miktar-Grp'!G:G,'SU - Miktar-Grp'!$B:$B,'SU TEMİNİ'!$C9)*$M9</f>
        <v>83.75136000000002</v>
      </c>
      <c r="R9">
        <f>+SUMIFS('SU - Miktar-Grp'!H:H,'SU - Miktar-Grp'!$B:$B,'SU TEMİNİ'!$C9)*$M9</f>
        <v>94.195626526646521</v>
      </c>
      <c r="S9">
        <f>+SUMIFS('SU - Miktar-Grp'!I:I,'SU - Miktar-Grp'!$B:$B,'SU TEMİNİ'!$C9)*$M9</f>
        <v>110.88688452743197</v>
      </c>
      <c r="T9">
        <f>+SUMIFS('SU - Miktar-Grp'!J:J,'SU - Miktar-Grp'!$B:$B,'SU TEMİNİ'!$C9)*$M9</f>
        <v>126.15485694592152</v>
      </c>
      <c r="U9">
        <f>+SUMIFS('SU - Miktar-Grp'!K:K,'SU - Miktar-Grp'!$B:$B,'SU TEMİNİ'!$C9)*$M9</f>
        <v>3.9297927899996463E-2</v>
      </c>
      <c r="V9">
        <f>+SUMIFS('SU - Miktar-Grp'!L:L,'SU - Miktar-Grp'!$B:$B,'SU TEMİNİ'!$C9)*$M9</f>
        <v>138.50944800000008</v>
      </c>
      <c r="W9">
        <f>+SUMIFS('SU - Miktar-Grp'!M:M,'SU - Miktar-Grp'!$B:$B,'SU TEMİNİ'!$C9)*$M9</f>
        <v>42.471428999999986</v>
      </c>
      <c r="X9">
        <f>+SUMIFS('SU - Miktar-Grp'!N:N,'SU - Miktar-Grp'!$B:$B,'SU TEMİNİ'!$C9)*$M9</f>
        <v>4.685112092387981</v>
      </c>
      <c r="Y9">
        <f>+SUMIFS('SU - Miktar-Grp'!O:O,'SU - Miktar-Grp'!$B:$B,'SU TEMİNİ'!$C9)*$M9</f>
        <v>11.012188649104383</v>
      </c>
      <c r="Z9">
        <f>+SUMIFS('SU - Miktar-Grp'!P:P,'SU - Miktar-Grp'!$B:$B,'SU TEMİNİ'!$C9)*$M9</f>
        <v>64.734230550178978</v>
      </c>
      <c r="AA9">
        <f>+SUMIFS('SU - Miktar-Grp'!Q:Q,'SU - Miktar-Grp'!$B:$B,'SU TEMİNİ'!$C9)*$M9</f>
        <v>68.930279302583216</v>
      </c>
      <c r="AB9">
        <f>+SUMIFS('SU - Miktar-Grp'!R:R,'SU - Miktar-Grp'!$B:$B,'SU TEMİNİ'!$C9)*$M9</f>
        <v>65.43510980305436</v>
      </c>
      <c r="AC9">
        <f>+SUMIFS('SU - Miktar-Grp'!S:S,'SU - Miktar-Grp'!$B:$B,'SU TEMİNİ'!$C9)*$M9</f>
        <v>67.722317569906863</v>
      </c>
      <c r="AD9">
        <f>+SUMIFS('SU - Miktar-Grp'!T:T,'SU - Miktar-Grp'!$B:$B,'SU TEMİNİ'!$C9)*$M9</f>
        <v>134.88299563502156</v>
      </c>
      <c r="AE9">
        <f>+SUMIFS('SU - Miktar-Grp'!U:U,'SU - Miktar-Grp'!$B:$B,'SU TEMİNİ'!$C9)*$M9</f>
        <v>75.023380732185188</v>
      </c>
      <c r="AF9">
        <f>+SUMIFS('SU - Miktar-Grp'!V:V,'SU - Miktar-Grp'!$B:$B,'SU TEMİNİ'!$C9)*$M9</f>
        <v>72.191473674997638</v>
      </c>
      <c r="AG9">
        <f>+SUMIFS('SU - Miktar-Grp'!W:W,'SU - Miktar-Grp'!$B:$B,'SU TEMİNİ'!$C9)*$M9</f>
        <v>128.99045967157915</v>
      </c>
      <c r="AH9">
        <f>+SUMIFS('SU - Miktar-Grp'!X:X,'SU - Miktar-Grp'!$B:$B,'SU TEMİNİ'!$C9)*$M9</f>
        <v>185.576591835507</v>
      </c>
      <c r="AI9">
        <f>+SUMIFS('SU - Miktar-Grp'!Y:Y,'SU - Miktar-Grp'!$B:$B,'SU TEMİNİ'!$C9)*$M9</f>
        <v>182.7446847783194</v>
      </c>
      <c r="AJ9">
        <f>+SUMIFS('SU - Miktar-Grp'!Z:Z,'SU - Miktar-Grp'!$B:$B,'SU TEMİNİ'!$C9)*$M9</f>
        <v>182.7446847783194</v>
      </c>
      <c r="AK9">
        <f>+SUMIFS('SU - Miktar-Grp'!AA:AA,'SU - Miktar-Grp'!$B:$B,'SU TEMİNİ'!$C9)*$M9</f>
        <v>160.23782161908758</v>
      </c>
      <c r="AL9">
        <f>+SUMIFS('SU - Miktar-Grp'!AB:AB,'SU - Miktar-Grp'!$B:$B,'SU TEMİNİ'!$C9)*$M9</f>
        <v>105.21020580713231</v>
      </c>
      <c r="AM9">
        <f>+SUMIFS('SU - Miktar-Grp'!AC:AC,'SU - Miktar-Grp'!$B:$B,'SU TEMİNİ'!$C9)*$M9</f>
        <v>71.26334950848161</v>
      </c>
      <c r="AN9">
        <f>+SUMIFS('SU - Miktar-Grp'!AD:AD,'SU - Miktar-Grp'!$B:$B,'SU TEMİNİ'!$C9)*$M9</f>
        <v>62.972745079806309</v>
      </c>
      <c r="AO9">
        <f>+SUMIFS('SU - Miktar-Grp'!AE:AE,'SU - Miktar-Grp'!$B:$B,'SU TEMİNİ'!$C9)*$M9</f>
        <v>63.429029450478737</v>
      </c>
      <c r="AP9">
        <f>+SUMIFS('SU - Miktar-Grp'!AF:AF,'SU - Miktar-Grp'!$B:$B,'SU TEMİNİ'!$C9)*$M9</f>
        <v>73.251275506723999</v>
      </c>
      <c r="AQ9">
        <f>+SUMIFS('SU - Miktar-Grp'!AG:AG,'SU - Miktar-Grp'!$B:$B,'SU TEMİNİ'!$C9)*$M9</f>
        <v>76.083182563911535</v>
      </c>
      <c r="AR9">
        <f>+SUMIFS('SU - Miktar-Grp'!AH:AH,'SU - Miktar-Grp'!$B:$B,'SU TEMİNİ'!$C9)*$M9</f>
        <v>76.083182563911535</v>
      </c>
      <c r="AS9">
        <f>+SUMIFS('SU - Miktar-Grp'!AI:AI,'SU - Miktar-Grp'!$B:$B,'SU TEMİNİ'!$C9)*$M9</f>
        <v>76.083182563911535</v>
      </c>
      <c r="AT9">
        <f>+SUMIFS('SU - Miktar-Grp'!AJ:AJ,'SU - Miktar-Grp'!$B:$B,'SU TEMİNİ'!$C9)*$M9</f>
        <v>73.251275506723999</v>
      </c>
      <c r="AU9">
        <f>+SUMIFS('SU - Miktar-Grp'!AK:AK,'SU - Miktar-Grp'!$B:$B,'SU TEMİNİ'!$C9)*$M9</f>
        <v>70.419368449536449</v>
      </c>
      <c r="AV9">
        <f>+SUMIFS('SU - Miktar-Grp'!AL:AL,'SU - Miktar-Grp'!$B:$B,'SU TEMİNİ'!$C9)*$M9</f>
        <v>70.419368449536449</v>
      </c>
      <c r="AW9">
        <f>+SUMIFS('SU - Miktar-Grp'!AM:AM,'SU - Miktar-Grp'!$B:$B,'SU TEMİNİ'!$C9)*$M9</f>
        <v>13.980677998115405</v>
      </c>
      <c r="AX9">
        <f>+SUMIFS('SU - Miktar-Grp'!AN:AN,'SU - Miktar-Grp'!$B:$B,'SU TEMİNİ'!$C9)*$M9</f>
        <v>17.37896646674049</v>
      </c>
      <c r="AY9">
        <f>+SUMIFS('SU - Miktar-Grp'!AO:AO,'SU - Miktar-Grp'!$B:$B,'SU TEMİNİ'!$C9)*$M9</f>
        <v>17.37896646674049</v>
      </c>
      <c r="AZ9">
        <f>+SUMIFS('SU - Miktar-Grp'!AP:AP,'SU - Miktar-Grp'!$B:$B,'SU TEMİNİ'!$C9)*$M9</f>
        <v>13.980677998115405</v>
      </c>
      <c r="BA9">
        <f>+SUMIFS('SU - Miktar-Grp'!AQ:AQ,'SU - Miktar-Grp'!$B:$B,'SU TEMİNİ'!$C9)*$M9</f>
        <v>0</v>
      </c>
      <c r="BB9">
        <f>+SUMIFS('SU - Miktar-Grp'!AR:AR,'SU - Miktar-Grp'!$B:$B,'SU TEMİNİ'!$C9)*$M9</f>
        <v>0</v>
      </c>
      <c r="BC9">
        <f>+SUMIFS('SU - Miktar-Grp'!AS:AS,'SU - Miktar-Grp'!$B:$B,'SU TEMİNİ'!$C9)*$M9</f>
        <v>0</v>
      </c>
      <c r="BD9">
        <f>+SUMIFS('SU - Miktar-Grp'!AT:AT,'SU - Miktar-Grp'!$B:$B,'SU TEMİNİ'!$C9)*$M9</f>
        <v>0</v>
      </c>
      <c r="BE9">
        <f>+SUMIFS('SU - Miktar-Grp'!AU:AU,'SU - Miktar-Grp'!$B:$B,'SU TEMİNİ'!$C9)*$M9</f>
        <v>0</v>
      </c>
      <c r="BF9">
        <f>+SUMIFS('SU - Miktar-Grp'!AV:AV,'SU - Miktar-Grp'!$B:$B,'SU TEMİNİ'!$C9)*$M9</f>
        <v>0</v>
      </c>
      <c r="BG9">
        <f>+SUMIFS('SU - Miktar-Grp'!AW:AW,'SU - Miktar-Grp'!$B:$B,'SU TEMİNİ'!$C9)*$M9</f>
        <v>0</v>
      </c>
      <c r="BH9">
        <f>+SUMIFS('SU - Miktar-Grp'!AX:AX,'SU - Miktar-Grp'!$B:$B,'SU TEMİNİ'!$C9)*$M9</f>
        <v>0</v>
      </c>
      <c r="BI9">
        <f>+SUMIFS('SU - Miktar-Grp'!AY:AY,'SU - Miktar-Grp'!$B:$B,'SU TEMİNİ'!$C9)*$M9</f>
        <v>0</v>
      </c>
      <c r="BJ9">
        <f>+SUMIFS('SU - Miktar-Grp'!AZ:AZ,'SU - Miktar-Grp'!$B:$B,'SU TEMİNİ'!$C9)*$M9</f>
        <v>0</v>
      </c>
      <c r="BK9">
        <f>+SUMIFS('SU - Miktar-Grp'!BA:BA,'SU - Miktar-Grp'!$B:$B,'SU TEMİNİ'!$C9)*$M9</f>
        <v>0</v>
      </c>
      <c r="BL9">
        <f>+SUMIFS('SU - Miktar-Grp'!BB:BB,'SU - Miktar-Grp'!$B:$B,'SU TEMİNİ'!$C9)*$M9</f>
        <v>0</v>
      </c>
      <c r="BM9">
        <f>+SUMIFS('SU - Miktar-Grp'!BC:BC,'SU - Miktar-Grp'!$B:$B,'SU TEMİNİ'!$C9)*$M9</f>
        <v>0</v>
      </c>
      <c r="BN9">
        <f>+SUMIFS('SU - Miktar-Grp'!BD:BD,'SU - Miktar-Grp'!$B:$B,'SU TEMİNİ'!$C9)*$M9</f>
        <v>0</v>
      </c>
      <c r="BO9">
        <f>+SUMIFS('SU - Miktar-Grp'!BE:BE,'SU - Miktar-Grp'!$B:$B,'SU TEMİNİ'!$C9)*$M9</f>
        <v>0</v>
      </c>
      <c r="BP9">
        <f>+SUMIFS('SU - Miktar-Grp'!BF:BF,'SU - Miktar-Grp'!$B:$B,'SU TEMİNİ'!$C9)*$M9</f>
        <v>0</v>
      </c>
      <c r="BQ9">
        <f>+SUMIFS('SU - Miktar-Grp'!BG:BG,'SU - Miktar-Grp'!$B:$B,'SU TEMİNİ'!$C9)*$M9</f>
        <v>0</v>
      </c>
      <c r="BR9">
        <f>+SUMIFS('SU - Miktar-Grp'!BH:BH,'SU - Miktar-Grp'!$B:$B,'SU TEMİNİ'!$C9)*$M9</f>
        <v>0</v>
      </c>
      <c r="BS9">
        <f>+SUMIFS('SU - Miktar-Grp'!BI:BI,'SU - Miktar-Grp'!$B:$B,'SU TEMİNİ'!$C9)*$M9</f>
        <v>0</v>
      </c>
      <c r="BT9">
        <f>+SUMIFS('SU - Miktar-Grp'!BJ:BJ,'SU - Miktar-Grp'!$B:$B,'SU TEMİNİ'!$C9)*$M9</f>
        <v>0</v>
      </c>
      <c r="BU9">
        <f>+SUMIFS('SU - Miktar-Grp'!BK:BK,'SU - Miktar-Grp'!$B:$B,'SU TEMİNİ'!$C9)*$M9</f>
        <v>0</v>
      </c>
      <c r="BV9">
        <f>+SUMIFS('SU - Miktar-Grp'!BL:BL,'SU - Miktar-Grp'!$B:$B,'SU TEMİNİ'!$C9)*$M9</f>
        <v>0</v>
      </c>
      <c r="BW9">
        <f>+SUMIFS('SU - Miktar-Grp'!BM:BM,'SU - Miktar-Grp'!$B:$B,'SU TEMİNİ'!$C9)*$M9</f>
        <v>0</v>
      </c>
      <c r="BX9">
        <f>+SUMIFS('SU - Miktar-Grp'!BN:BN,'SU - Miktar-Grp'!$B:$B,'SU TEMİNİ'!$C9)*$M9</f>
        <v>0</v>
      </c>
    </row>
    <row r="10" spans="1:76">
      <c r="A10" s="3" t="s">
        <v>66</v>
      </c>
      <c r="B10" t="s">
        <v>5272</v>
      </c>
      <c r="C10" t="s">
        <v>5193</v>
      </c>
      <c r="D10" t="s">
        <v>4967</v>
      </c>
      <c r="E10" t="s">
        <v>4968</v>
      </c>
      <c r="F10" t="s">
        <v>4973</v>
      </c>
      <c r="G10" t="s">
        <v>4983</v>
      </c>
      <c r="H10" t="s">
        <v>4984</v>
      </c>
      <c r="L10" s="126">
        <f t="shared" si="1"/>
        <v>63173.057608147152</v>
      </c>
      <c r="M10">
        <v>0.22050000000000003</v>
      </c>
      <c r="N10">
        <f>+SUMIFS('SU - Miktar-Grp'!D:D,'SU - Miktar-Grp'!$B:$B,'SU TEMİNİ'!$C10)*$M10</f>
        <v>0</v>
      </c>
      <c r="O10">
        <f>+SUMIFS('SU - Miktar-Grp'!E:E,'SU - Miktar-Grp'!$B:$B,'SU TEMİNİ'!$C10)*$M10</f>
        <v>0</v>
      </c>
      <c r="P10">
        <f>+SUMIFS('SU - Miktar-Grp'!F:F,'SU - Miktar-Grp'!$B:$B,'SU TEMİNİ'!$C10)*$M10</f>
        <v>0</v>
      </c>
      <c r="Q10">
        <f>+SUMIFS('SU - Miktar-Grp'!G:G,'SU - Miktar-Grp'!$B:$B,'SU TEMİNİ'!$C10)*$M10</f>
        <v>0</v>
      </c>
      <c r="R10">
        <f>+SUMIFS('SU - Miktar-Grp'!H:H,'SU - Miktar-Grp'!$B:$B,'SU TEMİNİ'!$C10)*$M10</f>
        <v>1.2212364937713469</v>
      </c>
      <c r="S10">
        <f>+SUMIFS('SU - Miktar-Grp'!I:I,'SU - Miktar-Grp'!$B:$B,'SU TEMİNİ'!$C10)*$M10</f>
        <v>1.4376369164782954</v>
      </c>
      <c r="T10">
        <f>+SUMIFS('SU - Miktar-Grp'!J:J,'SU - Miktar-Grp'!$B:$B,'SU TEMİNİ'!$C10)*$M10</f>
        <v>1.6355845897503576</v>
      </c>
      <c r="U10">
        <f>+SUMIFS('SU - Miktar-Grp'!K:K,'SU - Miktar-Grp'!$B:$B,'SU TEMİNİ'!$C10)*$M10</f>
        <v>74.886871500000026</v>
      </c>
      <c r="V10">
        <f>+SUMIFS('SU - Miktar-Grp'!L:L,'SU - Miktar-Grp'!$B:$B,'SU TEMİNİ'!$C10)*$M10</f>
        <v>0.97571250000000265</v>
      </c>
      <c r="W10">
        <f>+SUMIFS('SU - Miktar-Grp'!M:M,'SU - Miktar-Grp'!$B:$B,'SU TEMİNİ'!$C10)*$M10</f>
        <v>47.381701500000005</v>
      </c>
      <c r="X10">
        <f>+SUMIFS('SU - Miktar-Grp'!N:N,'SU - Miktar-Grp'!$B:$B,'SU TEMİNİ'!$C10)*$M10</f>
        <v>634.28976319195385</v>
      </c>
      <c r="Y10">
        <f>+SUMIFS('SU - Miktar-Grp'!O:O,'SU - Miktar-Grp'!$B:$B,'SU TEMİNİ'!$C10)*$M10</f>
        <v>1038.9689878062177</v>
      </c>
      <c r="Z10">
        <f>+SUMIFS('SU - Miktar-Grp'!P:P,'SU - Miktar-Grp'!$B:$B,'SU TEMİNİ'!$C10)*$M10</f>
        <v>1862.1893689802323</v>
      </c>
      <c r="AA10">
        <f>+SUMIFS('SU - Miktar-Grp'!Q:Q,'SU - Miktar-Grp'!$B:$B,'SU TEMİNİ'!$C10)*$M10</f>
        <v>1968.5321019985099</v>
      </c>
      <c r="AB10">
        <f>+SUMIFS('SU - Miktar-Grp'!R:R,'SU - Miktar-Grp'!$B:$B,'SU TEMİNİ'!$C10)*$M10</f>
        <v>1694.039530824778</v>
      </c>
      <c r="AC10">
        <f>+SUMIFS('SU - Miktar-Grp'!S:S,'SU - Miktar-Grp'!$B:$B,'SU TEMİNİ'!$C10)*$M10</f>
        <v>2319.6309740945312</v>
      </c>
      <c r="AD10">
        <f>+SUMIFS('SU - Miktar-Grp'!T:T,'SU - Miktar-Grp'!$B:$B,'SU TEMİNİ'!$C10)*$M10</f>
        <v>3685.2140245873811</v>
      </c>
      <c r="AE10">
        <f>+SUMIFS('SU - Miktar-Grp'!U:U,'SU - Miktar-Grp'!$B:$B,'SU TEMİNİ'!$C10)*$M10</f>
        <v>2563.9430459271407</v>
      </c>
      <c r="AF10">
        <f>+SUMIFS('SU - Miktar-Grp'!V:V,'SU - Miktar-Grp'!$B:$B,'SU TEMİNİ'!$C10)*$M10</f>
        <v>2207.1690027983118</v>
      </c>
      <c r="AG10">
        <f>+SUMIFS('SU - Miktar-Grp'!W:W,'SU - Miktar-Grp'!$B:$B,'SU TEMİNİ'!$C10)*$M10</f>
        <v>3111.2315760189608</v>
      </c>
      <c r="AH10">
        <f>+SUMIFS('SU - Miktar-Grp'!X:X,'SU - Miktar-Grp'!$B:$B,'SU TEMİNİ'!$C10)*$M10</f>
        <v>4199.3364184697966</v>
      </c>
      <c r="AI10">
        <f>+SUMIFS('SU - Miktar-Grp'!Y:Y,'SU - Miktar-Grp'!$B:$B,'SU TEMİNİ'!$C10)*$M10</f>
        <v>3842.5623753409659</v>
      </c>
      <c r="AJ10">
        <f>+SUMIFS('SU - Miktar-Grp'!Z:Z,'SU - Miktar-Grp'!$B:$B,'SU TEMİNİ'!$C10)*$M10</f>
        <v>3842.5623753409659</v>
      </c>
      <c r="AK10">
        <f>+SUMIFS('SU - Miktar-Grp'!AA:AA,'SU - Miktar-Grp'!$B:$B,'SU TEMİNİ'!$C10)*$M10</f>
        <v>3367.0415108412712</v>
      </c>
      <c r="AL10">
        <f>+SUMIFS('SU - Miktar-Grp'!AB:AB,'SU - Miktar-Grp'!$B:$B,'SU TEMİNİ'!$C10)*$M10</f>
        <v>2529.2522930065147</v>
      </c>
      <c r="AM10">
        <f>+SUMIFS('SU - Miktar-Grp'!AC:AC,'SU - Miktar-Grp'!$B:$B,'SU TEMİNİ'!$C10)*$M10</f>
        <v>1953.9161052696245</v>
      </c>
      <c r="AN10">
        <f>+SUMIFS('SU - Miktar-Grp'!AD:AD,'SU - Miktar-Grp'!$B:$B,'SU TEMİNİ'!$C10)*$M10</f>
        <v>1719.7072753160976</v>
      </c>
      <c r="AO10">
        <f>+SUMIFS('SU - Miktar-Grp'!AE:AE,'SU - Miktar-Grp'!$B:$B,'SU TEMİNİ'!$C10)*$M10</f>
        <v>1786.1522138548319</v>
      </c>
      <c r="AP10">
        <f>+SUMIFS('SU - Miktar-Grp'!AF:AF,'SU - Miktar-Grp'!$B:$B,'SU TEMİNİ'!$C10)*$M10</f>
        <v>2238.7366199545309</v>
      </c>
      <c r="AQ10">
        <f>+SUMIFS('SU - Miktar-Grp'!AG:AG,'SU - Miktar-Grp'!$B:$B,'SU TEMİNİ'!$C10)*$M10</f>
        <v>2368.9232733950635</v>
      </c>
      <c r="AR10">
        <f>+SUMIFS('SU - Miktar-Grp'!AH:AH,'SU - Miktar-Grp'!$B:$B,'SU TEMİNİ'!$C10)*$M10</f>
        <v>2368.9232733950635</v>
      </c>
      <c r="AS10">
        <f>+SUMIFS('SU - Miktar-Grp'!AI:AI,'SU - Miktar-Grp'!$B:$B,'SU TEMİNİ'!$C10)*$M10</f>
        <v>2368.9232733950635</v>
      </c>
      <c r="AT10">
        <f>+SUMIFS('SU - Miktar-Grp'!AJ:AJ,'SU - Miktar-Grp'!$B:$B,'SU TEMİNİ'!$C10)*$M10</f>
        <v>2238.7366199545309</v>
      </c>
      <c r="AU10">
        <f>+SUMIFS('SU - Miktar-Grp'!AK:AK,'SU - Miktar-Grp'!$B:$B,'SU TEMİNİ'!$C10)*$M10</f>
        <v>2108.5499665139987</v>
      </c>
      <c r="AV10">
        <f>+SUMIFS('SU - Miktar-Grp'!AL:AL,'SU - Miktar-Grp'!$B:$B,'SU TEMİNİ'!$C10)*$M10</f>
        <v>2108.5499665139987</v>
      </c>
      <c r="AW10">
        <f>+SUMIFS('SU - Miktar-Grp'!AM:AM,'SU - Miktar-Grp'!$B:$B,'SU TEMİNİ'!$C10)*$M10</f>
        <v>644.7955053183324</v>
      </c>
      <c r="AX10">
        <f>+SUMIFS('SU - Miktar-Grp'!AN:AN,'SU - Miktar-Grp'!$B:$B,'SU TEMİNİ'!$C10)*$M10</f>
        <v>814.42295861007767</v>
      </c>
      <c r="AY10">
        <f>+SUMIFS('SU - Miktar-Grp'!AO:AO,'SU - Miktar-Grp'!$B:$B,'SU TEMİNİ'!$C10)*$M10</f>
        <v>814.42295861007767</v>
      </c>
      <c r="AZ10">
        <f>+SUMIFS('SU - Miktar-Grp'!AP:AP,'SU - Miktar-Grp'!$B:$B,'SU TEMİNİ'!$C10)*$M10</f>
        <v>644.7955053183324</v>
      </c>
      <c r="BA10">
        <f>+SUMIFS('SU - Miktar-Grp'!AQ:AQ,'SU - Miktar-Grp'!$B:$B,'SU TEMİNİ'!$C10)*$M10</f>
        <v>0</v>
      </c>
      <c r="BB10">
        <f>+SUMIFS('SU - Miktar-Grp'!AR:AR,'SU - Miktar-Grp'!$B:$B,'SU TEMİNİ'!$C10)*$M10</f>
        <v>0</v>
      </c>
      <c r="BC10">
        <f>+SUMIFS('SU - Miktar-Grp'!AS:AS,'SU - Miktar-Grp'!$B:$B,'SU TEMİNİ'!$C10)*$M10</f>
        <v>0</v>
      </c>
      <c r="BD10">
        <f>+SUMIFS('SU - Miktar-Grp'!AT:AT,'SU - Miktar-Grp'!$B:$B,'SU TEMİNİ'!$C10)*$M10</f>
        <v>0</v>
      </c>
      <c r="BE10">
        <f>+SUMIFS('SU - Miktar-Grp'!AU:AU,'SU - Miktar-Grp'!$B:$B,'SU TEMİNİ'!$C10)*$M10</f>
        <v>0</v>
      </c>
      <c r="BF10">
        <f>+SUMIFS('SU - Miktar-Grp'!AV:AV,'SU - Miktar-Grp'!$B:$B,'SU TEMİNİ'!$C10)*$M10</f>
        <v>0</v>
      </c>
      <c r="BG10">
        <f>+SUMIFS('SU - Miktar-Grp'!AW:AW,'SU - Miktar-Grp'!$B:$B,'SU TEMİNİ'!$C10)*$M10</f>
        <v>0</v>
      </c>
      <c r="BH10">
        <f>+SUMIFS('SU - Miktar-Grp'!AX:AX,'SU - Miktar-Grp'!$B:$B,'SU TEMİNİ'!$C10)*$M10</f>
        <v>0</v>
      </c>
      <c r="BI10">
        <f>+SUMIFS('SU - Miktar-Grp'!AY:AY,'SU - Miktar-Grp'!$B:$B,'SU TEMİNİ'!$C10)*$M10</f>
        <v>0</v>
      </c>
      <c r="BJ10">
        <f>+SUMIFS('SU - Miktar-Grp'!AZ:AZ,'SU - Miktar-Grp'!$B:$B,'SU TEMİNİ'!$C10)*$M10</f>
        <v>0</v>
      </c>
      <c r="BK10">
        <f>+SUMIFS('SU - Miktar-Grp'!BA:BA,'SU - Miktar-Grp'!$B:$B,'SU TEMİNİ'!$C10)*$M10</f>
        <v>0</v>
      </c>
      <c r="BL10">
        <f>+SUMIFS('SU - Miktar-Grp'!BB:BB,'SU - Miktar-Grp'!$B:$B,'SU TEMİNİ'!$C10)*$M10</f>
        <v>0</v>
      </c>
      <c r="BM10">
        <f>+SUMIFS('SU - Miktar-Grp'!BC:BC,'SU - Miktar-Grp'!$B:$B,'SU TEMİNİ'!$C10)*$M10</f>
        <v>0</v>
      </c>
      <c r="BN10">
        <f>+SUMIFS('SU - Miktar-Grp'!BD:BD,'SU - Miktar-Grp'!$B:$B,'SU TEMİNİ'!$C10)*$M10</f>
        <v>0</v>
      </c>
      <c r="BO10">
        <f>+SUMIFS('SU - Miktar-Grp'!BE:BE,'SU - Miktar-Grp'!$B:$B,'SU TEMİNİ'!$C10)*$M10</f>
        <v>0</v>
      </c>
      <c r="BP10">
        <f>+SUMIFS('SU - Miktar-Grp'!BF:BF,'SU - Miktar-Grp'!$B:$B,'SU TEMİNİ'!$C10)*$M10</f>
        <v>0</v>
      </c>
      <c r="BQ10">
        <f>+SUMIFS('SU - Miktar-Grp'!BG:BG,'SU - Miktar-Grp'!$B:$B,'SU TEMİNİ'!$C10)*$M10</f>
        <v>0</v>
      </c>
      <c r="BR10">
        <f>+SUMIFS('SU - Miktar-Grp'!BH:BH,'SU - Miktar-Grp'!$B:$B,'SU TEMİNİ'!$C10)*$M10</f>
        <v>0</v>
      </c>
      <c r="BS10">
        <f>+SUMIFS('SU - Miktar-Grp'!BI:BI,'SU - Miktar-Grp'!$B:$B,'SU TEMİNİ'!$C10)*$M10</f>
        <v>0</v>
      </c>
      <c r="BT10">
        <f>+SUMIFS('SU - Miktar-Grp'!BJ:BJ,'SU - Miktar-Grp'!$B:$B,'SU TEMİNİ'!$C10)*$M10</f>
        <v>0</v>
      </c>
      <c r="BU10">
        <f>+SUMIFS('SU - Miktar-Grp'!BK:BK,'SU - Miktar-Grp'!$B:$B,'SU TEMİNİ'!$C10)*$M10</f>
        <v>0</v>
      </c>
      <c r="BV10">
        <f>+SUMIFS('SU - Miktar-Grp'!BL:BL,'SU - Miktar-Grp'!$B:$B,'SU TEMİNİ'!$C10)*$M10</f>
        <v>0</v>
      </c>
      <c r="BW10">
        <f>+SUMIFS('SU - Miktar-Grp'!BM:BM,'SU - Miktar-Grp'!$B:$B,'SU TEMİNİ'!$C10)*$M10</f>
        <v>0</v>
      </c>
      <c r="BX10">
        <f>+SUMIFS('SU - Miktar-Grp'!BN:BN,'SU - Miktar-Grp'!$B:$B,'SU TEMİNİ'!$C10)*$M10</f>
        <v>0</v>
      </c>
    </row>
    <row r="11" spans="1:76">
      <c r="A11" s="3" t="s">
        <v>66</v>
      </c>
      <c r="B11" t="s">
        <v>5272</v>
      </c>
      <c r="C11" t="s">
        <v>2623</v>
      </c>
      <c r="D11" t="s">
        <v>4967</v>
      </c>
      <c r="E11" t="s">
        <v>4968</v>
      </c>
      <c r="F11" t="s">
        <v>4973</v>
      </c>
      <c r="G11" t="s">
        <v>4983</v>
      </c>
      <c r="H11" t="s">
        <v>4984</v>
      </c>
      <c r="L11" s="126">
        <f t="shared" si="1"/>
        <v>694.98</v>
      </c>
      <c r="M11">
        <v>8.5800000000000001E-2</v>
      </c>
      <c r="N11">
        <f>+SUMIFS('SU - Miktar-Grp'!D:D,'SU - Miktar-Grp'!$B:$B,'SU TEMİNİ'!$C11)*$M11</f>
        <v>0</v>
      </c>
      <c r="O11">
        <f>+SUMIFS('SU - Miktar-Grp'!E:E,'SU - Miktar-Grp'!$B:$B,'SU TEMİNİ'!$C11)*$M11</f>
        <v>0</v>
      </c>
      <c r="P11">
        <f>+SUMIFS('SU - Miktar-Grp'!F:F,'SU - Miktar-Grp'!$B:$B,'SU TEMİNİ'!$C11)*$M11</f>
        <v>0</v>
      </c>
      <c r="Q11">
        <f>+SUMIFS('SU - Miktar-Grp'!G:G,'SU - Miktar-Grp'!$B:$B,'SU TEMİNİ'!$C11)*$M11</f>
        <v>0</v>
      </c>
      <c r="R11">
        <f>+SUMIFS('SU - Miktar-Grp'!H:H,'SU - Miktar-Grp'!$B:$B,'SU TEMİNİ'!$C11)*$M11</f>
        <v>0</v>
      </c>
      <c r="S11">
        <f>+SUMIFS('SU - Miktar-Grp'!I:I,'SU - Miktar-Grp'!$B:$B,'SU TEMİNİ'!$C11)*$M11</f>
        <v>0</v>
      </c>
      <c r="T11">
        <f>+SUMIFS('SU - Miktar-Grp'!J:J,'SU - Miktar-Grp'!$B:$B,'SU TEMİNİ'!$C11)*$M11</f>
        <v>0</v>
      </c>
      <c r="U11">
        <f>+SUMIFS('SU - Miktar-Grp'!K:K,'SU - Miktar-Grp'!$B:$B,'SU TEMİNİ'!$C11)*$M11</f>
        <v>0</v>
      </c>
      <c r="V11">
        <f>+SUMIFS('SU - Miktar-Grp'!L:L,'SU - Miktar-Grp'!$B:$B,'SU TEMİNİ'!$C11)*$M11</f>
        <v>0</v>
      </c>
      <c r="W11">
        <f>+SUMIFS('SU - Miktar-Grp'!M:M,'SU - Miktar-Grp'!$B:$B,'SU TEMİNİ'!$C11)*$M11</f>
        <v>0</v>
      </c>
      <c r="X11">
        <f>+SUMIFS('SU - Miktar-Grp'!N:N,'SU - Miktar-Grp'!$B:$B,'SU TEMİNİ'!$C11)*$M11</f>
        <v>0</v>
      </c>
      <c r="Y11">
        <f>+SUMIFS('SU - Miktar-Grp'!O:O,'SU - Miktar-Grp'!$B:$B,'SU TEMİNİ'!$C11)*$M11</f>
        <v>0</v>
      </c>
      <c r="Z11">
        <f>+SUMIFS('SU - Miktar-Grp'!P:P,'SU - Miktar-Grp'!$B:$B,'SU TEMİNİ'!$C11)*$M11</f>
        <v>0</v>
      </c>
      <c r="AA11">
        <f>+SUMIFS('SU - Miktar-Grp'!Q:Q,'SU - Miktar-Grp'!$B:$B,'SU TEMİNİ'!$C11)*$M11</f>
        <v>0</v>
      </c>
      <c r="AB11">
        <f>+SUMIFS('SU - Miktar-Grp'!R:R,'SU - Miktar-Grp'!$B:$B,'SU TEMİNİ'!$C11)*$M11</f>
        <v>0</v>
      </c>
      <c r="AC11">
        <f>+SUMIFS('SU - Miktar-Grp'!S:S,'SU - Miktar-Grp'!$B:$B,'SU TEMİNİ'!$C11)*$M11</f>
        <v>0</v>
      </c>
      <c r="AD11">
        <f>+SUMIFS('SU - Miktar-Grp'!T:T,'SU - Miktar-Grp'!$B:$B,'SU TEMİNİ'!$C11)*$M11</f>
        <v>0</v>
      </c>
      <c r="AE11">
        <f>+SUMIFS('SU - Miktar-Grp'!U:U,'SU - Miktar-Grp'!$B:$B,'SU TEMİNİ'!$C11)*$M11</f>
        <v>86.872500000000002</v>
      </c>
      <c r="AF11">
        <f>+SUMIFS('SU - Miktar-Grp'!V:V,'SU - Miktar-Grp'!$B:$B,'SU TEMİNİ'!$C11)*$M11</f>
        <v>86.872500000000002</v>
      </c>
      <c r="AG11">
        <f>+SUMIFS('SU - Miktar-Grp'!W:W,'SU - Miktar-Grp'!$B:$B,'SU TEMİNİ'!$C11)*$M11</f>
        <v>86.872500000000002</v>
      </c>
      <c r="AH11">
        <f>+SUMIFS('SU - Miktar-Grp'!X:X,'SU - Miktar-Grp'!$B:$B,'SU TEMİNİ'!$C11)*$M11</f>
        <v>86.872500000000002</v>
      </c>
      <c r="AI11">
        <f>+SUMIFS('SU - Miktar-Grp'!Y:Y,'SU - Miktar-Grp'!$B:$B,'SU TEMİNİ'!$C11)*$M11</f>
        <v>86.872500000000002</v>
      </c>
      <c r="AJ11">
        <f>+SUMIFS('SU - Miktar-Grp'!Z:Z,'SU - Miktar-Grp'!$B:$B,'SU TEMİNİ'!$C11)*$M11</f>
        <v>86.872500000000002</v>
      </c>
      <c r="AK11">
        <f>+SUMIFS('SU - Miktar-Grp'!AA:AA,'SU - Miktar-Grp'!$B:$B,'SU TEMİNİ'!$C11)*$M11</f>
        <v>86.872500000000002</v>
      </c>
      <c r="AL11">
        <f>+SUMIFS('SU - Miktar-Grp'!AB:AB,'SU - Miktar-Grp'!$B:$B,'SU TEMİNİ'!$C11)*$M11</f>
        <v>86.872500000000002</v>
      </c>
      <c r="AM11">
        <f>+SUMIFS('SU - Miktar-Grp'!AC:AC,'SU - Miktar-Grp'!$B:$B,'SU TEMİNİ'!$C11)*$M11</f>
        <v>0</v>
      </c>
      <c r="AN11">
        <f>+SUMIFS('SU - Miktar-Grp'!AD:AD,'SU - Miktar-Grp'!$B:$B,'SU TEMİNİ'!$C11)*$M11</f>
        <v>0</v>
      </c>
      <c r="AO11">
        <f>+SUMIFS('SU - Miktar-Grp'!AE:AE,'SU - Miktar-Grp'!$B:$B,'SU TEMİNİ'!$C11)*$M11</f>
        <v>0</v>
      </c>
      <c r="AP11">
        <f>+SUMIFS('SU - Miktar-Grp'!AF:AF,'SU - Miktar-Grp'!$B:$B,'SU TEMİNİ'!$C11)*$M11</f>
        <v>0</v>
      </c>
      <c r="AQ11">
        <f>+SUMIFS('SU - Miktar-Grp'!AG:AG,'SU - Miktar-Grp'!$B:$B,'SU TEMİNİ'!$C11)*$M11</f>
        <v>0</v>
      </c>
      <c r="AR11">
        <f>+SUMIFS('SU - Miktar-Grp'!AH:AH,'SU - Miktar-Grp'!$B:$B,'SU TEMİNİ'!$C11)*$M11</f>
        <v>0</v>
      </c>
      <c r="AS11">
        <f>+SUMIFS('SU - Miktar-Grp'!AI:AI,'SU - Miktar-Grp'!$B:$B,'SU TEMİNİ'!$C11)*$M11</f>
        <v>0</v>
      </c>
      <c r="AT11">
        <f>+SUMIFS('SU - Miktar-Grp'!AJ:AJ,'SU - Miktar-Grp'!$B:$B,'SU TEMİNİ'!$C11)*$M11</f>
        <v>0</v>
      </c>
      <c r="AU11">
        <f>+SUMIFS('SU - Miktar-Grp'!AK:AK,'SU - Miktar-Grp'!$B:$B,'SU TEMİNİ'!$C11)*$M11</f>
        <v>0</v>
      </c>
      <c r="AV11">
        <f>+SUMIFS('SU - Miktar-Grp'!AL:AL,'SU - Miktar-Grp'!$B:$B,'SU TEMİNİ'!$C11)*$M11</f>
        <v>0</v>
      </c>
      <c r="AW11">
        <f>+SUMIFS('SU - Miktar-Grp'!AM:AM,'SU - Miktar-Grp'!$B:$B,'SU TEMİNİ'!$C11)*$M11</f>
        <v>0</v>
      </c>
      <c r="AX11">
        <f>+SUMIFS('SU - Miktar-Grp'!AN:AN,'SU - Miktar-Grp'!$B:$B,'SU TEMİNİ'!$C11)*$M11</f>
        <v>0</v>
      </c>
      <c r="AY11">
        <f>+SUMIFS('SU - Miktar-Grp'!AO:AO,'SU - Miktar-Grp'!$B:$B,'SU TEMİNİ'!$C11)*$M11</f>
        <v>0</v>
      </c>
      <c r="AZ11">
        <f>+SUMIFS('SU - Miktar-Grp'!AP:AP,'SU - Miktar-Grp'!$B:$B,'SU TEMİNİ'!$C11)*$M11</f>
        <v>0</v>
      </c>
      <c r="BA11">
        <f>+SUMIFS('SU - Miktar-Grp'!AQ:AQ,'SU - Miktar-Grp'!$B:$B,'SU TEMİNİ'!$C11)*$M11</f>
        <v>0</v>
      </c>
      <c r="BB11">
        <f>+SUMIFS('SU - Miktar-Grp'!AR:AR,'SU - Miktar-Grp'!$B:$B,'SU TEMİNİ'!$C11)*$M11</f>
        <v>0</v>
      </c>
      <c r="BC11">
        <f>+SUMIFS('SU - Miktar-Grp'!AS:AS,'SU - Miktar-Grp'!$B:$B,'SU TEMİNİ'!$C11)*$M11</f>
        <v>0</v>
      </c>
      <c r="BD11">
        <f>+SUMIFS('SU - Miktar-Grp'!AT:AT,'SU - Miktar-Grp'!$B:$B,'SU TEMİNİ'!$C11)*$M11</f>
        <v>0</v>
      </c>
      <c r="BE11">
        <f>+SUMIFS('SU - Miktar-Grp'!AU:AU,'SU - Miktar-Grp'!$B:$B,'SU TEMİNİ'!$C11)*$M11</f>
        <v>0</v>
      </c>
      <c r="BF11">
        <f>+SUMIFS('SU - Miktar-Grp'!AV:AV,'SU - Miktar-Grp'!$B:$B,'SU TEMİNİ'!$C11)*$M11</f>
        <v>0</v>
      </c>
      <c r="BG11">
        <f>+SUMIFS('SU - Miktar-Grp'!AW:AW,'SU - Miktar-Grp'!$B:$B,'SU TEMİNİ'!$C11)*$M11</f>
        <v>0</v>
      </c>
      <c r="BH11">
        <f>+SUMIFS('SU - Miktar-Grp'!AX:AX,'SU - Miktar-Grp'!$B:$B,'SU TEMİNİ'!$C11)*$M11</f>
        <v>0</v>
      </c>
      <c r="BI11">
        <f>+SUMIFS('SU - Miktar-Grp'!AY:AY,'SU - Miktar-Grp'!$B:$B,'SU TEMİNİ'!$C11)*$M11</f>
        <v>0</v>
      </c>
      <c r="BJ11">
        <f>+SUMIFS('SU - Miktar-Grp'!AZ:AZ,'SU - Miktar-Grp'!$B:$B,'SU TEMİNİ'!$C11)*$M11</f>
        <v>0</v>
      </c>
      <c r="BK11">
        <f>+SUMIFS('SU - Miktar-Grp'!BA:BA,'SU - Miktar-Grp'!$B:$B,'SU TEMİNİ'!$C11)*$M11</f>
        <v>0</v>
      </c>
      <c r="BL11">
        <f>+SUMIFS('SU - Miktar-Grp'!BB:BB,'SU - Miktar-Grp'!$B:$B,'SU TEMİNİ'!$C11)*$M11</f>
        <v>0</v>
      </c>
      <c r="BM11">
        <f>+SUMIFS('SU - Miktar-Grp'!BC:BC,'SU - Miktar-Grp'!$B:$B,'SU TEMİNİ'!$C11)*$M11</f>
        <v>0</v>
      </c>
      <c r="BN11">
        <f>+SUMIFS('SU - Miktar-Grp'!BD:BD,'SU - Miktar-Grp'!$B:$B,'SU TEMİNİ'!$C11)*$M11</f>
        <v>0</v>
      </c>
      <c r="BO11">
        <f>+SUMIFS('SU - Miktar-Grp'!BE:BE,'SU - Miktar-Grp'!$B:$B,'SU TEMİNİ'!$C11)*$M11</f>
        <v>0</v>
      </c>
      <c r="BP11">
        <f>+SUMIFS('SU - Miktar-Grp'!BF:BF,'SU - Miktar-Grp'!$B:$B,'SU TEMİNİ'!$C11)*$M11</f>
        <v>0</v>
      </c>
      <c r="BQ11">
        <f>+SUMIFS('SU - Miktar-Grp'!BG:BG,'SU - Miktar-Grp'!$B:$B,'SU TEMİNİ'!$C11)*$M11</f>
        <v>0</v>
      </c>
      <c r="BR11">
        <f>+SUMIFS('SU - Miktar-Grp'!BH:BH,'SU - Miktar-Grp'!$B:$B,'SU TEMİNİ'!$C11)*$M11</f>
        <v>0</v>
      </c>
      <c r="BS11">
        <f>+SUMIFS('SU - Miktar-Grp'!BI:BI,'SU - Miktar-Grp'!$B:$B,'SU TEMİNİ'!$C11)*$M11</f>
        <v>0</v>
      </c>
      <c r="BT11">
        <f>+SUMIFS('SU - Miktar-Grp'!BJ:BJ,'SU - Miktar-Grp'!$B:$B,'SU TEMİNİ'!$C11)*$M11</f>
        <v>0</v>
      </c>
      <c r="BU11">
        <f>+SUMIFS('SU - Miktar-Grp'!BK:BK,'SU - Miktar-Grp'!$B:$B,'SU TEMİNİ'!$C11)*$M11</f>
        <v>0</v>
      </c>
      <c r="BV11">
        <f>+SUMIFS('SU - Miktar-Grp'!BL:BL,'SU - Miktar-Grp'!$B:$B,'SU TEMİNİ'!$C11)*$M11</f>
        <v>0</v>
      </c>
      <c r="BW11">
        <f>+SUMIFS('SU - Miktar-Grp'!BM:BM,'SU - Miktar-Grp'!$B:$B,'SU TEMİNİ'!$C11)*$M11</f>
        <v>0</v>
      </c>
      <c r="BX11">
        <f>+SUMIFS('SU - Miktar-Grp'!BN:BN,'SU - Miktar-Grp'!$B:$B,'SU TEMİNİ'!$C11)*$M11</f>
        <v>0</v>
      </c>
    </row>
    <row r="12" spans="1:76">
      <c r="A12" s="3" t="s">
        <v>66</v>
      </c>
      <c r="B12" t="s">
        <v>5272</v>
      </c>
      <c r="C12" t="s">
        <v>9</v>
      </c>
      <c r="D12" t="s">
        <v>4967</v>
      </c>
      <c r="E12" t="s">
        <v>4968</v>
      </c>
      <c r="F12" t="s">
        <v>4973</v>
      </c>
      <c r="G12" t="s">
        <v>4983</v>
      </c>
      <c r="H12" t="s">
        <v>4984</v>
      </c>
      <c r="L12" s="126">
        <f t="shared" si="1"/>
        <v>663.00150000000031</v>
      </c>
      <c r="M12">
        <v>0.10500000000000001</v>
      </c>
      <c r="N12">
        <f>+SUMIFS('SU - Miktar-Grp'!D:D,'SU - Miktar-Grp'!$B:$B,'SU TEMİNİ'!$C12)*$M12</f>
        <v>0</v>
      </c>
      <c r="O12">
        <f>+SUMIFS('SU - Miktar-Grp'!E:E,'SU - Miktar-Grp'!$B:$B,'SU TEMİNİ'!$C12)*$M12</f>
        <v>0</v>
      </c>
      <c r="P12">
        <f>+SUMIFS('SU - Miktar-Grp'!F:F,'SU - Miktar-Grp'!$B:$B,'SU TEMİNİ'!$C12)*$M12</f>
        <v>0</v>
      </c>
      <c r="Q12">
        <f>+SUMIFS('SU - Miktar-Grp'!G:G,'SU - Miktar-Grp'!$B:$B,'SU TEMİNİ'!$C12)*$M12</f>
        <v>0</v>
      </c>
      <c r="R12">
        <f>+SUMIFS('SU - Miktar-Grp'!H:H,'SU - Miktar-Grp'!$B:$B,'SU TEMİNİ'!$C12)*$M12</f>
        <v>0</v>
      </c>
      <c r="S12">
        <f>+SUMIFS('SU - Miktar-Grp'!I:I,'SU - Miktar-Grp'!$B:$B,'SU TEMİNİ'!$C12)*$M12</f>
        <v>0</v>
      </c>
      <c r="T12">
        <f>+SUMIFS('SU - Miktar-Grp'!J:J,'SU - Miktar-Grp'!$B:$B,'SU TEMİNİ'!$C12)*$M12</f>
        <v>0</v>
      </c>
      <c r="U12">
        <f>+SUMIFS('SU - Miktar-Grp'!K:K,'SU - Miktar-Grp'!$B:$B,'SU TEMİNİ'!$C12)*$M12</f>
        <v>0</v>
      </c>
      <c r="V12">
        <f>+SUMIFS('SU - Miktar-Grp'!L:L,'SU - Miktar-Grp'!$B:$B,'SU TEMİNİ'!$C12)*$M12</f>
        <v>0</v>
      </c>
      <c r="W12">
        <f>+SUMIFS('SU - Miktar-Grp'!M:M,'SU - Miktar-Grp'!$B:$B,'SU TEMİNİ'!$C12)*$M12</f>
        <v>0</v>
      </c>
      <c r="X12">
        <f>+SUMIFS('SU - Miktar-Grp'!N:N,'SU - Miktar-Grp'!$B:$B,'SU TEMİNİ'!$C12)*$M12</f>
        <v>0.85459289008023043</v>
      </c>
      <c r="Y12">
        <f>+SUMIFS('SU - Miktar-Grp'!O:O,'SU - Miktar-Grp'!$B:$B,'SU TEMİNİ'!$C12)*$M12</f>
        <v>2.0086900672103467</v>
      </c>
      <c r="Z12">
        <f>+SUMIFS('SU - Miktar-Grp'!P:P,'SU - Miktar-Grp'!$B:$B,'SU TEMİNİ'!$C12)*$M12</f>
        <v>20.421291889864399</v>
      </c>
      <c r="AA12">
        <f>+SUMIFS('SU - Miktar-Grp'!Q:Q,'SU - Miktar-Grp'!$B:$B,'SU TEMİNİ'!$C12)*$M12</f>
        <v>20.396919100595721</v>
      </c>
      <c r="AB12">
        <f>+SUMIFS('SU - Miktar-Grp'!R:R,'SU - Miktar-Grp'!$B:$B,'SU TEMİNİ'!$C12)*$M12</f>
        <v>20.439339600952508</v>
      </c>
      <c r="AC12">
        <f>+SUMIFS('SU - Miktar-Grp'!S:S,'SU - Miktar-Grp'!$B:$B,'SU TEMİNİ'!$C12)*$M12</f>
        <v>20.439339600952508</v>
      </c>
      <c r="AD12">
        <f>+SUMIFS('SU - Miktar-Grp'!T:T,'SU - Miktar-Grp'!$B:$B,'SU TEMİNİ'!$C12)*$M12</f>
        <v>40.096503931044872</v>
      </c>
      <c r="AE12">
        <f>+SUMIFS('SU - Miktar-Grp'!U:U,'SU - Miktar-Grp'!$B:$B,'SU TEMİNİ'!$C12)*$M12</f>
        <v>19.65716433009236</v>
      </c>
      <c r="AF12">
        <f>+SUMIFS('SU - Miktar-Grp'!V:V,'SU - Miktar-Grp'!$B:$B,'SU TEMİNİ'!$C12)*$M12</f>
        <v>19.65716433009236</v>
      </c>
      <c r="AG12">
        <f>+SUMIFS('SU - Miktar-Grp'!W:W,'SU - Miktar-Grp'!$B:$B,'SU TEMİNİ'!$C12)*$M12</f>
        <v>39.185850461948824</v>
      </c>
      <c r="AH12">
        <f>+SUMIFS('SU - Miktar-Grp'!X:X,'SU - Miktar-Grp'!$B:$B,'SU TEMİNİ'!$C12)*$M12</f>
        <v>59.399753651063413</v>
      </c>
      <c r="AI12">
        <f>+SUMIFS('SU - Miktar-Grp'!Y:Y,'SU - Miktar-Grp'!$B:$B,'SU TEMİNİ'!$C12)*$M12</f>
        <v>59.399753651063399</v>
      </c>
      <c r="AJ12">
        <f>+SUMIFS('SU - Miktar-Grp'!Z:Z,'SU - Miktar-Grp'!$B:$B,'SU TEMİNİ'!$C12)*$M12</f>
        <v>59.399753651063399</v>
      </c>
      <c r="AK12">
        <f>+SUMIFS('SU - Miktar-Grp'!AA:AA,'SU - Miktar-Grp'!$B:$B,'SU TEMİNİ'!$C12)*$M12</f>
        <v>51.691061756909534</v>
      </c>
      <c r="AL12">
        <f>+SUMIFS('SU - Miktar-Grp'!AB:AB,'SU - Miktar-Grp'!$B:$B,'SU TEMİNİ'!$C12)*$M12</f>
        <v>32.033897426817177</v>
      </c>
      <c r="AM12">
        <f>+SUMIFS('SU - Miktar-Grp'!AC:AC,'SU - Miktar-Grp'!$B:$B,'SU TEMİNİ'!$C12)*$M12</f>
        <v>20.213903189114589</v>
      </c>
      <c r="AN12">
        <f>+SUMIFS('SU - Miktar-Grp'!AD:AD,'SU - Miktar-Grp'!$B:$B,'SU TEMİNİ'!$C12)*$M12</f>
        <v>18.500860545969278</v>
      </c>
      <c r="AO12">
        <f>+SUMIFS('SU - Miktar-Grp'!AE:AE,'SU - Miktar-Grp'!$B:$B,'SU TEMİNİ'!$C12)*$M12</f>
        <v>18.500860545969285</v>
      </c>
      <c r="AP12">
        <f>+SUMIFS('SU - Miktar-Grp'!AF:AF,'SU - Miktar-Grp'!$B:$B,'SU TEMİNİ'!$C12)*$M12</f>
        <v>18.500860545969278</v>
      </c>
      <c r="AQ12">
        <f>+SUMIFS('SU - Miktar-Grp'!AG:AG,'SU - Miktar-Grp'!$B:$B,'SU TEMİNİ'!$C12)*$M12</f>
        <v>18.500860545969285</v>
      </c>
      <c r="AR12">
        <f>+SUMIFS('SU - Miktar-Grp'!AH:AH,'SU - Miktar-Grp'!$B:$B,'SU TEMİNİ'!$C12)*$M12</f>
        <v>18.500860545969285</v>
      </c>
      <c r="AS12">
        <f>+SUMIFS('SU - Miktar-Grp'!AI:AI,'SU - Miktar-Grp'!$B:$B,'SU TEMİNİ'!$C12)*$M12</f>
        <v>18.500860545969285</v>
      </c>
      <c r="AT12">
        <f>+SUMIFS('SU - Miktar-Grp'!AJ:AJ,'SU - Miktar-Grp'!$B:$B,'SU TEMİNİ'!$C12)*$M12</f>
        <v>18.500860545969278</v>
      </c>
      <c r="AU12">
        <f>+SUMIFS('SU - Miktar-Grp'!AK:AK,'SU - Miktar-Grp'!$B:$B,'SU TEMİNİ'!$C12)*$M12</f>
        <v>18.500860545969285</v>
      </c>
      <c r="AV12">
        <f>+SUMIFS('SU - Miktar-Grp'!AL:AL,'SU - Miktar-Grp'!$B:$B,'SU TEMİNİ'!$C12)*$M12</f>
        <v>18.259257018895976</v>
      </c>
      <c r="AW12">
        <f>+SUMIFS('SU - Miktar-Grp'!AM:AM,'SU - Miktar-Grp'!$B:$B,'SU TEMİNİ'!$C12)*$M12</f>
        <v>2.5501605468740873</v>
      </c>
      <c r="AX12">
        <f>+SUMIFS('SU - Miktar-Grp'!AN:AN,'SU - Miktar-Grp'!$B:$B,'SU TEMİNİ'!$C12)*$M12</f>
        <v>3.1700289953680056</v>
      </c>
      <c r="AY12">
        <f>+SUMIFS('SU - Miktar-Grp'!AO:AO,'SU - Miktar-Grp'!$B:$B,'SU TEMİNİ'!$C12)*$M12</f>
        <v>3.1700289953680056</v>
      </c>
      <c r="AZ12">
        <f>+SUMIFS('SU - Miktar-Grp'!AP:AP,'SU - Miktar-Grp'!$B:$B,'SU TEMİNİ'!$C12)*$M12</f>
        <v>2.5501605468740873</v>
      </c>
      <c r="BA12">
        <f>+SUMIFS('SU - Miktar-Grp'!AQ:AQ,'SU - Miktar-Grp'!$B:$B,'SU TEMİNİ'!$C12)*$M12</f>
        <v>0</v>
      </c>
      <c r="BB12">
        <f>+SUMIFS('SU - Miktar-Grp'!AR:AR,'SU - Miktar-Grp'!$B:$B,'SU TEMİNİ'!$C12)*$M12</f>
        <v>0</v>
      </c>
      <c r="BC12">
        <f>+SUMIFS('SU - Miktar-Grp'!AS:AS,'SU - Miktar-Grp'!$B:$B,'SU TEMİNİ'!$C12)*$M12</f>
        <v>0</v>
      </c>
      <c r="BD12">
        <f>+SUMIFS('SU - Miktar-Grp'!AT:AT,'SU - Miktar-Grp'!$B:$B,'SU TEMİNİ'!$C12)*$M12</f>
        <v>0</v>
      </c>
      <c r="BE12">
        <f>+SUMIFS('SU - Miktar-Grp'!AU:AU,'SU - Miktar-Grp'!$B:$B,'SU TEMİNİ'!$C12)*$M12</f>
        <v>0</v>
      </c>
      <c r="BF12">
        <f>+SUMIFS('SU - Miktar-Grp'!AV:AV,'SU - Miktar-Grp'!$B:$B,'SU TEMİNİ'!$C12)*$M12</f>
        <v>0</v>
      </c>
      <c r="BG12">
        <f>+SUMIFS('SU - Miktar-Grp'!AW:AW,'SU - Miktar-Grp'!$B:$B,'SU TEMİNİ'!$C12)*$M12</f>
        <v>0</v>
      </c>
      <c r="BH12">
        <f>+SUMIFS('SU - Miktar-Grp'!AX:AX,'SU - Miktar-Grp'!$B:$B,'SU TEMİNİ'!$C12)*$M12</f>
        <v>0</v>
      </c>
      <c r="BI12">
        <f>+SUMIFS('SU - Miktar-Grp'!AY:AY,'SU - Miktar-Grp'!$B:$B,'SU TEMİNİ'!$C12)*$M12</f>
        <v>0</v>
      </c>
      <c r="BJ12">
        <f>+SUMIFS('SU - Miktar-Grp'!AZ:AZ,'SU - Miktar-Grp'!$B:$B,'SU TEMİNİ'!$C12)*$M12</f>
        <v>0</v>
      </c>
      <c r="BK12">
        <f>+SUMIFS('SU - Miktar-Grp'!BA:BA,'SU - Miktar-Grp'!$B:$B,'SU TEMİNİ'!$C12)*$M12</f>
        <v>0</v>
      </c>
      <c r="BL12">
        <f>+SUMIFS('SU - Miktar-Grp'!BB:BB,'SU - Miktar-Grp'!$B:$B,'SU TEMİNİ'!$C12)*$M12</f>
        <v>0</v>
      </c>
      <c r="BM12">
        <f>+SUMIFS('SU - Miktar-Grp'!BC:BC,'SU - Miktar-Grp'!$B:$B,'SU TEMİNİ'!$C12)*$M12</f>
        <v>0</v>
      </c>
      <c r="BN12">
        <f>+SUMIFS('SU - Miktar-Grp'!BD:BD,'SU - Miktar-Grp'!$B:$B,'SU TEMİNİ'!$C12)*$M12</f>
        <v>0</v>
      </c>
      <c r="BO12">
        <f>+SUMIFS('SU - Miktar-Grp'!BE:BE,'SU - Miktar-Grp'!$B:$B,'SU TEMİNİ'!$C12)*$M12</f>
        <v>0</v>
      </c>
      <c r="BP12">
        <f>+SUMIFS('SU - Miktar-Grp'!BF:BF,'SU - Miktar-Grp'!$B:$B,'SU TEMİNİ'!$C12)*$M12</f>
        <v>0</v>
      </c>
      <c r="BQ12">
        <f>+SUMIFS('SU - Miktar-Grp'!BG:BG,'SU - Miktar-Grp'!$B:$B,'SU TEMİNİ'!$C12)*$M12</f>
        <v>0</v>
      </c>
      <c r="BR12">
        <f>+SUMIFS('SU - Miktar-Grp'!BH:BH,'SU - Miktar-Grp'!$B:$B,'SU TEMİNİ'!$C12)*$M12</f>
        <v>0</v>
      </c>
      <c r="BS12">
        <f>+SUMIFS('SU - Miktar-Grp'!BI:BI,'SU - Miktar-Grp'!$B:$B,'SU TEMİNİ'!$C12)*$M12</f>
        <v>0</v>
      </c>
      <c r="BT12">
        <f>+SUMIFS('SU - Miktar-Grp'!BJ:BJ,'SU - Miktar-Grp'!$B:$B,'SU TEMİNİ'!$C12)*$M12</f>
        <v>0</v>
      </c>
      <c r="BU12">
        <f>+SUMIFS('SU - Miktar-Grp'!BK:BK,'SU - Miktar-Grp'!$B:$B,'SU TEMİNİ'!$C12)*$M12</f>
        <v>0</v>
      </c>
      <c r="BV12">
        <f>+SUMIFS('SU - Miktar-Grp'!BL:BL,'SU - Miktar-Grp'!$B:$B,'SU TEMİNİ'!$C12)*$M12</f>
        <v>0</v>
      </c>
      <c r="BW12">
        <f>+SUMIFS('SU - Miktar-Grp'!BM:BM,'SU - Miktar-Grp'!$B:$B,'SU TEMİNİ'!$C12)*$M12</f>
        <v>0</v>
      </c>
      <c r="BX12">
        <f>+SUMIFS('SU - Miktar-Grp'!BN:BN,'SU - Miktar-Grp'!$B:$B,'SU TEMİNİ'!$C12)*$M12</f>
        <v>0</v>
      </c>
    </row>
    <row r="13" spans="1:76">
      <c r="A13" s="3" t="s">
        <v>66</v>
      </c>
      <c r="B13" t="s">
        <v>5272</v>
      </c>
      <c r="C13" t="s">
        <v>2624</v>
      </c>
      <c r="D13" t="s">
        <v>4967</v>
      </c>
      <c r="E13" t="s">
        <v>4968</v>
      </c>
      <c r="F13" t="s">
        <v>4973</v>
      </c>
      <c r="G13" t="s">
        <v>4983</v>
      </c>
      <c r="H13" t="s">
        <v>4984</v>
      </c>
      <c r="L13" s="126">
        <f t="shared" si="1"/>
        <v>639.97626000000002</v>
      </c>
      <c r="M13">
        <v>0.23100000000000001</v>
      </c>
      <c r="N13">
        <f>+SUMIFS('SU - Miktar-Grp'!D:D,'SU - Miktar-Grp'!$B:$B,'SU TEMİNİ'!$C13)*$M13</f>
        <v>0</v>
      </c>
      <c r="O13">
        <f>+SUMIFS('SU - Miktar-Grp'!E:E,'SU - Miktar-Grp'!$B:$B,'SU TEMİNİ'!$C13)*$M13</f>
        <v>0</v>
      </c>
      <c r="P13">
        <f>+SUMIFS('SU - Miktar-Grp'!F:F,'SU - Miktar-Grp'!$B:$B,'SU TEMİNİ'!$C13)*$M13</f>
        <v>0</v>
      </c>
      <c r="Q13">
        <f>+SUMIFS('SU - Miktar-Grp'!G:G,'SU - Miktar-Grp'!$B:$B,'SU TEMİNİ'!$C13)*$M13</f>
        <v>0</v>
      </c>
      <c r="R13">
        <f>+SUMIFS('SU - Miktar-Grp'!H:H,'SU - Miktar-Grp'!$B:$B,'SU TEMİNİ'!$C13)*$M13</f>
        <v>0</v>
      </c>
      <c r="S13">
        <f>+SUMIFS('SU - Miktar-Grp'!I:I,'SU - Miktar-Grp'!$B:$B,'SU TEMİNİ'!$C13)*$M13</f>
        <v>0</v>
      </c>
      <c r="T13">
        <f>+SUMIFS('SU - Miktar-Grp'!J:J,'SU - Miktar-Grp'!$B:$B,'SU TEMİNİ'!$C13)*$M13</f>
        <v>0</v>
      </c>
      <c r="U13">
        <f>+SUMIFS('SU - Miktar-Grp'!K:K,'SU - Miktar-Grp'!$B:$B,'SU TEMİNİ'!$C13)*$M13</f>
        <v>0</v>
      </c>
      <c r="V13">
        <f>+SUMIFS('SU - Miktar-Grp'!L:L,'SU - Miktar-Grp'!$B:$B,'SU TEMİNİ'!$C13)*$M13</f>
        <v>0</v>
      </c>
      <c r="W13">
        <f>+SUMIFS('SU - Miktar-Grp'!M:M,'SU - Miktar-Grp'!$B:$B,'SU TEMİNİ'!$C13)*$M13</f>
        <v>0</v>
      </c>
      <c r="X13">
        <f>+SUMIFS('SU - Miktar-Grp'!N:N,'SU - Miktar-Grp'!$B:$B,'SU TEMİNİ'!$C13)*$M13</f>
        <v>0</v>
      </c>
      <c r="Y13">
        <f>+SUMIFS('SU - Miktar-Grp'!O:O,'SU - Miktar-Grp'!$B:$B,'SU TEMİNİ'!$C13)*$M13</f>
        <v>0</v>
      </c>
      <c r="Z13">
        <f>+SUMIFS('SU - Miktar-Grp'!P:P,'SU - Miktar-Grp'!$B:$B,'SU TEMİNİ'!$C13)*$M13</f>
        <v>0</v>
      </c>
      <c r="AA13">
        <f>+SUMIFS('SU - Miktar-Grp'!Q:Q,'SU - Miktar-Grp'!$B:$B,'SU TEMİNİ'!$C13)*$M13</f>
        <v>0</v>
      </c>
      <c r="AB13">
        <f>+SUMIFS('SU - Miktar-Grp'!R:R,'SU - Miktar-Grp'!$B:$B,'SU TEMİNİ'!$C13)*$M13</f>
        <v>0</v>
      </c>
      <c r="AC13">
        <f>+SUMIFS('SU - Miktar-Grp'!S:S,'SU - Miktar-Grp'!$B:$B,'SU TEMİNİ'!$C13)*$M13</f>
        <v>0</v>
      </c>
      <c r="AD13">
        <f>+SUMIFS('SU - Miktar-Grp'!T:T,'SU - Miktar-Grp'!$B:$B,'SU TEMİNİ'!$C13)*$M13</f>
        <v>0</v>
      </c>
      <c r="AE13">
        <f>+SUMIFS('SU - Miktar-Grp'!U:U,'SU - Miktar-Grp'!$B:$B,'SU TEMİNİ'!$C13)*$M13</f>
        <v>39.998516250000002</v>
      </c>
      <c r="AF13">
        <f>+SUMIFS('SU - Miktar-Grp'!V:V,'SU - Miktar-Grp'!$B:$B,'SU TEMİNİ'!$C13)*$M13</f>
        <v>39.998516250000002</v>
      </c>
      <c r="AG13">
        <f>+SUMIFS('SU - Miktar-Grp'!W:W,'SU - Miktar-Grp'!$B:$B,'SU TEMİNİ'!$C13)*$M13</f>
        <v>39.998516250000002</v>
      </c>
      <c r="AH13">
        <f>+SUMIFS('SU - Miktar-Grp'!X:X,'SU - Miktar-Grp'!$B:$B,'SU TEMİNİ'!$C13)*$M13</f>
        <v>39.998516250000002</v>
      </c>
      <c r="AI13">
        <f>+SUMIFS('SU - Miktar-Grp'!Y:Y,'SU - Miktar-Grp'!$B:$B,'SU TEMİNİ'!$C13)*$M13</f>
        <v>39.998516250000002</v>
      </c>
      <c r="AJ13">
        <f>+SUMIFS('SU - Miktar-Grp'!Z:Z,'SU - Miktar-Grp'!$B:$B,'SU TEMİNİ'!$C13)*$M13</f>
        <v>39.998516250000002</v>
      </c>
      <c r="AK13">
        <f>+SUMIFS('SU - Miktar-Grp'!AA:AA,'SU - Miktar-Grp'!$B:$B,'SU TEMİNİ'!$C13)*$M13</f>
        <v>39.998516250000002</v>
      </c>
      <c r="AL13">
        <f>+SUMIFS('SU - Miktar-Grp'!AB:AB,'SU - Miktar-Grp'!$B:$B,'SU TEMİNİ'!$C13)*$M13</f>
        <v>39.998516250000002</v>
      </c>
      <c r="AM13">
        <f>+SUMIFS('SU - Miktar-Grp'!AC:AC,'SU - Miktar-Grp'!$B:$B,'SU TEMİNİ'!$C13)*$M13</f>
        <v>0</v>
      </c>
      <c r="AN13">
        <f>+SUMIFS('SU - Miktar-Grp'!AD:AD,'SU - Miktar-Grp'!$B:$B,'SU TEMİNİ'!$C13)*$M13</f>
        <v>0</v>
      </c>
      <c r="AO13">
        <f>+SUMIFS('SU - Miktar-Grp'!AE:AE,'SU - Miktar-Grp'!$B:$B,'SU TEMİNİ'!$C13)*$M13</f>
        <v>0</v>
      </c>
      <c r="AP13">
        <f>+SUMIFS('SU - Miktar-Grp'!AF:AF,'SU - Miktar-Grp'!$B:$B,'SU TEMİNİ'!$C13)*$M13</f>
        <v>0</v>
      </c>
      <c r="AQ13">
        <f>+SUMIFS('SU - Miktar-Grp'!AG:AG,'SU - Miktar-Grp'!$B:$B,'SU TEMİNİ'!$C13)*$M13</f>
        <v>39.998516250000002</v>
      </c>
      <c r="AR13">
        <f>+SUMIFS('SU - Miktar-Grp'!AH:AH,'SU - Miktar-Grp'!$B:$B,'SU TEMİNİ'!$C13)*$M13</f>
        <v>39.998516250000002</v>
      </c>
      <c r="AS13">
        <f>+SUMIFS('SU - Miktar-Grp'!AI:AI,'SU - Miktar-Grp'!$B:$B,'SU TEMİNİ'!$C13)*$M13</f>
        <v>39.998516250000002</v>
      </c>
      <c r="AT13">
        <f>+SUMIFS('SU - Miktar-Grp'!AJ:AJ,'SU - Miktar-Grp'!$B:$B,'SU TEMİNİ'!$C13)*$M13</f>
        <v>39.998516250000002</v>
      </c>
      <c r="AU13">
        <f>+SUMIFS('SU - Miktar-Grp'!AK:AK,'SU - Miktar-Grp'!$B:$B,'SU TEMİNİ'!$C13)*$M13</f>
        <v>39.998516250000002</v>
      </c>
      <c r="AV13">
        <f>+SUMIFS('SU - Miktar-Grp'!AL:AL,'SU - Miktar-Grp'!$B:$B,'SU TEMİNİ'!$C13)*$M13</f>
        <v>39.998516250000002</v>
      </c>
      <c r="AW13">
        <f>+SUMIFS('SU - Miktar-Grp'!AM:AM,'SU - Miktar-Grp'!$B:$B,'SU TEMİNİ'!$C13)*$M13</f>
        <v>39.998516250000002</v>
      </c>
      <c r="AX13">
        <f>+SUMIFS('SU - Miktar-Grp'!AN:AN,'SU - Miktar-Grp'!$B:$B,'SU TEMİNİ'!$C13)*$M13</f>
        <v>39.998516250000002</v>
      </c>
      <c r="AY13">
        <f>+SUMIFS('SU - Miktar-Grp'!AO:AO,'SU - Miktar-Grp'!$B:$B,'SU TEMİNİ'!$C13)*$M13</f>
        <v>0</v>
      </c>
      <c r="AZ13">
        <f>+SUMIFS('SU - Miktar-Grp'!AP:AP,'SU - Miktar-Grp'!$B:$B,'SU TEMİNİ'!$C13)*$M13</f>
        <v>0</v>
      </c>
      <c r="BA13">
        <f>+SUMIFS('SU - Miktar-Grp'!AQ:AQ,'SU - Miktar-Grp'!$B:$B,'SU TEMİNİ'!$C13)*$M13</f>
        <v>0</v>
      </c>
      <c r="BB13">
        <f>+SUMIFS('SU - Miktar-Grp'!AR:AR,'SU - Miktar-Grp'!$B:$B,'SU TEMİNİ'!$C13)*$M13</f>
        <v>0</v>
      </c>
      <c r="BC13">
        <f>+SUMIFS('SU - Miktar-Grp'!AS:AS,'SU - Miktar-Grp'!$B:$B,'SU TEMİNİ'!$C13)*$M13</f>
        <v>0</v>
      </c>
      <c r="BD13">
        <f>+SUMIFS('SU - Miktar-Grp'!AT:AT,'SU - Miktar-Grp'!$B:$B,'SU TEMİNİ'!$C13)*$M13</f>
        <v>0</v>
      </c>
      <c r="BE13">
        <f>+SUMIFS('SU - Miktar-Grp'!AU:AU,'SU - Miktar-Grp'!$B:$B,'SU TEMİNİ'!$C13)*$M13</f>
        <v>0</v>
      </c>
      <c r="BF13">
        <f>+SUMIFS('SU - Miktar-Grp'!AV:AV,'SU - Miktar-Grp'!$B:$B,'SU TEMİNİ'!$C13)*$M13</f>
        <v>0</v>
      </c>
      <c r="BG13">
        <f>+SUMIFS('SU - Miktar-Grp'!AW:AW,'SU - Miktar-Grp'!$B:$B,'SU TEMİNİ'!$C13)*$M13</f>
        <v>0</v>
      </c>
      <c r="BH13">
        <f>+SUMIFS('SU - Miktar-Grp'!AX:AX,'SU - Miktar-Grp'!$B:$B,'SU TEMİNİ'!$C13)*$M13</f>
        <v>0</v>
      </c>
      <c r="BI13">
        <f>+SUMIFS('SU - Miktar-Grp'!AY:AY,'SU - Miktar-Grp'!$B:$B,'SU TEMİNİ'!$C13)*$M13</f>
        <v>0</v>
      </c>
      <c r="BJ13">
        <f>+SUMIFS('SU - Miktar-Grp'!AZ:AZ,'SU - Miktar-Grp'!$B:$B,'SU TEMİNİ'!$C13)*$M13</f>
        <v>0</v>
      </c>
      <c r="BK13">
        <f>+SUMIFS('SU - Miktar-Grp'!BA:BA,'SU - Miktar-Grp'!$B:$B,'SU TEMİNİ'!$C13)*$M13</f>
        <v>0</v>
      </c>
      <c r="BL13">
        <f>+SUMIFS('SU - Miktar-Grp'!BB:BB,'SU - Miktar-Grp'!$B:$B,'SU TEMİNİ'!$C13)*$M13</f>
        <v>0</v>
      </c>
      <c r="BM13">
        <f>+SUMIFS('SU - Miktar-Grp'!BC:BC,'SU - Miktar-Grp'!$B:$B,'SU TEMİNİ'!$C13)*$M13</f>
        <v>0</v>
      </c>
      <c r="BN13">
        <f>+SUMIFS('SU - Miktar-Grp'!BD:BD,'SU - Miktar-Grp'!$B:$B,'SU TEMİNİ'!$C13)*$M13</f>
        <v>0</v>
      </c>
      <c r="BO13">
        <f>+SUMIFS('SU - Miktar-Grp'!BE:BE,'SU - Miktar-Grp'!$B:$B,'SU TEMİNİ'!$C13)*$M13</f>
        <v>0</v>
      </c>
      <c r="BP13">
        <f>+SUMIFS('SU - Miktar-Grp'!BF:BF,'SU - Miktar-Grp'!$B:$B,'SU TEMİNİ'!$C13)*$M13</f>
        <v>0</v>
      </c>
      <c r="BQ13">
        <f>+SUMIFS('SU - Miktar-Grp'!BG:BG,'SU - Miktar-Grp'!$B:$B,'SU TEMİNİ'!$C13)*$M13</f>
        <v>0</v>
      </c>
      <c r="BR13">
        <f>+SUMIFS('SU - Miktar-Grp'!BH:BH,'SU - Miktar-Grp'!$B:$B,'SU TEMİNİ'!$C13)*$M13</f>
        <v>0</v>
      </c>
      <c r="BS13">
        <f>+SUMIFS('SU - Miktar-Grp'!BI:BI,'SU - Miktar-Grp'!$B:$B,'SU TEMİNİ'!$C13)*$M13</f>
        <v>0</v>
      </c>
      <c r="BT13">
        <f>+SUMIFS('SU - Miktar-Grp'!BJ:BJ,'SU - Miktar-Grp'!$B:$B,'SU TEMİNİ'!$C13)*$M13</f>
        <v>0</v>
      </c>
      <c r="BU13">
        <f>+SUMIFS('SU - Miktar-Grp'!BK:BK,'SU - Miktar-Grp'!$B:$B,'SU TEMİNİ'!$C13)*$M13</f>
        <v>0</v>
      </c>
      <c r="BV13">
        <f>+SUMIFS('SU - Miktar-Grp'!BL:BL,'SU - Miktar-Grp'!$B:$B,'SU TEMİNİ'!$C13)*$M13</f>
        <v>0</v>
      </c>
      <c r="BW13">
        <f>+SUMIFS('SU - Miktar-Grp'!BM:BM,'SU - Miktar-Grp'!$B:$B,'SU TEMİNİ'!$C13)*$M13</f>
        <v>0</v>
      </c>
      <c r="BX13">
        <f>+SUMIFS('SU - Miktar-Grp'!BN:BN,'SU - Miktar-Grp'!$B:$B,'SU TEMİNİ'!$C13)*$M13</f>
        <v>0</v>
      </c>
    </row>
    <row r="14" spans="1:76">
      <c r="A14" s="3" t="s">
        <v>66</v>
      </c>
      <c r="B14" t="s">
        <v>5272</v>
      </c>
      <c r="C14" t="s">
        <v>12</v>
      </c>
      <c r="D14" t="s">
        <v>4967</v>
      </c>
      <c r="E14" t="s">
        <v>4968</v>
      </c>
      <c r="F14" t="s">
        <v>4973</v>
      </c>
      <c r="G14" t="s">
        <v>4983</v>
      </c>
      <c r="H14" t="s">
        <v>4984</v>
      </c>
      <c r="L14" s="126">
        <f t="shared" si="1"/>
        <v>38996.597604785988</v>
      </c>
      <c r="M14">
        <v>0.28125</v>
      </c>
      <c r="N14">
        <f>+SUMIFS('SU - Miktar-Grp'!D:D,'SU - Miktar-Grp'!$B:$B,'SU TEMİNİ'!$C14)*$M14</f>
        <v>0</v>
      </c>
      <c r="O14">
        <f>+SUMIFS('SU - Miktar-Grp'!E:E,'SU - Miktar-Grp'!$B:$B,'SU TEMİNİ'!$C14)*$M14</f>
        <v>0</v>
      </c>
      <c r="P14">
        <f>+SUMIFS('SU - Miktar-Grp'!F:F,'SU - Miktar-Grp'!$B:$B,'SU TEMİNİ'!$C14)*$M14</f>
        <v>880.37324991316882</v>
      </c>
      <c r="Q14">
        <f>+SUMIFS('SU - Miktar-Grp'!G:G,'SU - Miktar-Grp'!$B:$B,'SU TEMİNİ'!$C14)*$M14</f>
        <v>2160.8735625868308</v>
      </c>
      <c r="R14">
        <f>+SUMIFS('SU - Miktar-Grp'!H:H,'SU - Miktar-Grp'!$B:$B,'SU TEMİNİ'!$C14)*$M14</f>
        <v>908.10281250000014</v>
      </c>
      <c r="S14">
        <f>+SUMIFS('SU - Miktar-Grp'!I:I,'SU - Miktar-Grp'!$B:$B,'SU TEMİNİ'!$C14)*$M14</f>
        <v>1041.73875</v>
      </c>
      <c r="T14">
        <f>+SUMIFS('SU - Miktar-Grp'!J:J,'SU - Miktar-Grp'!$B:$B,'SU TEMİNİ'!$C14)*$M14</f>
        <v>1239.0972187499997</v>
      </c>
      <c r="U14">
        <f>+SUMIFS('SU - Miktar-Grp'!K:K,'SU - Miktar-Grp'!$B:$B,'SU TEMİNİ'!$C14)*$M14</f>
        <v>1499.22415546875</v>
      </c>
      <c r="V14">
        <f>+SUMIFS('SU - Miktar-Grp'!L:L,'SU - Miktar-Grp'!$B:$B,'SU TEMİNİ'!$C14)*$M14</f>
        <v>1134.63740390625</v>
      </c>
      <c r="W14">
        <f>+SUMIFS('SU - Miktar-Grp'!M:M,'SU - Miktar-Grp'!$B:$B,'SU TEMİNİ'!$C14)*$M14</f>
        <v>1022.4871875000006</v>
      </c>
      <c r="X14">
        <f>+SUMIFS('SU - Miktar-Grp'!N:N,'SU - Miktar-Grp'!$B:$B,'SU TEMİNİ'!$C14)*$M14</f>
        <v>1217.3041789767381</v>
      </c>
      <c r="Y14">
        <f>+SUMIFS('SU - Miktar-Grp'!O:O,'SU - Miktar-Grp'!$B:$B,'SU TEMİNİ'!$C14)*$M14</f>
        <v>1217.3041789767381</v>
      </c>
      <c r="Z14">
        <f>+SUMIFS('SU - Miktar-Grp'!P:P,'SU - Miktar-Grp'!$B:$B,'SU TEMİNİ'!$C14)*$M14</f>
        <v>2043.1731983674035</v>
      </c>
      <c r="AA14">
        <f>+SUMIFS('SU - Miktar-Grp'!Q:Q,'SU - Miktar-Grp'!$B:$B,'SU TEMİNİ'!$C14)*$M14</f>
        <v>1514.6396209090315</v>
      </c>
      <c r="AB14">
        <f>+SUMIFS('SU - Miktar-Grp'!R:R,'SU - Miktar-Grp'!$B:$B,'SU TEMİNİ'!$C14)*$M14</f>
        <v>1479.3350089484172</v>
      </c>
      <c r="AC14">
        <f>+SUMIFS('SU - Miktar-Grp'!S:S,'SU - Miktar-Grp'!$B:$B,'SU TEMİNİ'!$C14)*$M14</f>
        <v>944.49102630718642</v>
      </c>
      <c r="AD14">
        <f>+SUMIFS('SU - Miktar-Grp'!T:T,'SU - Miktar-Grp'!$B:$B,'SU TEMİNİ'!$C14)*$M14</f>
        <v>1545.8880271604726</v>
      </c>
      <c r="AE14">
        <f>+SUMIFS('SU - Miktar-Grp'!U:U,'SU - Miktar-Grp'!$B:$B,'SU TEMİNİ'!$C14)*$M14</f>
        <v>2856.6723643423716</v>
      </c>
      <c r="AF14">
        <f>+SUMIFS('SU - Miktar-Grp'!V:V,'SU - Miktar-Grp'!$B:$B,'SU TEMİNİ'!$C14)*$M14</f>
        <v>2278.8117714628288</v>
      </c>
      <c r="AG14">
        <f>+SUMIFS('SU - Miktar-Grp'!W:W,'SU - Miktar-Grp'!$B:$B,'SU TEMİNİ'!$C14)*$M14</f>
        <v>1966.3450670493146</v>
      </c>
      <c r="AH14">
        <f>+SUMIFS('SU - Miktar-Grp'!X:X,'SU - Miktar-Grp'!$B:$B,'SU TEMİNİ'!$C14)*$M14</f>
        <v>1966.3450670493146</v>
      </c>
      <c r="AI14">
        <f>+SUMIFS('SU - Miktar-Grp'!Y:Y,'SU - Miktar-Grp'!$B:$B,'SU TEMİNİ'!$C14)*$M14</f>
        <v>655.56072986741469</v>
      </c>
      <c r="AJ14">
        <f>+SUMIFS('SU - Miktar-Grp'!Z:Z,'SU - Miktar-Grp'!$B:$B,'SU TEMİNİ'!$C14)*$M14</f>
        <v>655.56072986741469</v>
      </c>
      <c r="AK14">
        <f>+SUMIFS('SU - Miktar-Grp'!AA:AA,'SU - Miktar-Grp'!$B:$B,'SU TEMİNİ'!$C14)*$M14</f>
        <v>655.56072986741481</v>
      </c>
      <c r="AL14">
        <f>+SUMIFS('SU - Miktar-Grp'!AB:AB,'SU - Miktar-Grp'!$B:$B,'SU TEMİNİ'!$C14)*$M14</f>
        <v>655.56072986741481</v>
      </c>
      <c r="AM14">
        <f>+SUMIFS('SU - Miktar-Grp'!AC:AC,'SU - Miktar-Grp'!$B:$B,'SU TEMİNİ'!$C14)*$M14</f>
        <v>655.56072986741481</v>
      </c>
      <c r="AN14">
        <f>+SUMIFS('SU - Miktar-Grp'!AD:AD,'SU - Miktar-Grp'!$B:$B,'SU TEMİNİ'!$C14)*$M14</f>
        <v>655.56072986741469</v>
      </c>
      <c r="AO14">
        <f>+SUMIFS('SU - Miktar-Grp'!AE:AE,'SU - Miktar-Grp'!$B:$B,'SU TEMİNİ'!$C14)*$M14</f>
        <v>655.56072986741481</v>
      </c>
      <c r="AP14">
        <f>+SUMIFS('SU - Miktar-Grp'!AF:AF,'SU - Miktar-Grp'!$B:$B,'SU TEMİNİ'!$C14)*$M14</f>
        <v>655.56072986741481</v>
      </c>
      <c r="AQ14">
        <f>+SUMIFS('SU - Miktar-Grp'!AG:AG,'SU - Miktar-Grp'!$B:$B,'SU TEMİNİ'!$C14)*$M14</f>
        <v>655.56072986741481</v>
      </c>
      <c r="AR14">
        <f>+SUMIFS('SU - Miktar-Grp'!AH:AH,'SU - Miktar-Grp'!$B:$B,'SU TEMİNİ'!$C14)*$M14</f>
        <v>655.56072986741481</v>
      </c>
      <c r="AS14">
        <f>+SUMIFS('SU - Miktar-Grp'!AI:AI,'SU - Miktar-Grp'!$B:$B,'SU TEMİNİ'!$C14)*$M14</f>
        <v>655.56072986741481</v>
      </c>
      <c r="AT14">
        <f>+SUMIFS('SU - Miktar-Grp'!AJ:AJ,'SU - Miktar-Grp'!$B:$B,'SU TEMİNİ'!$C14)*$M14</f>
        <v>655.56072986741481</v>
      </c>
      <c r="AU14">
        <f>+SUMIFS('SU - Miktar-Grp'!AK:AK,'SU - Miktar-Grp'!$B:$B,'SU TEMİNİ'!$C14)*$M14</f>
        <v>655.56072986741481</v>
      </c>
      <c r="AV14">
        <f>+SUMIFS('SU - Miktar-Grp'!AL:AL,'SU - Miktar-Grp'!$B:$B,'SU TEMİNİ'!$C14)*$M14</f>
        <v>655.56072986741481</v>
      </c>
      <c r="AW14">
        <f>+SUMIFS('SU - Miktar-Grp'!AM:AM,'SU - Miktar-Grp'!$B:$B,'SU TEMİNİ'!$C14)*$M14</f>
        <v>636.86246685562571</v>
      </c>
      <c r="AX14">
        <f>+SUMIFS('SU - Miktar-Grp'!AN:AN,'SU - Miktar-Grp'!$B:$B,'SU TEMİNİ'!$C14)*$M14</f>
        <v>94.506999133732151</v>
      </c>
      <c r="AY14">
        <f>+SUMIFS('SU - Miktar-Grp'!AO:AO,'SU - Miktar-Grp'!$B:$B,'SU TEMİNİ'!$C14)*$M14</f>
        <v>94.506999133732151</v>
      </c>
      <c r="AZ14">
        <f>+SUMIFS('SU - Miktar-Grp'!AP:AP,'SU - Miktar-Grp'!$B:$B,'SU TEMİNİ'!$C14)*$M14</f>
        <v>76.027071344288743</v>
      </c>
      <c r="BA14">
        <f>+SUMIFS('SU - Miktar-Grp'!AQ:AQ,'SU - Miktar-Grp'!$B:$B,'SU TEMİNİ'!$C14)*$M14</f>
        <v>0</v>
      </c>
      <c r="BB14">
        <f>+SUMIFS('SU - Miktar-Grp'!AR:AR,'SU - Miktar-Grp'!$B:$B,'SU TEMİNİ'!$C14)*$M14</f>
        <v>0</v>
      </c>
      <c r="BC14">
        <f>+SUMIFS('SU - Miktar-Grp'!AS:AS,'SU - Miktar-Grp'!$B:$B,'SU TEMİNİ'!$C14)*$M14</f>
        <v>0</v>
      </c>
      <c r="BD14">
        <f>+SUMIFS('SU - Miktar-Grp'!AT:AT,'SU - Miktar-Grp'!$B:$B,'SU TEMİNİ'!$C14)*$M14</f>
        <v>0</v>
      </c>
      <c r="BE14">
        <f>+SUMIFS('SU - Miktar-Grp'!AU:AU,'SU - Miktar-Grp'!$B:$B,'SU TEMİNİ'!$C14)*$M14</f>
        <v>0</v>
      </c>
      <c r="BF14">
        <f>+SUMIFS('SU - Miktar-Grp'!AV:AV,'SU - Miktar-Grp'!$B:$B,'SU TEMİNİ'!$C14)*$M14</f>
        <v>0</v>
      </c>
      <c r="BG14">
        <f>+SUMIFS('SU - Miktar-Grp'!AW:AW,'SU - Miktar-Grp'!$B:$B,'SU TEMİNİ'!$C14)*$M14</f>
        <v>0</v>
      </c>
      <c r="BH14">
        <f>+SUMIFS('SU - Miktar-Grp'!AX:AX,'SU - Miktar-Grp'!$B:$B,'SU TEMİNİ'!$C14)*$M14</f>
        <v>0</v>
      </c>
      <c r="BI14">
        <f>+SUMIFS('SU - Miktar-Grp'!AY:AY,'SU - Miktar-Grp'!$B:$B,'SU TEMİNİ'!$C14)*$M14</f>
        <v>0</v>
      </c>
      <c r="BJ14">
        <f>+SUMIFS('SU - Miktar-Grp'!AZ:AZ,'SU - Miktar-Grp'!$B:$B,'SU TEMİNİ'!$C14)*$M14</f>
        <v>0</v>
      </c>
      <c r="BK14">
        <f>+SUMIFS('SU - Miktar-Grp'!BA:BA,'SU - Miktar-Grp'!$B:$B,'SU TEMİNİ'!$C14)*$M14</f>
        <v>0</v>
      </c>
      <c r="BL14">
        <f>+SUMIFS('SU - Miktar-Grp'!BB:BB,'SU - Miktar-Grp'!$B:$B,'SU TEMİNİ'!$C14)*$M14</f>
        <v>0</v>
      </c>
      <c r="BM14">
        <f>+SUMIFS('SU - Miktar-Grp'!BC:BC,'SU - Miktar-Grp'!$B:$B,'SU TEMİNİ'!$C14)*$M14</f>
        <v>0</v>
      </c>
      <c r="BN14">
        <f>+SUMIFS('SU - Miktar-Grp'!BD:BD,'SU - Miktar-Grp'!$B:$B,'SU TEMİNİ'!$C14)*$M14</f>
        <v>0</v>
      </c>
      <c r="BO14">
        <f>+SUMIFS('SU - Miktar-Grp'!BE:BE,'SU - Miktar-Grp'!$B:$B,'SU TEMİNİ'!$C14)*$M14</f>
        <v>0</v>
      </c>
      <c r="BP14">
        <f>+SUMIFS('SU - Miktar-Grp'!BF:BF,'SU - Miktar-Grp'!$B:$B,'SU TEMİNİ'!$C14)*$M14</f>
        <v>0</v>
      </c>
      <c r="BQ14">
        <f>+SUMIFS('SU - Miktar-Grp'!BG:BG,'SU - Miktar-Grp'!$B:$B,'SU TEMİNİ'!$C14)*$M14</f>
        <v>0</v>
      </c>
      <c r="BR14">
        <f>+SUMIFS('SU - Miktar-Grp'!BH:BH,'SU - Miktar-Grp'!$B:$B,'SU TEMİNİ'!$C14)*$M14</f>
        <v>0</v>
      </c>
      <c r="BS14">
        <f>+SUMIFS('SU - Miktar-Grp'!BI:BI,'SU - Miktar-Grp'!$B:$B,'SU TEMİNİ'!$C14)*$M14</f>
        <v>0</v>
      </c>
      <c r="BT14">
        <f>+SUMIFS('SU - Miktar-Grp'!BJ:BJ,'SU - Miktar-Grp'!$B:$B,'SU TEMİNİ'!$C14)*$M14</f>
        <v>0</v>
      </c>
      <c r="BU14">
        <f>+SUMIFS('SU - Miktar-Grp'!BK:BK,'SU - Miktar-Grp'!$B:$B,'SU TEMİNİ'!$C14)*$M14</f>
        <v>0</v>
      </c>
      <c r="BV14">
        <f>+SUMIFS('SU - Miktar-Grp'!BL:BL,'SU - Miktar-Grp'!$B:$B,'SU TEMİNİ'!$C14)*$M14</f>
        <v>0</v>
      </c>
      <c r="BW14">
        <f>+SUMIFS('SU - Miktar-Grp'!BM:BM,'SU - Miktar-Grp'!$B:$B,'SU TEMİNİ'!$C14)*$M14</f>
        <v>0</v>
      </c>
      <c r="BX14">
        <f>+SUMIFS('SU - Miktar-Grp'!BN:BN,'SU - Miktar-Grp'!$B:$B,'SU TEMİNİ'!$C14)*$M14</f>
        <v>0</v>
      </c>
    </row>
    <row r="15" spans="1:76">
      <c r="A15" s="3" t="s">
        <v>66</v>
      </c>
      <c r="B15" t="s">
        <v>5272</v>
      </c>
      <c r="C15" t="s">
        <v>2626</v>
      </c>
      <c r="D15" t="s">
        <v>4967</v>
      </c>
      <c r="E15" t="s">
        <v>4968</v>
      </c>
      <c r="F15" t="s">
        <v>4973</v>
      </c>
      <c r="G15" t="s">
        <v>4983</v>
      </c>
      <c r="H15" t="s">
        <v>4984</v>
      </c>
      <c r="L15" s="126">
        <f t="shared" si="1"/>
        <v>8100.0000000000009</v>
      </c>
      <c r="M15">
        <v>0.27</v>
      </c>
      <c r="N15">
        <f>+SUMIFS('SU - Miktar-Grp'!D:D,'SU - Miktar-Grp'!$B:$B,'SU TEMİNİ'!$C15)*$M15</f>
        <v>0</v>
      </c>
      <c r="O15">
        <f>+SUMIFS('SU - Miktar-Grp'!E:E,'SU - Miktar-Grp'!$B:$B,'SU TEMİNİ'!$C15)*$M15</f>
        <v>0</v>
      </c>
      <c r="P15">
        <f>+SUMIFS('SU - Miktar-Grp'!F:F,'SU - Miktar-Grp'!$B:$B,'SU TEMİNİ'!$C15)*$M15</f>
        <v>0</v>
      </c>
      <c r="Q15">
        <f>+SUMIFS('SU - Miktar-Grp'!G:G,'SU - Miktar-Grp'!$B:$B,'SU TEMİNİ'!$C15)*$M15</f>
        <v>0</v>
      </c>
      <c r="R15">
        <f>+SUMIFS('SU - Miktar-Grp'!H:H,'SU - Miktar-Grp'!$B:$B,'SU TEMİNİ'!$C15)*$M15</f>
        <v>0</v>
      </c>
      <c r="S15">
        <f>+SUMIFS('SU - Miktar-Grp'!I:I,'SU - Miktar-Grp'!$B:$B,'SU TEMİNİ'!$C15)*$M15</f>
        <v>0</v>
      </c>
      <c r="T15">
        <f>+SUMIFS('SU - Miktar-Grp'!J:J,'SU - Miktar-Grp'!$B:$B,'SU TEMİNİ'!$C15)*$M15</f>
        <v>0</v>
      </c>
      <c r="U15">
        <f>+SUMIFS('SU - Miktar-Grp'!K:K,'SU - Miktar-Grp'!$B:$B,'SU TEMİNİ'!$C15)*$M15</f>
        <v>0</v>
      </c>
      <c r="V15">
        <f>+SUMIFS('SU - Miktar-Grp'!L:L,'SU - Miktar-Grp'!$B:$B,'SU TEMİNİ'!$C15)*$M15</f>
        <v>0</v>
      </c>
      <c r="W15">
        <f>+SUMIFS('SU - Miktar-Grp'!M:M,'SU - Miktar-Grp'!$B:$B,'SU TEMİNİ'!$C15)*$M15</f>
        <v>0</v>
      </c>
      <c r="X15">
        <f>+SUMIFS('SU - Miktar-Grp'!N:N,'SU - Miktar-Grp'!$B:$B,'SU TEMİNİ'!$C15)*$M15</f>
        <v>0</v>
      </c>
      <c r="Y15">
        <f>+SUMIFS('SU - Miktar-Grp'!O:O,'SU - Miktar-Grp'!$B:$B,'SU TEMİNİ'!$C15)*$M15</f>
        <v>0</v>
      </c>
      <c r="Z15">
        <f>+SUMIFS('SU - Miktar-Grp'!P:P,'SU - Miktar-Grp'!$B:$B,'SU TEMİNİ'!$C15)*$M15</f>
        <v>0</v>
      </c>
      <c r="AA15">
        <f>+SUMIFS('SU - Miktar-Grp'!Q:Q,'SU - Miktar-Grp'!$B:$B,'SU TEMİNİ'!$C15)*$M15</f>
        <v>0</v>
      </c>
      <c r="AB15">
        <f>+SUMIFS('SU - Miktar-Grp'!R:R,'SU - Miktar-Grp'!$B:$B,'SU TEMİNİ'!$C15)*$M15</f>
        <v>0</v>
      </c>
      <c r="AC15">
        <f>+SUMIFS('SU - Miktar-Grp'!S:S,'SU - Miktar-Grp'!$B:$B,'SU TEMİNİ'!$C15)*$M15</f>
        <v>0</v>
      </c>
      <c r="AD15">
        <f>+SUMIFS('SU - Miktar-Grp'!T:T,'SU - Miktar-Grp'!$B:$B,'SU TEMİNİ'!$C15)*$M15</f>
        <v>0</v>
      </c>
      <c r="AE15">
        <f>+SUMIFS('SU - Miktar-Grp'!U:U,'SU - Miktar-Grp'!$B:$B,'SU TEMİNİ'!$C15)*$M15</f>
        <v>506.25000000000006</v>
      </c>
      <c r="AF15">
        <f>+SUMIFS('SU - Miktar-Grp'!V:V,'SU - Miktar-Grp'!$B:$B,'SU TEMİNİ'!$C15)*$M15</f>
        <v>506.25000000000006</v>
      </c>
      <c r="AG15">
        <f>+SUMIFS('SU - Miktar-Grp'!W:W,'SU - Miktar-Grp'!$B:$B,'SU TEMİNİ'!$C15)*$M15</f>
        <v>506.25000000000006</v>
      </c>
      <c r="AH15">
        <f>+SUMIFS('SU - Miktar-Grp'!X:X,'SU - Miktar-Grp'!$B:$B,'SU TEMİNİ'!$C15)*$M15</f>
        <v>506.25000000000006</v>
      </c>
      <c r="AI15">
        <f>+SUMIFS('SU - Miktar-Grp'!Y:Y,'SU - Miktar-Grp'!$B:$B,'SU TEMİNİ'!$C15)*$M15</f>
        <v>506.25000000000006</v>
      </c>
      <c r="AJ15">
        <f>+SUMIFS('SU - Miktar-Grp'!Z:Z,'SU - Miktar-Grp'!$B:$B,'SU TEMİNİ'!$C15)*$M15</f>
        <v>506.25000000000006</v>
      </c>
      <c r="AK15">
        <f>+SUMIFS('SU - Miktar-Grp'!AA:AA,'SU - Miktar-Grp'!$B:$B,'SU TEMİNİ'!$C15)*$M15</f>
        <v>506.25000000000006</v>
      </c>
      <c r="AL15">
        <f>+SUMIFS('SU - Miktar-Grp'!AB:AB,'SU - Miktar-Grp'!$B:$B,'SU TEMİNİ'!$C15)*$M15</f>
        <v>506.25000000000006</v>
      </c>
      <c r="AM15">
        <f>+SUMIFS('SU - Miktar-Grp'!AC:AC,'SU - Miktar-Grp'!$B:$B,'SU TEMİNİ'!$C15)*$M15</f>
        <v>0</v>
      </c>
      <c r="AN15">
        <f>+SUMIFS('SU - Miktar-Grp'!AD:AD,'SU - Miktar-Grp'!$B:$B,'SU TEMİNİ'!$C15)*$M15</f>
        <v>0</v>
      </c>
      <c r="AO15">
        <f>+SUMIFS('SU - Miktar-Grp'!AE:AE,'SU - Miktar-Grp'!$B:$B,'SU TEMİNİ'!$C15)*$M15</f>
        <v>0</v>
      </c>
      <c r="AP15">
        <f>+SUMIFS('SU - Miktar-Grp'!AF:AF,'SU - Miktar-Grp'!$B:$B,'SU TEMİNİ'!$C15)*$M15</f>
        <v>0</v>
      </c>
      <c r="AQ15">
        <f>+SUMIFS('SU - Miktar-Grp'!AG:AG,'SU - Miktar-Grp'!$B:$B,'SU TEMİNİ'!$C15)*$M15</f>
        <v>506.25000000000006</v>
      </c>
      <c r="AR15">
        <f>+SUMIFS('SU - Miktar-Grp'!AH:AH,'SU - Miktar-Grp'!$B:$B,'SU TEMİNİ'!$C15)*$M15</f>
        <v>506.25000000000006</v>
      </c>
      <c r="AS15">
        <f>+SUMIFS('SU - Miktar-Grp'!AI:AI,'SU - Miktar-Grp'!$B:$B,'SU TEMİNİ'!$C15)*$M15</f>
        <v>506.25000000000006</v>
      </c>
      <c r="AT15">
        <f>+SUMIFS('SU - Miktar-Grp'!AJ:AJ,'SU - Miktar-Grp'!$B:$B,'SU TEMİNİ'!$C15)*$M15</f>
        <v>506.25000000000006</v>
      </c>
      <c r="AU15">
        <f>+SUMIFS('SU - Miktar-Grp'!AK:AK,'SU - Miktar-Grp'!$B:$B,'SU TEMİNİ'!$C15)*$M15</f>
        <v>506.25000000000006</v>
      </c>
      <c r="AV15">
        <f>+SUMIFS('SU - Miktar-Grp'!AL:AL,'SU - Miktar-Grp'!$B:$B,'SU TEMİNİ'!$C15)*$M15</f>
        <v>506.25000000000006</v>
      </c>
      <c r="AW15">
        <f>+SUMIFS('SU - Miktar-Grp'!AM:AM,'SU - Miktar-Grp'!$B:$B,'SU TEMİNİ'!$C15)*$M15</f>
        <v>506.25000000000006</v>
      </c>
      <c r="AX15">
        <f>+SUMIFS('SU - Miktar-Grp'!AN:AN,'SU - Miktar-Grp'!$B:$B,'SU TEMİNİ'!$C15)*$M15</f>
        <v>506.25000000000006</v>
      </c>
      <c r="AY15">
        <f>+SUMIFS('SU - Miktar-Grp'!AO:AO,'SU - Miktar-Grp'!$B:$B,'SU TEMİNİ'!$C15)*$M15</f>
        <v>0</v>
      </c>
      <c r="AZ15">
        <f>+SUMIFS('SU - Miktar-Grp'!AP:AP,'SU - Miktar-Grp'!$B:$B,'SU TEMİNİ'!$C15)*$M15</f>
        <v>0</v>
      </c>
      <c r="BA15">
        <f>+SUMIFS('SU - Miktar-Grp'!AQ:AQ,'SU - Miktar-Grp'!$B:$B,'SU TEMİNİ'!$C15)*$M15</f>
        <v>0</v>
      </c>
      <c r="BB15">
        <f>+SUMIFS('SU - Miktar-Grp'!AR:AR,'SU - Miktar-Grp'!$B:$B,'SU TEMİNİ'!$C15)*$M15</f>
        <v>0</v>
      </c>
      <c r="BC15">
        <f>+SUMIFS('SU - Miktar-Grp'!AS:AS,'SU - Miktar-Grp'!$B:$B,'SU TEMİNİ'!$C15)*$M15</f>
        <v>0</v>
      </c>
      <c r="BD15">
        <f>+SUMIFS('SU - Miktar-Grp'!AT:AT,'SU - Miktar-Grp'!$B:$B,'SU TEMİNİ'!$C15)*$M15</f>
        <v>0</v>
      </c>
      <c r="BE15">
        <f>+SUMIFS('SU - Miktar-Grp'!AU:AU,'SU - Miktar-Grp'!$B:$B,'SU TEMİNİ'!$C15)*$M15</f>
        <v>0</v>
      </c>
      <c r="BF15">
        <f>+SUMIFS('SU - Miktar-Grp'!AV:AV,'SU - Miktar-Grp'!$B:$B,'SU TEMİNİ'!$C15)*$M15</f>
        <v>0</v>
      </c>
      <c r="BG15">
        <f>+SUMIFS('SU - Miktar-Grp'!AW:AW,'SU - Miktar-Grp'!$B:$B,'SU TEMİNİ'!$C15)*$M15</f>
        <v>0</v>
      </c>
      <c r="BH15">
        <f>+SUMIFS('SU - Miktar-Grp'!AX:AX,'SU - Miktar-Grp'!$B:$B,'SU TEMİNİ'!$C15)*$M15</f>
        <v>0</v>
      </c>
      <c r="BI15">
        <f>+SUMIFS('SU - Miktar-Grp'!AY:AY,'SU - Miktar-Grp'!$B:$B,'SU TEMİNİ'!$C15)*$M15</f>
        <v>0</v>
      </c>
      <c r="BJ15">
        <f>+SUMIFS('SU - Miktar-Grp'!AZ:AZ,'SU - Miktar-Grp'!$B:$B,'SU TEMİNİ'!$C15)*$M15</f>
        <v>0</v>
      </c>
      <c r="BK15">
        <f>+SUMIFS('SU - Miktar-Grp'!BA:BA,'SU - Miktar-Grp'!$B:$B,'SU TEMİNİ'!$C15)*$M15</f>
        <v>0</v>
      </c>
      <c r="BL15">
        <f>+SUMIFS('SU - Miktar-Grp'!BB:BB,'SU - Miktar-Grp'!$B:$B,'SU TEMİNİ'!$C15)*$M15</f>
        <v>0</v>
      </c>
      <c r="BM15">
        <f>+SUMIFS('SU - Miktar-Grp'!BC:BC,'SU - Miktar-Grp'!$B:$B,'SU TEMİNİ'!$C15)*$M15</f>
        <v>0</v>
      </c>
      <c r="BN15">
        <f>+SUMIFS('SU - Miktar-Grp'!BD:BD,'SU - Miktar-Grp'!$B:$B,'SU TEMİNİ'!$C15)*$M15</f>
        <v>0</v>
      </c>
      <c r="BO15">
        <f>+SUMIFS('SU - Miktar-Grp'!BE:BE,'SU - Miktar-Grp'!$B:$B,'SU TEMİNİ'!$C15)*$M15</f>
        <v>0</v>
      </c>
      <c r="BP15">
        <f>+SUMIFS('SU - Miktar-Grp'!BF:BF,'SU - Miktar-Grp'!$B:$B,'SU TEMİNİ'!$C15)*$M15</f>
        <v>0</v>
      </c>
      <c r="BQ15">
        <f>+SUMIFS('SU - Miktar-Grp'!BG:BG,'SU - Miktar-Grp'!$B:$B,'SU TEMİNİ'!$C15)*$M15</f>
        <v>0</v>
      </c>
      <c r="BR15">
        <f>+SUMIFS('SU - Miktar-Grp'!BH:BH,'SU - Miktar-Grp'!$B:$B,'SU TEMİNİ'!$C15)*$M15</f>
        <v>0</v>
      </c>
      <c r="BS15">
        <f>+SUMIFS('SU - Miktar-Grp'!BI:BI,'SU - Miktar-Grp'!$B:$B,'SU TEMİNİ'!$C15)*$M15</f>
        <v>0</v>
      </c>
      <c r="BT15">
        <f>+SUMIFS('SU - Miktar-Grp'!BJ:BJ,'SU - Miktar-Grp'!$B:$B,'SU TEMİNİ'!$C15)*$M15</f>
        <v>0</v>
      </c>
      <c r="BU15">
        <f>+SUMIFS('SU - Miktar-Grp'!BK:BK,'SU - Miktar-Grp'!$B:$B,'SU TEMİNİ'!$C15)*$M15</f>
        <v>0</v>
      </c>
      <c r="BV15">
        <f>+SUMIFS('SU - Miktar-Grp'!BL:BL,'SU - Miktar-Grp'!$B:$B,'SU TEMİNİ'!$C15)*$M15</f>
        <v>0</v>
      </c>
      <c r="BW15">
        <f>+SUMIFS('SU - Miktar-Grp'!BM:BM,'SU - Miktar-Grp'!$B:$B,'SU TEMİNİ'!$C15)*$M15</f>
        <v>0</v>
      </c>
      <c r="BX15">
        <f>+SUMIFS('SU - Miktar-Grp'!BN:BN,'SU - Miktar-Grp'!$B:$B,'SU TEMİNİ'!$C15)*$M15</f>
        <v>0</v>
      </c>
    </row>
    <row r="16" spans="1:76">
      <c r="A16" s="3" t="s">
        <v>66</v>
      </c>
      <c r="B16" t="s">
        <v>5272</v>
      </c>
      <c r="C16" t="s">
        <v>2628</v>
      </c>
      <c r="D16" t="s">
        <v>4967</v>
      </c>
      <c r="E16" t="s">
        <v>4968</v>
      </c>
      <c r="F16" t="s">
        <v>4973</v>
      </c>
      <c r="G16" t="s">
        <v>4983</v>
      </c>
      <c r="H16" t="s">
        <v>4984</v>
      </c>
      <c r="L16" s="126">
        <f t="shared" si="1"/>
        <v>692350.96729842806</v>
      </c>
      <c r="M16">
        <v>0.24881413816431169</v>
      </c>
      <c r="N16">
        <f>+SUMIFS('SU - Miktar-Grp'!D:D,'SU - Miktar-Grp'!$B:$B,'SU TEMİNİ'!$C16)*$M16</f>
        <v>0</v>
      </c>
      <c r="O16">
        <f>+SUMIFS('SU - Miktar-Grp'!E:E,'SU - Miktar-Grp'!$B:$B,'SU TEMİNİ'!$C16)*$M16</f>
        <v>0</v>
      </c>
      <c r="P16">
        <f>+SUMIFS('SU - Miktar-Grp'!F:F,'SU - Miktar-Grp'!$B:$B,'SU TEMİNİ'!$C16)*$M16</f>
        <v>747.48742679526777</v>
      </c>
      <c r="Q16">
        <f>+SUMIFS('SU - Miktar-Grp'!G:G,'SU - Miktar-Grp'!$B:$B,'SU TEMİNİ'!$C16)*$M16</f>
        <v>1834.7056990739586</v>
      </c>
      <c r="R16">
        <f>+SUMIFS('SU - Miktar-Grp'!H:H,'SU - Miktar-Grp'!$B:$B,'SU TEMİNİ'!$C16)*$M16</f>
        <v>0</v>
      </c>
      <c r="S16">
        <f>+SUMIFS('SU - Miktar-Grp'!I:I,'SU - Miktar-Grp'!$B:$B,'SU TEMİNİ'!$C16)*$M16</f>
        <v>0</v>
      </c>
      <c r="T16">
        <f>+SUMIFS('SU - Miktar-Grp'!J:J,'SU - Miktar-Grp'!$B:$B,'SU TEMİNİ'!$C16)*$M16</f>
        <v>0</v>
      </c>
      <c r="U16">
        <f>+SUMIFS('SU - Miktar-Grp'!K:K,'SU - Miktar-Grp'!$B:$B,'SU TEMİNİ'!$C16)*$M16</f>
        <v>0</v>
      </c>
      <c r="V16">
        <f>+SUMIFS('SU - Miktar-Grp'!L:L,'SU - Miktar-Grp'!$B:$B,'SU TEMİNİ'!$C16)*$M16</f>
        <v>0</v>
      </c>
      <c r="W16">
        <f>+SUMIFS('SU - Miktar-Grp'!M:M,'SU - Miktar-Grp'!$B:$B,'SU TEMİNİ'!$C16)*$M16</f>
        <v>0</v>
      </c>
      <c r="X16">
        <f>+SUMIFS('SU - Miktar-Grp'!N:N,'SU - Miktar-Grp'!$B:$B,'SU TEMİNİ'!$C16)*$M16</f>
        <v>0</v>
      </c>
      <c r="Y16">
        <f>+SUMIFS('SU - Miktar-Grp'!O:O,'SU - Miktar-Grp'!$B:$B,'SU TEMİNİ'!$C16)*$M16</f>
        <v>15104.425711807862</v>
      </c>
      <c r="Z16">
        <f>+SUMIFS('SU - Miktar-Grp'!P:P,'SU - Miktar-Grp'!$B:$B,'SU TEMİNİ'!$C16)*$M16</f>
        <v>15104.425711807862</v>
      </c>
      <c r="AA16">
        <f>+SUMIFS('SU - Miktar-Grp'!Q:Q,'SU - Miktar-Grp'!$B:$B,'SU TEMİNİ'!$C16)*$M16</f>
        <v>15104.425711807862</v>
      </c>
      <c r="AB16">
        <f>+SUMIFS('SU - Miktar-Grp'!R:R,'SU - Miktar-Grp'!$B:$B,'SU TEMİNİ'!$C16)*$M16</f>
        <v>20139.234282410478</v>
      </c>
      <c r="AC16">
        <f>+SUMIFS('SU - Miktar-Grp'!S:S,'SU - Miktar-Grp'!$B:$B,'SU TEMİNİ'!$C16)*$M16</f>
        <v>30208.851423615724</v>
      </c>
      <c r="AD16">
        <f>+SUMIFS('SU - Miktar-Grp'!T:T,'SU - Miktar-Grp'!$B:$B,'SU TEMİNİ'!$C16)*$M16</f>
        <v>40278.468564820956</v>
      </c>
      <c r="AE16">
        <f>+SUMIFS('SU - Miktar-Grp'!U:U,'SU - Miktar-Grp'!$B:$B,'SU TEMİNİ'!$C16)*$M16</f>
        <v>50348.085706026199</v>
      </c>
      <c r="AF16">
        <f>+SUMIFS('SU - Miktar-Grp'!V:V,'SU - Miktar-Grp'!$B:$B,'SU TEMİNİ'!$C16)*$M16</f>
        <v>50348.085706026199</v>
      </c>
      <c r="AG16">
        <f>+SUMIFS('SU - Miktar-Grp'!W:W,'SU - Miktar-Grp'!$B:$B,'SU TEMİNİ'!$C16)*$M16</f>
        <v>50348.085706026199</v>
      </c>
      <c r="AH16">
        <f>+SUMIFS('SU - Miktar-Grp'!X:X,'SU - Miktar-Grp'!$B:$B,'SU TEMİNİ'!$C16)*$M16</f>
        <v>50348.085706026199</v>
      </c>
      <c r="AI16">
        <f>+SUMIFS('SU - Miktar-Grp'!Y:Y,'SU - Miktar-Grp'!$B:$B,'SU TEMİNİ'!$C16)*$M16</f>
        <v>50348.085706026199</v>
      </c>
      <c r="AJ16">
        <f>+SUMIFS('SU - Miktar-Grp'!Z:Z,'SU - Miktar-Grp'!$B:$B,'SU TEMİNİ'!$C16)*$M16</f>
        <v>50348.085706026199</v>
      </c>
      <c r="AK16">
        <f>+SUMIFS('SU - Miktar-Grp'!AA:AA,'SU - Miktar-Grp'!$B:$B,'SU TEMİNİ'!$C16)*$M16</f>
        <v>50348.085706026199</v>
      </c>
      <c r="AL16">
        <f>+SUMIFS('SU - Miktar-Grp'!AB:AB,'SU - Miktar-Grp'!$B:$B,'SU TEMİNİ'!$C16)*$M16</f>
        <v>50348.085706026199</v>
      </c>
      <c r="AM16">
        <f>+SUMIFS('SU - Miktar-Grp'!AC:AC,'SU - Miktar-Grp'!$B:$B,'SU TEMİNİ'!$C16)*$M16</f>
        <v>50348.085706026199</v>
      </c>
      <c r="AN16">
        <f>+SUMIFS('SU - Miktar-Grp'!AD:AD,'SU - Miktar-Grp'!$B:$B,'SU TEMİNİ'!$C16)*$M16</f>
        <v>50348.085706026199</v>
      </c>
      <c r="AO16">
        <f>+SUMIFS('SU - Miktar-Grp'!AE:AE,'SU - Miktar-Grp'!$B:$B,'SU TEMİNİ'!$C16)*$M16</f>
        <v>50348.085706026199</v>
      </c>
      <c r="AP16">
        <f>+SUMIFS('SU - Miktar-Grp'!AF:AF,'SU - Miktar-Grp'!$B:$B,'SU TEMİNİ'!$C16)*$M16</f>
        <v>0</v>
      </c>
      <c r="AQ16">
        <f>+SUMIFS('SU - Miktar-Grp'!AG:AG,'SU - Miktar-Grp'!$B:$B,'SU TEMİNİ'!$C16)*$M16</f>
        <v>0</v>
      </c>
      <c r="AR16">
        <f>+SUMIFS('SU - Miktar-Grp'!AH:AH,'SU - Miktar-Grp'!$B:$B,'SU TEMİNİ'!$C16)*$M16</f>
        <v>0</v>
      </c>
      <c r="AS16">
        <f>+SUMIFS('SU - Miktar-Grp'!AI:AI,'SU - Miktar-Grp'!$B:$B,'SU TEMİNİ'!$C16)*$M16</f>
        <v>0</v>
      </c>
      <c r="AT16">
        <f>+SUMIFS('SU - Miktar-Grp'!AJ:AJ,'SU - Miktar-Grp'!$B:$B,'SU TEMİNİ'!$C16)*$M16</f>
        <v>0</v>
      </c>
      <c r="AU16">
        <f>+SUMIFS('SU - Miktar-Grp'!AK:AK,'SU - Miktar-Grp'!$B:$B,'SU TEMİNİ'!$C16)*$M16</f>
        <v>0</v>
      </c>
      <c r="AV16">
        <f>+SUMIFS('SU - Miktar-Grp'!AL:AL,'SU - Miktar-Grp'!$B:$B,'SU TEMİNİ'!$C16)*$M16</f>
        <v>0</v>
      </c>
      <c r="AW16">
        <f>+SUMIFS('SU - Miktar-Grp'!AM:AM,'SU - Miktar-Grp'!$B:$B,'SU TEMİNİ'!$C16)*$M16</f>
        <v>0</v>
      </c>
      <c r="AX16">
        <f>+SUMIFS('SU - Miktar-Grp'!AN:AN,'SU - Miktar-Grp'!$B:$B,'SU TEMİNİ'!$C16)*$M16</f>
        <v>0</v>
      </c>
      <c r="AY16">
        <f>+SUMIFS('SU - Miktar-Grp'!AO:AO,'SU - Miktar-Grp'!$B:$B,'SU TEMİNİ'!$C16)*$M16</f>
        <v>0</v>
      </c>
      <c r="AZ16">
        <f>+SUMIFS('SU - Miktar-Grp'!AP:AP,'SU - Miktar-Grp'!$B:$B,'SU TEMİNİ'!$C16)*$M16</f>
        <v>0</v>
      </c>
      <c r="BA16">
        <f>+SUMIFS('SU - Miktar-Grp'!AQ:AQ,'SU - Miktar-Grp'!$B:$B,'SU TEMİNİ'!$C16)*$M16</f>
        <v>0</v>
      </c>
      <c r="BB16">
        <f>+SUMIFS('SU - Miktar-Grp'!AR:AR,'SU - Miktar-Grp'!$B:$B,'SU TEMİNİ'!$C16)*$M16</f>
        <v>0</v>
      </c>
      <c r="BC16">
        <f>+SUMIFS('SU - Miktar-Grp'!AS:AS,'SU - Miktar-Grp'!$B:$B,'SU TEMİNİ'!$C16)*$M16</f>
        <v>0</v>
      </c>
      <c r="BD16">
        <f>+SUMIFS('SU - Miktar-Grp'!AT:AT,'SU - Miktar-Grp'!$B:$B,'SU TEMİNİ'!$C16)*$M16</f>
        <v>0</v>
      </c>
      <c r="BE16">
        <f>+SUMIFS('SU - Miktar-Grp'!AU:AU,'SU - Miktar-Grp'!$B:$B,'SU TEMİNİ'!$C16)*$M16</f>
        <v>0</v>
      </c>
      <c r="BF16">
        <f>+SUMIFS('SU - Miktar-Grp'!AV:AV,'SU - Miktar-Grp'!$B:$B,'SU TEMİNİ'!$C16)*$M16</f>
        <v>0</v>
      </c>
      <c r="BG16">
        <f>+SUMIFS('SU - Miktar-Grp'!AW:AW,'SU - Miktar-Grp'!$B:$B,'SU TEMİNİ'!$C16)*$M16</f>
        <v>0</v>
      </c>
      <c r="BH16">
        <f>+SUMIFS('SU - Miktar-Grp'!AX:AX,'SU - Miktar-Grp'!$B:$B,'SU TEMİNİ'!$C16)*$M16</f>
        <v>0</v>
      </c>
      <c r="BI16">
        <f>+SUMIFS('SU - Miktar-Grp'!AY:AY,'SU - Miktar-Grp'!$B:$B,'SU TEMİNİ'!$C16)*$M16</f>
        <v>0</v>
      </c>
      <c r="BJ16">
        <f>+SUMIFS('SU - Miktar-Grp'!AZ:AZ,'SU - Miktar-Grp'!$B:$B,'SU TEMİNİ'!$C16)*$M16</f>
        <v>0</v>
      </c>
      <c r="BK16">
        <f>+SUMIFS('SU - Miktar-Grp'!BA:BA,'SU - Miktar-Grp'!$B:$B,'SU TEMİNİ'!$C16)*$M16</f>
        <v>0</v>
      </c>
      <c r="BL16">
        <f>+SUMIFS('SU - Miktar-Grp'!BB:BB,'SU - Miktar-Grp'!$B:$B,'SU TEMİNİ'!$C16)*$M16</f>
        <v>0</v>
      </c>
      <c r="BM16">
        <f>+SUMIFS('SU - Miktar-Grp'!BC:BC,'SU - Miktar-Grp'!$B:$B,'SU TEMİNİ'!$C16)*$M16</f>
        <v>0</v>
      </c>
      <c r="BN16">
        <f>+SUMIFS('SU - Miktar-Grp'!BD:BD,'SU - Miktar-Grp'!$B:$B,'SU TEMİNİ'!$C16)*$M16</f>
        <v>0</v>
      </c>
      <c r="BO16">
        <f>+SUMIFS('SU - Miktar-Grp'!BE:BE,'SU - Miktar-Grp'!$B:$B,'SU TEMİNİ'!$C16)*$M16</f>
        <v>0</v>
      </c>
      <c r="BP16">
        <f>+SUMIFS('SU - Miktar-Grp'!BF:BF,'SU - Miktar-Grp'!$B:$B,'SU TEMİNİ'!$C16)*$M16</f>
        <v>0</v>
      </c>
      <c r="BQ16">
        <f>+SUMIFS('SU - Miktar-Grp'!BG:BG,'SU - Miktar-Grp'!$B:$B,'SU TEMİNİ'!$C16)*$M16</f>
        <v>0</v>
      </c>
      <c r="BR16">
        <f>+SUMIFS('SU - Miktar-Grp'!BH:BH,'SU - Miktar-Grp'!$B:$B,'SU TEMİNİ'!$C16)*$M16</f>
        <v>0</v>
      </c>
      <c r="BS16">
        <f>+SUMIFS('SU - Miktar-Grp'!BI:BI,'SU - Miktar-Grp'!$B:$B,'SU TEMİNİ'!$C16)*$M16</f>
        <v>0</v>
      </c>
      <c r="BT16">
        <f>+SUMIFS('SU - Miktar-Grp'!BJ:BJ,'SU - Miktar-Grp'!$B:$B,'SU TEMİNİ'!$C16)*$M16</f>
        <v>0</v>
      </c>
      <c r="BU16">
        <f>+SUMIFS('SU - Miktar-Grp'!BK:BK,'SU - Miktar-Grp'!$B:$B,'SU TEMİNİ'!$C16)*$M16</f>
        <v>0</v>
      </c>
      <c r="BV16">
        <f>+SUMIFS('SU - Miktar-Grp'!BL:BL,'SU - Miktar-Grp'!$B:$B,'SU TEMİNİ'!$C16)*$M16</f>
        <v>0</v>
      </c>
      <c r="BW16">
        <f>+SUMIFS('SU - Miktar-Grp'!BM:BM,'SU - Miktar-Grp'!$B:$B,'SU TEMİNİ'!$C16)*$M16</f>
        <v>0</v>
      </c>
      <c r="BX16">
        <f>+SUMIFS('SU - Miktar-Grp'!BN:BN,'SU - Miktar-Grp'!$B:$B,'SU TEMİNİ'!$C16)*$M16</f>
        <v>0</v>
      </c>
    </row>
    <row r="17" spans="1:76">
      <c r="A17" s="3" t="s">
        <v>66</v>
      </c>
      <c r="B17" t="s">
        <v>5272</v>
      </c>
      <c r="C17" t="s">
        <v>2639</v>
      </c>
      <c r="D17" t="s">
        <v>4967</v>
      </c>
      <c r="E17" t="s">
        <v>4968</v>
      </c>
      <c r="F17" t="s">
        <v>4973</v>
      </c>
      <c r="G17" t="s">
        <v>4983</v>
      </c>
      <c r="H17" t="s">
        <v>4984</v>
      </c>
      <c r="L17" s="126">
        <f t="shared" si="1"/>
        <v>1860.9164492763161</v>
      </c>
      <c r="M17">
        <v>1.0000000000000002E-2</v>
      </c>
      <c r="N17">
        <f>+SUMIFS('SU - Miktar-Grp'!D:D,'SU - Miktar-Grp'!$B:$B,'SU TEMİNİ'!$C17)*$M17</f>
        <v>0</v>
      </c>
      <c r="O17">
        <f>+SUMIFS('SU - Miktar-Grp'!E:E,'SU - Miktar-Grp'!$B:$B,'SU TEMİNİ'!$C17)*$M17</f>
        <v>0</v>
      </c>
      <c r="P17">
        <f>+SUMIFS('SU - Miktar-Grp'!F:F,'SU - Miktar-Grp'!$B:$B,'SU TEMİNİ'!$C17)*$M17</f>
        <v>0</v>
      </c>
      <c r="Q17">
        <f>+SUMIFS('SU - Miktar-Grp'!G:G,'SU - Miktar-Grp'!$B:$B,'SU TEMİNİ'!$C17)*$M17</f>
        <v>0</v>
      </c>
      <c r="R17">
        <f>+SUMIFS('SU - Miktar-Grp'!H:H,'SU - Miktar-Grp'!$B:$B,'SU TEMİNİ'!$C17)*$M17</f>
        <v>0</v>
      </c>
      <c r="S17">
        <f>+SUMIFS('SU - Miktar-Grp'!I:I,'SU - Miktar-Grp'!$B:$B,'SU TEMİNİ'!$C17)*$M17</f>
        <v>0</v>
      </c>
      <c r="T17">
        <f>+SUMIFS('SU - Miktar-Grp'!J:J,'SU - Miktar-Grp'!$B:$B,'SU TEMİNİ'!$C17)*$M17</f>
        <v>0</v>
      </c>
      <c r="U17">
        <f>+SUMIFS('SU - Miktar-Grp'!K:K,'SU - Miktar-Grp'!$B:$B,'SU TEMİNİ'!$C17)*$M17</f>
        <v>0</v>
      </c>
      <c r="V17">
        <f>+SUMIFS('SU - Miktar-Grp'!L:L,'SU - Miktar-Grp'!$B:$B,'SU TEMİNİ'!$C17)*$M17</f>
        <v>0</v>
      </c>
      <c r="W17">
        <f>+SUMIFS('SU - Miktar-Grp'!M:M,'SU - Miktar-Grp'!$B:$B,'SU TEMİNİ'!$C17)*$M17</f>
        <v>0</v>
      </c>
      <c r="X17">
        <f>+SUMIFS('SU - Miktar-Grp'!N:N,'SU - Miktar-Grp'!$B:$B,'SU TEMİNİ'!$C17)*$M17</f>
        <v>12.873420000000003</v>
      </c>
      <c r="Y17">
        <f>+SUMIFS('SU - Miktar-Grp'!O:O,'SU - Miktar-Grp'!$B:$B,'SU TEMİNİ'!$C17)*$M17</f>
        <v>35.571292105263161</v>
      </c>
      <c r="Z17">
        <f>+SUMIFS('SU - Miktar-Grp'!P:P,'SU - Miktar-Grp'!$B:$B,'SU TEMİNİ'!$C17)*$M17</f>
        <v>100.15790796052633</v>
      </c>
      <c r="AA17">
        <f>+SUMIFS('SU - Miktar-Grp'!Q:Q,'SU - Miktar-Grp'!$B:$B,'SU TEMİNİ'!$C17)*$M17</f>
        <v>95.923230328947398</v>
      </c>
      <c r="AB17">
        <f>+SUMIFS('SU - Miktar-Grp'!R:R,'SU - Miktar-Grp'!$B:$B,'SU TEMİNİ'!$C17)*$M17</f>
        <v>95.923230328947398</v>
      </c>
      <c r="AC17">
        <f>+SUMIFS('SU - Miktar-Grp'!S:S,'SU - Miktar-Grp'!$B:$B,'SU TEMİNİ'!$C17)*$M17</f>
        <v>83.049810328947387</v>
      </c>
      <c r="AD17">
        <f>+SUMIFS('SU - Miktar-Grp'!T:T,'SU - Miktar-Grp'!$B:$B,'SU TEMİNİ'!$C17)*$M17</f>
        <v>64.586615855263162</v>
      </c>
      <c r="AE17">
        <f>+SUMIFS('SU - Miktar-Grp'!U:U,'SU - Miktar-Grp'!$B:$B,'SU TEMİNİ'!$C17)*$M17</f>
        <v>61.060665427631598</v>
      </c>
      <c r="AF17">
        <f>+SUMIFS('SU - Miktar-Grp'!V:V,'SU - Miktar-Grp'!$B:$B,'SU TEMİNİ'!$C17)*$M17</f>
        <v>97.113677361842136</v>
      </c>
      <c r="AG17">
        <f>+SUMIFS('SU - Miktar-Grp'!W:W,'SU - Miktar-Grp'!$B:$B,'SU TEMİNİ'!$C17)*$M17</f>
        <v>89.385390684210549</v>
      </c>
      <c r="AH17">
        <f>+SUMIFS('SU - Miktar-Grp'!X:X,'SU - Miktar-Grp'!$B:$B,'SU TEMİNİ'!$C17)*$M17</f>
        <v>93.62006831578951</v>
      </c>
      <c r="AI17">
        <f>+SUMIFS('SU - Miktar-Grp'!Y:Y,'SU - Miktar-Grp'!$B:$B,'SU TEMİNİ'!$C17)*$M17</f>
        <v>98.98399331578949</v>
      </c>
      <c r="AJ17">
        <f>+SUMIFS('SU - Miktar-Grp'!Z:Z,'SU - Miktar-Grp'!$B:$B,'SU TEMİNİ'!$C17)*$M17</f>
        <v>77.50057884210527</v>
      </c>
      <c r="AK17">
        <f>+SUMIFS('SU - Miktar-Grp'!AA:AA,'SU - Miktar-Grp'!$B:$B,'SU TEMİNİ'!$C17)*$M17</f>
        <v>44.566596052631596</v>
      </c>
      <c r="AL17">
        <f>+SUMIFS('SU - Miktar-Grp'!AB:AB,'SU - Miktar-Grp'!$B:$B,'SU TEMİNİ'!$C17)*$M17</f>
        <v>32.964096052631589</v>
      </c>
      <c r="AM17">
        <f>+SUMIFS('SU - Miktar-Grp'!AC:AC,'SU - Miktar-Grp'!$B:$B,'SU TEMİNİ'!$C17)*$M17</f>
        <v>21.361596052631583</v>
      </c>
      <c r="AN17">
        <f>+SUMIFS('SU - Miktar-Grp'!AD:AD,'SU - Miktar-Grp'!$B:$B,'SU TEMİNİ'!$C17)*$M17</f>
        <v>21.361596052631583</v>
      </c>
      <c r="AO17">
        <f>+SUMIFS('SU - Miktar-Grp'!AE:AE,'SU - Miktar-Grp'!$B:$B,'SU TEMİNİ'!$C17)*$M17</f>
        <v>36.747591447368428</v>
      </c>
      <c r="AP17">
        <f>+SUMIFS('SU - Miktar-Grp'!AF:AF,'SU - Miktar-Grp'!$B:$B,'SU TEMİNİ'!$C17)*$M17</f>
        <v>36.747591447368428</v>
      </c>
      <c r="AQ17">
        <f>+SUMIFS('SU - Miktar-Grp'!AG:AG,'SU - Miktar-Grp'!$B:$B,'SU TEMİNİ'!$C17)*$M17</f>
        <v>64.447879078947381</v>
      </c>
      <c r="AR17">
        <f>+SUMIFS('SU - Miktar-Grp'!AH:AH,'SU - Miktar-Grp'!$B:$B,'SU TEMİNİ'!$C17)*$M17</f>
        <v>96.382844342105287</v>
      </c>
      <c r="AS17">
        <f>+SUMIFS('SU - Miktar-Grp'!AI:AI,'SU - Miktar-Grp'!$B:$B,'SU TEMİNİ'!$C17)*$M17</f>
        <v>96.382844342105287</v>
      </c>
      <c r="AT17">
        <f>+SUMIFS('SU - Miktar-Grp'!AJ:AJ,'SU - Miktar-Grp'!$B:$B,'SU TEMİNİ'!$C17)*$M17</f>
        <v>96.382844342105287</v>
      </c>
      <c r="AU17">
        <f>+SUMIFS('SU - Miktar-Grp'!AK:AK,'SU - Miktar-Grp'!$B:$B,'SU TEMİNİ'!$C17)*$M17</f>
        <v>96.382844342105287</v>
      </c>
      <c r="AV17">
        <f>+SUMIFS('SU - Miktar-Grp'!AL:AL,'SU - Miktar-Grp'!$B:$B,'SU TEMİNİ'!$C17)*$M17</f>
        <v>64.447879078947381</v>
      </c>
      <c r="AW17">
        <f>+SUMIFS('SU - Miktar-Grp'!AM:AM,'SU - Miktar-Grp'!$B:$B,'SU TEMİNİ'!$C17)*$M17</f>
        <v>36.747591447368428</v>
      </c>
      <c r="AX17">
        <f>+SUMIFS('SU - Miktar-Grp'!AN:AN,'SU - Miktar-Grp'!$B:$B,'SU TEMİNİ'!$C17)*$M17</f>
        <v>36.747591447368428</v>
      </c>
      <c r="AY17">
        <f>+SUMIFS('SU - Miktar-Grp'!AO:AO,'SU - Miktar-Grp'!$B:$B,'SU TEMİNİ'!$C17)*$M17</f>
        <v>36.747591447368428</v>
      </c>
      <c r="AZ17">
        <f>+SUMIFS('SU - Miktar-Grp'!AP:AP,'SU - Miktar-Grp'!$B:$B,'SU TEMİNİ'!$C17)*$M17</f>
        <v>36.747591447368428</v>
      </c>
      <c r="BA17">
        <f>+SUMIFS('SU - Miktar-Grp'!AQ:AQ,'SU - Miktar-Grp'!$B:$B,'SU TEMİNİ'!$C17)*$M17</f>
        <v>0</v>
      </c>
      <c r="BB17">
        <f>+SUMIFS('SU - Miktar-Grp'!AR:AR,'SU - Miktar-Grp'!$B:$B,'SU TEMİNİ'!$C17)*$M17</f>
        <v>0</v>
      </c>
      <c r="BC17">
        <f>+SUMIFS('SU - Miktar-Grp'!AS:AS,'SU - Miktar-Grp'!$B:$B,'SU TEMİNİ'!$C17)*$M17</f>
        <v>0</v>
      </c>
      <c r="BD17">
        <f>+SUMIFS('SU - Miktar-Grp'!AT:AT,'SU - Miktar-Grp'!$B:$B,'SU TEMİNİ'!$C17)*$M17</f>
        <v>0</v>
      </c>
      <c r="BE17">
        <f>+SUMIFS('SU - Miktar-Grp'!AU:AU,'SU - Miktar-Grp'!$B:$B,'SU TEMİNİ'!$C17)*$M17</f>
        <v>0</v>
      </c>
      <c r="BF17">
        <f>+SUMIFS('SU - Miktar-Grp'!AV:AV,'SU - Miktar-Grp'!$B:$B,'SU TEMİNİ'!$C17)*$M17</f>
        <v>0</v>
      </c>
      <c r="BG17">
        <f>+SUMIFS('SU - Miktar-Grp'!AW:AW,'SU - Miktar-Grp'!$B:$B,'SU TEMİNİ'!$C17)*$M17</f>
        <v>0</v>
      </c>
      <c r="BH17">
        <f>+SUMIFS('SU - Miktar-Grp'!AX:AX,'SU - Miktar-Grp'!$B:$B,'SU TEMİNİ'!$C17)*$M17</f>
        <v>0</v>
      </c>
      <c r="BI17">
        <f>+SUMIFS('SU - Miktar-Grp'!AY:AY,'SU - Miktar-Grp'!$B:$B,'SU TEMİNİ'!$C17)*$M17</f>
        <v>0</v>
      </c>
      <c r="BJ17">
        <f>+SUMIFS('SU - Miktar-Grp'!AZ:AZ,'SU - Miktar-Grp'!$B:$B,'SU TEMİNİ'!$C17)*$M17</f>
        <v>0</v>
      </c>
      <c r="BK17">
        <f>+SUMIFS('SU - Miktar-Grp'!BA:BA,'SU - Miktar-Grp'!$B:$B,'SU TEMİNİ'!$C17)*$M17</f>
        <v>0</v>
      </c>
      <c r="BL17">
        <f>+SUMIFS('SU - Miktar-Grp'!BB:BB,'SU - Miktar-Grp'!$B:$B,'SU TEMİNİ'!$C17)*$M17</f>
        <v>0</v>
      </c>
      <c r="BM17">
        <f>+SUMIFS('SU - Miktar-Grp'!BC:BC,'SU - Miktar-Grp'!$B:$B,'SU TEMİNİ'!$C17)*$M17</f>
        <v>0</v>
      </c>
      <c r="BN17">
        <f>+SUMIFS('SU - Miktar-Grp'!BD:BD,'SU - Miktar-Grp'!$B:$B,'SU TEMİNİ'!$C17)*$M17</f>
        <v>0</v>
      </c>
      <c r="BO17">
        <f>+SUMIFS('SU - Miktar-Grp'!BE:BE,'SU - Miktar-Grp'!$B:$B,'SU TEMİNİ'!$C17)*$M17</f>
        <v>0</v>
      </c>
      <c r="BP17">
        <f>+SUMIFS('SU - Miktar-Grp'!BF:BF,'SU - Miktar-Grp'!$B:$B,'SU TEMİNİ'!$C17)*$M17</f>
        <v>0</v>
      </c>
      <c r="BQ17">
        <f>+SUMIFS('SU - Miktar-Grp'!BG:BG,'SU - Miktar-Grp'!$B:$B,'SU TEMİNİ'!$C17)*$M17</f>
        <v>0</v>
      </c>
      <c r="BR17">
        <f>+SUMIFS('SU - Miktar-Grp'!BH:BH,'SU - Miktar-Grp'!$B:$B,'SU TEMİNİ'!$C17)*$M17</f>
        <v>0</v>
      </c>
      <c r="BS17">
        <f>+SUMIFS('SU - Miktar-Grp'!BI:BI,'SU - Miktar-Grp'!$B:$B,'SU TEMİNİ'!$C17)*$M17</f>
        <v>0</v>
      </c>
      <c r="BT17">
        <f>+SUMIFS('SU - Miktar-Grp'!BJ:BJ,'SU - Miktar-Grp'!$B:$B,'SU TEMİNİ'!$C17)*$M17</f>
        <v>0</v>
      </c>
      <c r="BU17">
        <f>+SUMIFS('SU - Miktar-Grp'!BK:BK,'SU - Miktar-Grp'!$B:$B,'SU TEMİNİ'!$C17)*$M17</f>
        <v>0</v>
      </c>
      <c r="BV17">
        <f>+SUMIFS('SU - Miktar-Grp'!BL:BL,'SU - Miktar-Grp'!$B:$B,'SU TEMİNİ'!$C17)*$M17</f>
        <v>0</v>
      </c>
      <c r="BW17">
        <f>+SUMIFS('SU - Miktar-Grp'!BM:BM,'SU - Miktar-Grp'!$B:$B,'SU TEMİNİ'!$C17)*$M17</f>
        <v>0</v>
      </c>
      <c r="BX17">
        <f>+SUMIFS('SU - Miktar-Grp'!BN:BN,'SU - Miktar-Grp'!$B:$B,'SU TEMİNİ'!$C17)*$M17</f>
        <v>0</v>
      </c>
    </row>
    <row r="18" spans="1:76">
      <c r="A18" s="3" t="s">
        <v>66</v>
      </c>
      <c r="B18" t="s">
        <v>5272</v>
      </c>
      <c r="C18" t="s">
        <v>2640</v>
      </c>
      <c r="D18" t="s">
        <v>4967</v>
      </c>
      <c r="E18" t="s">
        <v>4968</v>
      </c>
      <c r="F18" t="s">
        <v>4973</v>
      </c>
      <c r="G18" t="s">
        <v>4983</v>
      </c>
      <c r="H18" t="s">
        <v>4984</v>
      </c>
      <c r="L18" s="126">
        <f t="shared" si="1"/>
        <v>3054.381157894737</v>
      </c>
      <c r="M18">
        <v>0.27</v>
      </c>
      <c r="N18">
        <f>+SUMIFS('SU - Miktar-Grp'!D:D,'SU - Miktar-Grp'!$B:$B,'SU TEMİNİ'!$C18)*$M18</f>
        <v>0</v>
      </c>
      <c r="O18">
        <f>+SUMIFS('SU - Miktar-Grp'!E:E,'SU - Miktar-Grp'!$B:$B,'SU TEMİNİ'!$C18)*$M18</f>
        <v>0</v>
      </c>
      <c r="P18">
        <f>+SUMIFS('SU - Miktar-Grp'!F:F,'SU - Miktar-Grp'!$B:$B,'SU TEMİNİ'!$C18)*$M18</f>
        <v>0</v>
      </c>
      <c r="Q18">
        <f>+SUMIFS('SU - Miktar-Grp'!G:G,'SU - Miktar-Grp'!$B:$B,'SU TEMİNİ'!$C18)*$M18</f>
        <v>0</v>
      </c>
      <c r="R18">
        <f>+SUMIFS('SU - Miktar-Grp'!H:H,'SU - Miktar-Grp'!$B:$B,'SU TEMİNİ'!$C18)*$M18</f>
        <v>0</v>
      </c>
      <c r="S18">
        <f>+SUMIFS('SU - Miktar-Grp'!I:I,'SU - Miktar-Grp'!$B:$B,'SU TEMİNİ'!$C18)*$M18</f>
        <v>0</v>
      </c>
      <c r="T18">
        <f>+SUMIFS('SU - Miktar-Grp'!J:J,'SU - Miktar-Grp'!$B:$B,'SU TEMİNİ'!$C18)*$M18</f>
        <v>0</v>
      </c>
      <c r="U18">
        <f>+SUMIFS('SU - Miktar-Grp'!K:K,'SU - Miktar-Grp'!$B:$B,'SU TEMİNİ'!$C18)*$M18</f>
        <v>0</v>
      </c>
      <c r="V18">
        <f>+SUMIFS('SU - Miktar-Grp'!L:L,'SU - Miktar-Grp'!$B:$B,'SU TEMİNİ'!$C18)*$M18</f>
        <v>0</v>
      </c>
      <c r="W18">
        <f>+SUMIFS('SU - Miktar-Grp'!M:M,'SU - Miktar-Grp'!$B:$B,'SU TEMİNİ'!$C18)*$M18</f>
        <v>0</v>
      </c>
      <c r="X18">
        <f>+SUMIFS('SU - Miktar-Grp'!N:N,'SU - Miktar-Grp'!$B:$B,'SU TEMİNİ'!$C18)*$M18</f>
        <v>31.968000000000004</v>
      </c>
      <c r="Y18">
        <f>+SUMIFS('SU - Miktar-Grp'!O:O,'SU - Miktar-Grp'!$B:$B,'SU TEMİNİ'!$C18)*$M18</f>
        <v>88.332631578947371</v>
      </c>
      <c r="Z18">
        <f>+SUMIFS('SU - Miktar-Grp'!P:P,'SU - Miktar-Grp'!$B:$B,'SU TEMİNİ'!$C18)*$M18</f>
        <v>190.20726315789474</v>
      </c>
      <c r="AA18">
        <f>+SUMIFS('SU - Miktar-Grp'!Q:Q,'SU - Miktar-Grp'!$B:$B,'SU TEMİNİ'!$C18)*$M18</f>
        <v>179.69147368421054</v>
      </c>
      <c r="AB18">
        <f>+SUMIFS('SU - Miktar-Grp'!R:R,'SU - Miktar-Grp'!$B:$B,'SU TEMİNİ'!$C18)*$M18</f>
        <v>179.69147368421054</v>
      </c>
      <c r="AC18">
        <f>+SUMIFS('SU - Miktar-Grp'!S:S,'SU - Miktar-Grp'!$B:$B,'SU TEMİNİ'!$C18)*$M18</f>
        <v>147.72347368421055</v>
      </c>
      <c r="AD18">
        <f>+SUMIFS('SU - Miktar-Grp'!T:T,'SU - Miktar-Grp'!$B:$B,'SU TEMİNİ'!$C18)*$M18</f>
        <v>101.87463157894737</v>
      </c>
      <c r="AE18">
        <f>+SUMIFS('SU - Miktar-Grp'!U:U,'SU - Miktar-Grp'!$B:$B,'SU TEMİNİ'!$C18)*$M18</f>
        <v>94.005315789473684</v>
      </c>
      <c r="AF18">
        <f>+SUMIFS('SU - Miktar-Grp'!V:V,'SU - Miktar-Grp'!$B:$B,'SU TEMİNİ'!$C18)*$M18</f>
        <v>125.91022105263158</v>
      </c>
      <c r="AG18">
        <f>+SUMIFS('SU - Miktar-Grp'!W:W,'SU - Miktar-Grp'!$B:$B,'SU TEMİNİ'!$C18)*$M18</f>
        <v>106.71890526315791</v>
      </c>
      <c r="AH18">
        <f>+SUMIFS('SU - Miktar-Grp'!X:X,'SU - Miktar-Grp'!$B:$B,'SU TEMİNİ'!$C18)*$M18</f>
        <v>117.23469473684212</v>
      </c>
      <c r="AI18">
        <f>+SUMIFS('SU - Miktar-Grp'!Y:Y,'SU - Miktar-Grp'!$B:$B,'SU TEMİNİ'!$C18)*$M18</f>
        <v>130.55469473684212</v>
      </c>
      <c r="AJ18">
        <f>+SUMIFS('SU - Miktar-Grp'!Z:Z,'SU - Miktar-Grp'!$B:$B,'SU TEMİNİ'!$C18)*$M18</f>
        <v>106.01785263157898</v>
      </c>
      <c r="AK18">
        <f>+SUMIFS('SU - Miktar-Grp'!AA:AA,'SU - Miktar-Grp'!$B:$B,'SU TEMİNİ'!$C18)*$M18</f>
        <v>53.046315789473688</v>
      </c>
      <c r="AL18">
        <f>+SUMIFS('SU - Miktar-Grp'!AB:AB,'SU - Miktar-Grp'!$B:$B,'SU TEMİNİ'!$C18)*$M18</f>
        <v>53.046315789473688</v>
      </c>
      <c r="AM18">
        <f>+SUMIFS('SU - Miktar-Grp'!AC:AC,'SU - Miktar-Grp'!$B:$B,'SU TEMİNİ'!$C18)*$M18</f>
        <v>53.046315789473688</v>
      </c>
      <c r="AN18">
        <f>+SUMIFS('SU - Miktar-Grp'!AD:AD,'SU - Miktar-Grp'!$B:$B,'SU TEMİNİ'!$C18)*$M18</f>
        <v>53.046315789473688</v>
      </c>
      <c r="AO18">
        <f>+SUMIFS('SU - Miktar-Grp'!AE:AE,'SU - Miktar-Grp'!$B:$B,'SU TEMİNİ'!$C18)*$M18</f>
        <v>91.253684210526316</v>
      </c>
      <c r="AP18">
        <f>+SUMIFS('SU - Miktar-Grp'!AF:AF,'SU - Miktar-Grp'!$B:$B,'SU TEMİNİ'!$C18)*$M18</f>
        <v>91.253684210526316</v>
      </c>
      <c r="AQ18">
        <f>+SUMIFS('SU - Miktar-Grp'!AG:AG,'SU - Miktar-Grp'!$B:$B,'SU TEMİNİ'!$C18)*$M18</f>
        <v>101.76947368421052</v>
      </c>
      <c r="AR18">
        <f>+SUMIFS('SU - Miktar-Grp'!AH:AH,'SU - Miktar-Grp'!$B:$B,'SU TEMİNİ'!$C18)*$M18</f>
        <v>122.80105263157894</v>
      </c>
      <c r="AS18">
        <f>+SUMIFS('SU - Miktar-Grp'!AI:AI,'SU - Miktar-Grp'!$B:$B,'SU TEMİNİ'!$C18)*$M18</f>
        <v>122.80105263157895</v>
      </c>
      <c r="AT18">
        <f>+SUMIFS('SU - Miktar-Grp'!AJ:AJ,'SU - Miktar-Grp'!$B:$B,'SU TEMİNİ'!$C18)*$M18</f>
        <v>122.80105263157894</v>
      </c>
      <c r="AU18">
        <f>+SUMIFS('SU - Miktar-Grp'!AK:AK,'SU - Miktar-Grp'!$B:$B,'SU TEMİNİ'!$C18)*$M18</f>
        <v>122.80105263157895</v>
      </c>
      <c r="AV18">
        <f>+SUMIFS('SU - Miktar-Grp'!AL:AL,'SU - Miktar-Grp'!$B:$B,'SU TEMİNİ'!$C18)*$M18</f>
        <v>101.76947368421052</v>
      </c>
      <c r="AW18">
        <f>+SUMIFS('SU - Miktar-Grp'!AM:AM,'SU - Miktar-Grp'!$B:$B,'SU TEMİNİ'!$C18)*$M18</f>
        <v>91.253684210526316</v>
      </c>
      <c r="AX18">
        <f>+SUMIFS('SU - Miktar-Grp'!AN:AN,'SU - Miktar-Grp'!$B:$B,'SU TEMİNİ'!$C18)*$M18</f>
        <v>91.253684210526316</v>
      </c>
      <c r="AY18">
        <f>+SUMIFS('SU - Miktar-Grp'!AO:AO,'SU - Miktar-Grp'!$B:$B,'SU TEMİNİ'!$C18)*$M18</f>
        <v>91.253684210526316</v>
      </c>
      <c r="AZ18">
        <f>+SUMIFS('SU - Miktar-Grp'!AP:AP,'SU - Miktar-Grp'!$B:$B,'SU TEMİNİ'!$C18)*$M18</f>
        <v>91.253684210526316</v>
      </c>
      <c r="BA18">
        <f>+SUMIFS('SU - Miktar-Grp'!AQ:AQ,'SU - Miktar-Grp'!$B:$B,'SU TEMİNİ'!$C18)*$M18</f>
        <v>0</v>
      </c>
      <c r="BB18">
        <f>+SUMIFS('SU - Miktar-Grp'!AR:AR,'SU - Miktar-Grp'!$B:$B,'SU TEMİNİ'!$C18)*$M18</f>
        <v>0</v>
      </c>
      <c r="BC18">
        <f>+SUMIFS('SU - Miktar-Grp'!AS:AS,'SU - Miktar-Grp'!$B:$B,'SU TEMİNİ'!$C18)*$M18</f>
        <v>0</v>
      </c>
      <c r="BD18">
        <f>+SUMIFS('SU - Miktar-Grp'!AT:AT,'SU - Miktar-Grp'!$B:$B,'SU TEMİNİ'!$C18)*$M18</f>
        <v>0</v>
      </c>
      <c r="BE18">
        <f>+SUMIFS('SU - Miktar-Grp'!AU:AU,'SU - Miktar-Grp'!$B:$B,'SU TEMİNİ'!$C18)*$M18</f>
        <v>0</v>
      </c>
      <c r="BF18">
        <f>+SUMIFS('SU - Miktar-Grp'!AV:AV,'SU - Miktar-Grp'!$B:$B,'SU TEMİNİ'!$C18)*$M18</f>
        <v>0</v>
      </c>
      <c r="BG18">
        <f>+SUMIFS('SU - Miktar-Grp'!AW:AW,'SU - Miktar-Grp'!$B:$B,'SU TEMİNİ'!$C18)*$M18</f>
        <v>0</v>
      </c>
      <c r="BH18">
        <f>+SUMIFS('SU - Miktar-Grp'!AX:AX,'SU - Miktar-Grp'!$B:$B,'SU TEMİNİ'!$C18)*$M18</f>
        <v>0</v>
      </c>
      <c r="BI18">
        <f>+SUMIFS('SU - Miktar-Grp'!AY:AY,'SU - Miktar-Grp'!$B:$B,'SU TEMİNİ'!$C18)*$M18</f>
        <v>0</v>
      </c>
      <c r="BJ18">
        <f>+SUMIFS('SU - Miktar-Grp'!AZ:AZ,'SU - Miktar-Grp'!$B:$B,'SU TEMİNİ'!$C18)*$M18</f>
        <v>0</v>
      </c>
      <c r="BK18">
        <f>+SUMIFS('SU - Miktar-Grp'!BA:BA,'SU - Miktar-Grp'!$B:$B,'SU TEMİNİ'!$C18)*$M18</f>
        <v>0</v>
      </c>
      <c r="BL18">
        <f>+SUMIFS('SU - Miktar-Grp'!BB:BB,'SU - Miktar-Grp'!$B:$B,'SU TEMİNİ'!$C18)*$M18</f>
        <v>0</v>
      </c>
      <c r="BM18">
        <f>+SUMIFS('SU - Miktar-Grp'!BC:BC,'SU - Miktar-Grp'!$B:$B,'SU TEMİNİ'!$C18)*$M18</f>
        <v>0</v>
      </c>
      <c r="BN18">
        <f>+SUMIFS('SU - Miktar-Grp'!BD:BD,'SU - Miktar-Grp'!$B:$B,'SU TEMİNİ'!$C18)*$M18</f>
        <v>0</v>
      </c>
      <c r="BO18">
        <f>+SUMIFS('SU - Miktar-Grp'!BE:BE,'SU - Miktar-Grp'!$B:$B,'SU TEMİNİ'!$C18)*$M18</f>
        <v>0</v>
      </c>
      <c r="BP18">
        <f>+SUMIFS('SU - Miktar-Grp'!BF:BF,'SU - Miktar-Grp'!$B:$B,'SU TEMİNİ'!$C18)*$M18</f>
        <v>0</v>
      </c>
      <c r="BQ18">
        <f>+SUMIFS('SU - Miktar-Grp'!BG:BG,'SU - Miktar-Grp'!$B:$B,'SU TEMİNİ'!$C18)*$M18</f>
        <v>0</v>
      </c>
      <c r="BR18">
        <f>+SUMIFS('SU - Miktar-Grp'!BH:BH,'SU - Miktar-Grp'!$B:$B,'SU TEMİNİ'!$C18)*$M18</f>
        <v>0</v>
      </c>
      <c r="BS18">
        <f>+SUMIFS('SU - Miktar-Grp'!BI:BI,'SU - Miktar-Grp'!$B:$B,'SU TEMİNİ'!$C18)*$M18</f>
        <v>0</v>
      </c>
      <c r="BT18">
        <f>+SUMIFS('SU - Miktar-Grp'!BJ:BJ,'SU - Miktar-Grp'!$B:$B,'SU TEMİNİ'!$C18)*$M18</f>
        <v>0</v>
      </c>
      <c r="BU18">
        <f>+SUMIFS('SU - Miktar-Grp'!BK:BK,'SU - Miktar-Grp'!$B:$B,'SU TEMİNİ'!$C18)*$M18</f>
        <v>0</v>
      </c>
      <c r="BV18">
        <f>+SUMIFS('SU - Miktar-Grp'!BL:BL,'SU - Miktar-Grp'!$B:$B,'SU TEMİNİ'!$C18)*$M18</f>
        <v>0</v>
      </c>
      <c r="BW18">
        <f>+SUMIFS('SU - Miktar-Grp'!BM:BM,'SU - Miktar-Grp'!$B:$B,'SU TEMİNİ'!$C18)*$M18</f>
        <v>0</v>
      </c>
      <c r="BX18">
        <f>+SUMIFS('SU - Miktar-Grp'!BN:BN,'SU - Miktar-Grp'!$B:$B,'SU TEMİNİ'!$C18)*$M18</f>
        <v>0</v>
      </c>
    </row>
    <row r="19" spans="1:76">
      <c r="A19" s="3" t="s">
        <v>66</v>
      </c>
      <c r="B19" t="s">
        <v>5272</v>
      </c>
      <c r="C19" t="s">
        <v>2641</v>
      </c>
      <c r="D19" t="s">
        <v>4967</v>
      </c>
      <c r="E19" t="s">
        <v>4968</v>
      </c>
      <c r="F19" t="s">
        <v>4973</v>
      </c>
      <c r="G19" t="s">
        <v>4983</v>
      </c>
      <c r="H19" t="s">
        <v>4984</v>
      </c>
      <c r="L19" s="126">
        <f t="shared" si="1"/>
        <v>2505.927401107374</v>
      </c>
      <c r="M19">
        <v>0.252</v>
      </c>
      <c r="N19">
        <f>+SUMIFS('SU - Miktar-Grp'!D:D,'SU - Miktar-Grp'!$B:$B,'SU TEMİNİ'!$C19)*$M19</f>
        <v>0</v>
      </c>
      <c r="O19">
        <f>+SUMIFS('SU - Miktar-Grp'!E:E,'SU - Miktar-Grp'!$B:$B,'SU TEMİNİ'!$C19)*$M19</f>
        <v>0</v>
      </c>
      <c r="P19">
        <f>+SUMIFS('SU - Miktar-Grp'!F:F,'SU - Miktar-Grp'!$B:$B,'SU TEMİNİ'!$C19)*$M19</f>
        <v>0</v>
      </c>
      <c r="Q19">
        <f>+SUMIFS('SU - Miktar-Grp'!G:G,'SU - Miktar-Grp'!$B:$B,'SU TEMİNİ'!$C19)*$M19</f>
        <v>0</v>
      </c>
      <c r="R19">
        <f>+SUMIFS('SU - Miktar-Grp'!H:H,'SU - Miktar-Grp'!$B:$B,'SU TEMİNİ'!$C19)*$M19</f>
        <v>0</v>
      </c>
      <c r="S19">
        <f>+SUMIFS('SU - Miktar-Grp'!I:I,'SU - Miktar-Grp'!$B:$B,'SU TEMİNİ'!$C19)*$M19</f>
        <v>0</v>
      </c>
      <c r="T19">
        <f>+SUMIFS('SU - Miktar-Grp'!J:J,'SU - Miktar-Grp'!$B:$B,'SU TEMİNİ'!$C19)*$M19</f>
        <v>0</v>
      </c>
      <c r="U19">
        <f>+SUMIFS('SU - Miktar-Grp'!K:K,'SU - Miktar-Grp'!$B:$B,'SU TEMİNİ'!$C19)*$M19</f>
        <v>0</v>
      </c>
      <c r="V19">
        <f>+SUMIFS('SU - Miktar-Grp'!L:L,'SU - Miktar-Grp'!$B:$B,'SU TEMİNİ'!$C19)*$M19</f>
        <v>0</v>
      </c>
      <c r="W19">
        <f>+SUMIFS('SU - Miktar-Grp'!M:M,'SU - Miktar-Grp'!$B:$B,'SU TEMİNİ'!$C19)*$M19</f>
        <v>0</v>
      </c>
      <c r="X19">
        <f>+SUMIFS('SU - Miktar-Grp'!N:N,'SU - Miktar-Grp'!$B:$B,'SU TEMİNİ'!$C19)*$M19</f>
        <v>14.716659543146131</v>
      </c>
      <c r="Y19">
        <f>+SUMIFS('SU - Miktar-Grp'!O:O,'SU - Miktar-Grp'!$B:$B,'SU TEMİNİ'!$C19)*$M19</f>
        <v>40.664454000798528</v>
      </c>
      <c r="Z19">
        <f>+SUMIFS('SU - Miktar-Grp'!P:P,'SU - Miktar-Grp'!$B:$B,'SU TEMİNİ'!$C19)*$M19</f>
        <v>128.63611900251314</v>
      </c>
      <c r="AA19">
        <f>+SUMIFS('SU - Miktar-Grp'!Q:Q,'SU - Miktar-Grp'!$B:$B,'SU TEMİNİ'!$C19)*$M19</f>
        <v>123.79511257384664</v>
      </c>
      <c r="AB19">
        <f>+SUMIFS('SU - Miktar-Grp'!R:R,'SU - Miktar-Grp'!$B:$B,'SU TEMİNİ'!$C19)*$M19</f>
        <v>123.79511257384664</v>
      </c>
      <c r="AC19">
        <f>+SUMIFS('SU - Miktar-Grp'!S:S,'SU - Miktar-Grp'!$B:$B,'SU TEMİNİ'!$C19)*$M19</f>
        <v>109.0784530307005</v>
      </c>
      <c r="AD19">
        <f>+SUMIFS('SU - Miktar-Grp'!T:T,'SU - Miktar-Grp'!$B:$B,'SU TEMİNİ'!$C19)*$M19</f>
        <v>87.971665001714598</v>
      </c>
      <c r="AE19">
        <f>+SUMIFS('SU - Miktar-Grp'!U:U,'SU - Miktar-Grp'!$B:$B,'SU TEMİNİ'!$C19)*$M19</f>
        <v>83.726659274262531</v>
      </c>
      <c r="AF19">
        <f>+SUMIFS('SU - Miktar-Grp'!V:V,'SU - Miktar-Grp'!$B:$B,'SU TEMİNİ'!$C19)*$M19</f>
        <v>138.86502402883664</v>
      </c>
      <c r="AG19">
        <f>+SUMIFS('SU - Miktar-Grp'!W:W,'SU - Miktar-Grp'!$B:$B,'SU TEMİNİ'!$C19)*$M19</f>
        <v>130.0301872965203</v>
      </c>
      <c r="AH19">
        <f>+SUMIFS('SU - Miktar-Grp'!X:X,'SU - Miktar-Grp'!$B:$B,'SU TEMİNİ'!$C19)*$M19</f>
        <v>134.87119372518677</v>
      </c>
      <c r="AI19">
        <f>+SUMIFS('SU - Miktar-Grp'!Y:Y,'SU - Miktar-Grp'!$B:$B,'SU TEMİNİ'!$C19)*$M19</f>
        <v>141.00313520149766</v>
      </c>
      <c r="AJ19">
        <f>+SUMIFS('SU - Miktar-Grp'!Z:Z,'SU - Miktar-Grp'!$B:$B,'SU TEMİNİ'!$C19)*$M19</f>
        <v>109.48207790960919</v>
      </c>
      <c r="AK19">
        <f>+SUMIFS('SU - Miktar-Grp'!AA:AA,'SU - Miktar-Grp'!$B:$B,'SU TEMİNİ'!$C19)*$M19</f>
        <v>64.87093923460651</v>
      </c>
      <c r="AL19">
        <f>+SUMIFS('SU - Miktar-Grp'!AB:AB,'SU - Miktar-Grp'!$B:$B,'SU TEMİNİ'!$C19)*$M19</f>
        <v>44.645563609606519</v>
      </c>
      <c r="AM19">
        <f>+SUMIFS('SU - Miktar-Grp'!AC:AC,'SU - Miktar-Grp'!$B:$B,'SU TEMİNİ'!$C19)*$M19</f>
        <v>24.420187984606525</v>
      </c>
      <c r="AN19">
        <f>+SUMIFS('SU - Miktar-Grp'!AD:AD,'SU - Miktar-Grp'!$B:$B,'SU TEMİNİ'!$C19)*$M19</f>
        <v>24.420187984606525</v>
      </c>
      <c r="AO19">
        <f>+SUMIFS('SU - Miktar-Grp'!AE:AE,'SU - Miktar-Grp'!$B:$B,'SU TEMİNİ'!$C19)*$M19</f>
        <v>42.009178008761438</v>
      </c>
      <c r="AP19">
        <f>+SUMIFS('SU - Miktar-Grp'!AF:AF,'SU - Miktar-Grp'!$B:$B,'SU TEMİNİ'!$C19)*$M19</f>
        <v>42.009178008761438</v>
      </c>
      <c r="AQ19">
        <f>+SUMIFS('SU - Miktar-Grp'!AG:AG,'SU - Miktar-Grp'!$B:$B,'SU TEMİNİ'!$C19)*$M19</f>
        <v>87.755228739927929</v>
      </c>
      <c r="AR19">
        <f>+SUMIFS('SU - Miktar-Grp'!AH:AH,'SU - Miktar-Grp'!$B:$B,'SU TEMİNİ'!$C19)*$M19</f>
        <v>138.34228589976092</v>
      </c>
      <c r="AS19">
        <f>+SUMIFS('SU - Miktar-Grp'!AI:AI,'SU - Miktar-Grp'!$B:$B,'SU TEMİNİ'!$C19)*$M19</f>
        <v>138.34228589976092</v>
      </c>
      <c r="AT19">
        <f>+SUMIFS('SU - Miktar-Grp'!AJ:AJ,'SU - Miktar-Grp'!$B:$B,'SU TEMİNİ'!$C19)*$M19</f>
        <v>138.34228589976092</v>
      </c>
      <c r="AU19">
        <f>+SUMIFS('SU - Miktar-Grp'!AK:AK,'SU - Miktar-Grp'!$B:$B,'SU TEMİNİ'!$C19)*$M19</f>
        <v>138.34228589976092</v>
      </c>
      <c r="AV19">
        <f>+SUMIFS('SU - Miktar-Grp'!AL:AL,'SU - Miktar-Grp'!$B:$B,'SU TEMİNİ'!$C19)*$M19</f>
        <v>87.755228739927929</v>
      </c>
      <c r="AW19">
        <f>+SUMIFS('SU - Miktar-Grp'!AM:AM,'SU - Miktar-Grp'!$B:$B,'SU TEMİNİ'!$C19)*$M19</f>
        <v>42.009178008761438</v>
      </c>
      <c r="AX19">
        <f>+SUMIFS('SU - Miktar-Grp'!AN:AN,'SU - Miktar-Grp'!$B:$B,'SU TEMİNİ'!$C19)*$M19</f>
        <v>42.009178008761438</v>
      </c>
      <c r="AY19">
        <f>+SUMIFS('SU - Miktar-Grp'!AO:AO,'SU - Miktar-Grp'!$B:$B,'SU TEMİNİ'!$C19)*$M19</f>
        <v>42.009178008761438</v>
      </c>
      <c r="AZ19">
        <f>+SUMIFS('SU - Miktar-Grp'!AP:AP,'SU - Miktar-Grp'!$B:$B,'SU TEMİNİ'!$C19)*$M19</f>
        <v>42.009178008761438</v>
      </c>
      <c r="BA19">
        <f>+SUMIFS('SU - Miktar-Grp'!AQ:AQ,'SU - Miktar-Grp'!$B:$B,'SU TEMİNİ'!$C19)*$M19</f>
        <v>0</v>
      </c>
      <c r="BB19">
        <f>+SUMIFS('SU - Miktar-Grp'!AR:AR,'SU - Miktar-Grp'!$B:$B,'SU TEMİNİ'!$C19)*$M19</f>
        <v>0</v>
      </c>
      <c r="BC19">
        <f>+SUMIFS('SU - Miktar-Grp'!AS:AS,'SU - Miktar-Grp'!$B:$B,'SU TEMİNİ'!$C19)*$M19</f>
        <v>0</v>
      </c>
      <c r="BD19">
        <f>+SUMIFS('SU - Miktar-Grp'!AT:AT,'SU - Miktar-Grp'!$B:$B,'SU TEMİNİ'!$C19)*$M19</f>
        <v>0</v>
      </c>
      <c r="BE19">
        <f>+SUMIFS('SU - Miktar-Grp'!AU:AU,'SU - Miktar-Grp'!$B:$B,'SU TEMİNİ'!$C19)*$M19</f>
        <v>0</v>
      </c>
      <c r="BF19">
        <f>+SUMIFS('SU - Miktar-Grp'!AV:AV,'SU - Miktar-Grp'!$B:$B,'SU TEMİNİ'!$C19)*$M19</f>
        <v>0</v>
      </c>
      <c r="BG19">
        <f>+SUMIFS('SU - Miktar-Grp'!AW:AW,'SU - Miktar-Grp'!$B:$B,'SU TEMİNİ'!$C19)*$M19</f>
        <v>0</v>
      </c>
      <c r="BH19">
        <f>+SUMIFS('SU - Miktar-Grp'!AX:AX,'SU - Miktar-Grp'!$B:$B,'SU TEMİNİ'!$C19)*$M19</f>
        <v>0</v>
      </c>
      <c r="BI19">
        <f>+SUMIFS('SU - Miktar-Grp'!AY:AY,'SU - Miktar-Grp'!$B:$B,'SU TEMİNİ'!$C19)*$M19</f>
        <v>0</v>
      </c>
      <c r="BJ19">
        <f>+SUMIFS('SU - Miktar-Grp'!AZ:AZ,'SU - Miktar-Grp'!$B:$B,'SU TEMİNİ'!$C19)*$M19</f>
        <v>0</v>
      </c>
      <c r="BK19">
        <f>+SUMIFS('SU - Miktar-Grp'!BA:BA,'SU - Miktar-Grp'!$B:$B,'SU TEMİNİ'!$C19)*$M19</f>
        <v>0</v>
      </c>
      <c r="BL19">
        <f>+SUMIFS('SU - Miktar-Grp'!BB:BB,'SU - Miktar-Grp'!$B:$B,'SU TEMİNİ'!$C19)*$M19</f>
        <v>0</v>
      </c>
      <c r="BM19">
        <f>+SUMIFS('SU - Miktar-Grp'!BC:BC,'SU - Miktar-Grp'!$B:$B,'SU TEMİNİ'!$C19)*$M19</f>
        <v>0</v>
      </c>
      <c r="BN19">
        <f>+SUMIFS('SU - Miktar-Grp'!BD:BD,'SU - Miktar-Grp'!$B:$B,'SU TEMİNİ'!$C19)*$M19</f>
        <v>0</v>
      </c>
      <c r="BO19">
        <f>+SUMIFS('SU - Miktar-Grp'!BE:BE,'SU - Miktar-Grp'!$B:$B,'SU TEMİNİ'!$C19)*$M19</f>
        <v>0</v>
      </c>
      <c r="BP19">
        <f>+SUMIFS('SU - Miktar-Grp'!BF:BF,'SU - Miktar-Grp'!$B:$B,'SU TEMİNİ'!$C19)*$M19</f>
        <v>0</v>
      </c>
      <c r="BQ19">
        <f>+SUMIFS('SU - Miktar-Grp'!BG:BG,'SU - Miktar-Grp'!$B:$B,'SU TEMİNİ'!$C19)*$M19</f>
        <v>0</v>
      </c>
      <c r="BR19">
        <f>+SUMIFS('SU - Miktar-Grp'!BH:BH,'SU - Miktar-Grp'!$B:$B,'SU TEMİNİ'!$C19)*$M19</f>
        <v>0</v>
      </c>
      <c r="BS19">
        <f>+SUMIFS('SU - Miktar-Grp'!BI:BI,'SU - Miktar-Grp'!$B:$B,'SU TEMİNİ'!$C19)*$M19</f>
        <v>0</v>
      </c>
      <c r="BT19">
        <f>+SUMIFS('SU - Miktar-Grp'!BJ:BJ,'SU - Miktar-Grp'!$B:$B,'SU TEMİNİ'!$C19)*$M19</f>
        <v>0</v>
      </c>
      <c r="BU19">
        <f>+SUMIFS('SU - Miktar-Grp'!BK:BK,'SU - Miktar-Grp'!$B:$B,'SU TEMİNİ'!$C19)*$M19</f>
        <v>0</v>
      </c>
      <c r="BV19">
        <f>+SUMIFS('SU - Miktar-Grp'!BL:BL,'SU - Miktar-Grp'!$B:$B,'SU TEMİNİ'!$C19)*$M19</f>
        <v>0</v>
      </c>
      <c r="BW19">
        <f>+SUMIFS('SU - Miktar-Grp'!BM:BM,'SU - Miktar-Grp'!$B:$B,'SU TEMİNİ'!$C19)*$M19</f>
        <v>0</v>
      </c>
      <c r="BX19">
        <f>+SUMIFS('SU - Miktar-Grp'!BN:BN,'SU - Miktar-Grp'!$B:$B,'SU TEMİNİ'!$C19)*$M19</f>
        <v>0</v>
      </c>
    </row>
    <row r="20" spans="1:76">
      <c r="A20" s="3" t="s">
        <v>66</v>
      </c>
      <c r="B20" t="s">
        <v>5272</v>
      </c>
      <c r="C20" t="s">
        <v>2642</v>
      </c>
      <c r="D20" t="s">
        <v>4967</v>
      </c>
      <c r="E20" t="s">
        <v>4968</v>
      </c>
      <c r="F20" t="s">
        <v>4973</v>
      </c>
      <c r="G20" t="s">
        <v>4983</v>
      </c>
      <c r="H20" t="s">
        <v>4984</v>
      </c>
      <c r="L20" s="126">
        <f t="shared" si="1"/>
        <v>39753.060784572554</v>
      </c>
      <c r="M20">
        <v>0.2205</v>
      </c>
      <c r="N20">
        <f>+SUMIFS('SU - Miktar-Grp'!D:D,'SU - Miktar-Grp'!$B:$B,'SU TEMİNİ'!$C20)*$M20</f>
        <v>0</v>
      </c>
      <c r="O20">
        <f>+SUMIFS('SU - Miktar-Grp'!E:E,'SU - Miktar-Grp'!$B:$B,'SU TEMİNİ'!$C20)*$M20</f>
        <v>0</v>
      </c>
      <c r="P20">
        <f>+SUMIFS('SU - Miktar-Grp'!F:F,'SU - Miktar-Grp'!$B:$B,'SU TEMİNİ'!$C20)*$M20</f>
        <v>0</v>
      </c>
      <c r="Q20">
        <f>+SUMIFS('SU - Miktar-Grp'!G:G,'SU - Miktar-Grp'!$B:$B,'SU TEMİNİ'!$C20)*$M20</f>
        <v>0</v>
      </c>
      <c r="R20">
        <f>+SUMIFS('SU - Miktar-Grp'!H:H,'SU - Miktar-Grp'!$B:$B,'SU TEMİNİ'!$C20)*$M20</f>
        <v>0</v>
      </c>
      <c r="S20">
        <f>+SUMIFS('SU - Miktar-Grp'!I:I,'SU - Miktar-Grp'!$B:$B,'SU TEMİNİ'!$C20)*$M20</f>
        <v>0</v>
      </c>
      <c r="T20">
        <f>+SUMIFS('SU - Miktar-Grp'!J:J,'SU - Miktar-Grp'!$B:$B,'SU TEMİNİ'!$C20)*$M20</f>
        <v>0</v>
      </c>
      <c r="U20">
        <f>+SUMIFS('SU - Miktar-Grp'!K:K,'SU - Miktar-Grp'!$B:$B,'SU TEMİNİ'!$C20)*$M20</f>
        <v>0</v>
      </c>
      <c r="V20">
        <f>+SUMIFS('SU - Miktar-Grp'!L:L,'SU - Miktar-Grp'!$B:$B,'SU TEMİNİ'!$C20)*$M20</f>
        <v>0</v>
      </c>
      <c r="W20">
        <f>+SUMIFS('SU - Miktar-Grp'!M:M,'SU - Miktar-Grp'!$B:$B,'SU TEMİNİ'!$C20)*$M20</f>
        <v>0</v>
      </c>
      <c r="X20">
        <f>+SUMIFS('SU - Miktar-Grp'!N:N,'SU - Miktar-Grp'!$B:$B,'SU TEMİNİ'!$C20)*$M20</f>
        <v>274.22012382975004</v>
      </c>
      <c r="Y20">
        <f>+SUMIFS('SU - Miktar-Grp'!O:O,'SU - Miktar-Grp'!$B:$B,'SU TEMİNİ'!$C20)*$M20</f>
        <v>757.71350005588818</v>
      </c>
      <c r="Z20">
        <f>+SUMIFS('SU - Miktar-Grp'!P:P,'SU - Miktar-Grp'!$B:$B,'SU TEMİNİ'!$C20)*$M20</f>
        <v>2137.7170786063234</v>
      </c>
      <c r="AA20">
        <f>+SUMIFS('SU - Miktar-Grp'!Q:Q,'SU - Miktar-Grp'!$B:$B,'SU TEMİNİ'!$C20)*$M20</f>
        <v>2047.5130905044318</v>
      </c>
      <c r="AB20">
        <f>+SUMIFS('SU - Miktar-Grp'!R:R,'SU - Miktar-Grp'!$B:$B,'SU TEMİNİ'!$C20)*$M20</f>
        <v>2047.5130905044318</v>
      </c>
      <c r="AC20">
        <f>+SUMIFS('SU - Miktar-Grp'!S:S,'SU - Miktar-Grp'!$B:$B,'SU TEMİNİ'!$C20)*$M20</f>
        <v>1773.292966674682</v>
      </c>
      <c r="AD20">
        <f>+SUMIFS('SU - Miktar-Grp'!T:T,'SU - Miktar-Grp'!$B:$B,'SU TEMİNİ'!$C20)*$M20</f>
        <v>1380.0035785504353</v>
      </c>
      <c r="AE20">
        <f>+SUMIFS('SU - Miktar-Grp'!U:U,'SU - Miktar-Grp'!$B:$B,'SU TEMİNİ'!$C20)*$M20</f>
        <v>1304.8323306791863</v>
      </c>
      <c r="AF20">
        <f>+SUMIFS('SU - Miktar-Grp'!V:V,'SU - Miktar-Grp'!$B:$B,'SU TEMİNİ'!$C20)*$M20</f>
        <v>2076.9700209553253</v>
      </c>
      <c r="AG20">
        <f>+SUMIFS('SU - Miktar-Grp'!W:W,'SU - Miktar-Grp'!$B:$B,'SU TEMİNİ'!$C20)*$M20</f>
        <v>1912.347742669373</v>
      </c>
      <c r="AH20">
        <f>+SUMIFS('SU - Miktar-Grp'!X:X,'SU - Miktar-Grp'!$B:$B,'SU TEMİNİ'!$C20)*$M20</f>
        <v>2002.5517307712646</v>
      </c>
      <c r="AI20">
        <f>+SUMIFS('SU - Miktar-Grp'!Y:Y,'SU - Miktar-Grp'!$B:$B,'SU TEMİNİ'!$C20)*$M20</f>
        <v>2116.8101157003271</v>
      </c>
      <c r="AJ20">
        <f>+SUMIFS('SU - Miktar-Grp'!Z:Z,'SU - Miktar-Grp'!$B:$B,'SU TEMİNİ'!$C20)*$M20</f>
        <v>1657.1047482750798</v>
      </c>
      <c r="AK20">
        <f>+SUMIFS('SU - Miktar-Grp'!AA:AA,'SU - Miktar-Grp'!$B:$B,'SU TEMİNİ'!$C20)*$M20</f>
        <v>953.48779702231911</v>
      </c>
      <c r="AL20">
        <f>+SUMIFS('SU - Miktar-Grp'!AB:AB,'SU - Miktar-Grp'!$B:$B,'SU TEMİNİ'!$C20)*$M20</f>
        <v>704.2584018348191</v>
      </c>
      <c r="AM20">
        <f>+SUMIFS('SU - Miktar-Grp'!AC:AC,'SU - Miktar-Grp'!$B:$B,'SU TEMİNİ'!$C20)*$M20</f>
        <v>455.02900664731908</v>
      </c>
      <c r="AN20">
        <f>+SUMIFS('SU - Miktar-Grp'!AD:AD,'SU - Miktar-Grp'!$B:$B,'SU TEMİNİ'!$C20)*$M20</f>
        <v>455.02900664731908</v>
      </c>
      <c r="AO20">
        <f>+SUMIFS('SU - Miktar-Grp'!AE:AE,'SU - Miktar-Grp'!$B:$B,'SU TEMİNİ'!$C20)*$M20</f>
        <v>782.77016341752471</v>
      </c>
      <c r="AP20">
        <f>+SUMIFS('SU - Miktar-Grp'!AF:AF,'SU - Miktar-Grp'!$B:$B,'SU TEMİNİ'!$C20)*$M20</f>
        <v>782.77016341752471</v>
      </c>
      <c r="AQ20">
        <f>+SUMIFS('SU - Miktar-Grp'!AG:AG,'SU - Miktar-Grp'!$B:$B,'SU TEMİNİ'!$C20)*$M20</f>
        <v>1377.0310175401662</v>
      </c>
      <c r="AR20">
        <f>+SUMIFS('SU - Miktar-Grp'!AH:AH,'SU - Miktar-Grp'!$B:$B,'SU TEMİNİ'!$C20)*$M20</f>
        <v>2061.4958597646987</v>
      </c>
      <c r="AS20">
        <f>+SUMIFS('SU - Miktar-Grp'!AI:AI,'SU - Miktar-Grp'!$B:$B,'SU TEMİNİ'!$C20)*$M20</f>
        <v>2061.4958597646987</v>
      </c>
      <c r="AT20">
        <f>+SUMIFS('SU - Miktar-Grp'!AJ:AJ,'SU - Miktar-Grp'!$B:$B,'SU TEMİNİ'!$C20)*$M20</f>
        <v>2061.4958597646987</v>
      </c>
      <c r="AU20">
        <f>+SUMIFS('SU - Miktar-Grp'!AK:AK,'SU - Miktar-Grp'!$B:$B,'SU TEMİNİ'!$C20)*$M20</f>
        <v>2061.4958597646987</v>
      </c>
      <c r="AV20">
        <f>+SUMIFS('SU - Miktar-Grp'!AL:AL,'SU - Miktar-Grp'!$B:$B,'SU TEMİNİ'!$C20)*$M20</f>
        <v>1377.0310175401662</v>
      </c>
      <c r="AW20">
        <f>+SUMIFS('SU - Miktar-Grp'!AM:AM,'SU - Miktar-Grp'!$B:$B,'SU TEMİNİ'!$C20)*$M20</f>
        <v>782.77016341752471</v>
      </c>
      <c r="AX20">
        <f>+SUMIFS('SU - Miktar-Grp'!AN:AN,'SU - Miktar-Grp'!$B:$B,'SU TEMİNİ'!$C20)*$M20</f>
        <v>782.77016341752471</v>
      </c>
      <c r="AY20">
        <f>+SUMIFS('SU - Miktar-Grp'!AO:AO,'SU - Miktar-Grp'!$B:$B,'SU TEMİNİ'!$C20)*$M20</f>
        <v>782.77016341752471</v>
      </c>
      <c r="AZ20">
        <f>+SUMIFS('SU - Miktar-Grp'!AP:AP,'SU - Miktar-Grp'!$B:$B,'SU TEMİNİ'!$C20)*$M20</f>
        <v>782.77016341752471</v>
      </c>
      <c r="BA20">
        <f>+SUMIFS('SU - Miktar-Grp'!AQ:AQ,'SU - Miktar-Grp'!$B:$B,'SU TEMİNİ'!$C20)*$M20</f>
        <v>0</v>
      </c>
      <c r="BB20">
        <f>+SUMIFS('SU - Miktar-Grp'!AR:AR,'SU - Miktar-Grp'!$B:$B,'SU TEMİNİ'!$C20)*$M20</f>
        <v>0</v>
      </c>
      <c r="BC20">
        <f>+SUMIFS('SU - Miktar-Grp'!AS:AS,'SU - Miktar-Grp'!$B:$B,'SU TEMİNİ'!$C20)*$M20</f>
        <v>0</v>
      </c>
      <c r="BD20">
        <f>+SUMIFS('SU - Miktar-Grp'!AT:AT,'SU - Miktar-Grp'!$B:$B,'SU TEMİNİ'!$C20)*$M20</f>
        <v>0</v>
      </c>
      <c r="BE20">
        <f>+SUMIFS('SU - Miktar-Grp'!AU:AU,'SU - Miktar-Grp'!$B:$B,'SU TEMİNİ'!$C20)*$M20</f>
        <v>0</v>
      </c>
      <c r="BF20">
        <f>+SUMIFS('SU - Miktar-Grp'!AV:AV,'SU - Miktar-Grp'!$B:$B,'SU TEMİNİ'!$C20)*$M20</f>
        <v>0</v>
      </c>
      <c r="BG20">
        <f>+SUMIFS('SU - Miktar-Grp'!AW:AW,'SU - Miktar-Grp'!$B:$B,'SU TEMİNİ'!$C20)*$M20</f>
        <v>0</v>
      </c>
      <c r="BH20">
        <f>+SUMIFS('SU - Miktar-Grp'!AX:AX,'SU - Miktar-Grp'!$B:$B,'SU TEMİNİ'!$C20)*$M20</f>
        <v>0</v>
      </c>
      <c r="BI20">
        <f>+SUMIFS('SU - Miktar-Grp'!AY:AY,'SU - Miktar-Grp'!$B:$B,'SU TEMİNİ'!$C20)*$M20</f>
        <v>0</v>
      </c>
      <c r="BJ20">
        <f>+SUMIFS('SU - Miktar-Grp'!AZ:AZ,'SU - Miktar-Grp'!$B:$B,'SU TEMİNİ'!$C20)*$M20</f>
        <v>0</v>
      </c>
      <c r="BK20">
        <f>+SUMIFS('SU - Miktar-Grp'!BA:BA,'SU - Miktar-Grp'!$B:$B,'SU TEMİNİ'!$C20)*$M20</f>
        <v>0</v>
      </c>
      <c r="BL20">
        <f>+SUMIFS('SU - Miktar-Grp'!BB:BB,'SU - Miktar-Grp'!$B:$B,'SU TEMİNİ'!$C20)*$M20</f>
        <v>0</v>
      </c>
      <c r="BM20">
        <f>+SUMIFS('SU - Miktar-Grp'!BC:BC,'SU - Miktar-Grp'!$B:$B,'SU TEMİNİ'!$C20)*$M20</f>
        <v>0</v>
      </c>
      <c r="BN20">
        <f>+SUMIFS('SU - Miktar-Grp'!BD:BD,'SU - Miktar-Grp'!$B:$B,'SU TEMİNİ'!$C20)*$M20</f>
        <v>0</v>
      </c>
      <c r="BO20">
        <f>+SUMIFS('SU - Miktar-Grp'!BE:BE,'SU - Miktar-Grp'!$B:$B,'SU TEMİNİ'!$C20)*$M20</f>
        <v>0</v>
      </c>
      <c r="BP20">
        <f>+SUMIFS('SU - Miktar-Grp'!BF:BF,'SU - Miktar-Grp'!$B:$B,'SU TEMİNİ'!$C20)*$M20</f>
        <v>0</v>
      </c>
      <c r="BQ20">
        <f>+SUMIFS('SU - Miktar-Grp'!BG:BG,'SU - Miktar-Grp'!$B:$B,'SU TEMİNİ'!$C20)*$M20</f>
        <v>0</v>
      </c>
      <c r="BR20">
        <f>+SUMIFS('SU - Miktar-Grp'!BH:BH,'SU - Miktar-Grp'!$B:$B,'SU TEMİNİ'!$C20)*$M20</f>
        <v>0</v>
      </c>
      <c r="BS20">
        <f>+SUMIFS('SU - Miktar-Grp'!BI:BI,'SU - Miktar-Grp'!$B:$B,'SU TEMİNİ'!$C20)*$M20</f>
        <v>0</v>
      </c>
      <c r="BT20">
        <f>+SUMIFS('SU - Miktar-Grp'!BJ:BJ,'SU - Miktar-Grp'!$B:$B,'SU TEMİNİ'!$C20)*$M20</f>
        <v>0</v>
      </c>
      <c r="BU20">
        <f>+SUMIFS('SU - Miktar-Grp'!BK:BK,'SU - Miktar-Grp'!$B:$B,'SU TEMİNİ'!$C20)*$M20</f>
        <v>0</v>
      </c>
      <c r="BV20">
        <f>+SUMIFS('SU - Miktar-Grp'!BL:BL,'SU - Miktar-Grp'!$B:$B,'SU TEMİNİ'!$C20)*$M20</f>
        <v>0</v>
      </c>
      <c r="BW20">
        <f>+SUMIFS('SU - Miktar-Grp'!BM:BM,'SU - Miktar-Grp'!$B:$B,'SU TEMİNİ'!$C20)*$M20</f>
        <v>0</v>
      </c>
      <c r="BX20">
        <f>+SUMIFS('SU - Miktar-Grp'!BN:BN,'SU - Miktar-Grp'!$B:$B,'SU TEMİNİ'!$C20)*$M20</f>
        <v>0</v>
      </c>
    </row>
    <row r="21" spans="1:76">
      <c r="A21" s="3" t="s">
        <v>66</v>
      </c>
      <c r="B21" t="s">
        <v>5272</v>
      </c>
      <c r="C21" t="s">
        <v>2643</v>
      </c>
      <c r="D21" t="s">
        <v>4967</v>
      </c>
      <c r="E21" t="s">
        <v>4968</v>
      </c>
      <c r="F21" t="s">
        <v>4973</v>
      </c>
      <c r="G21" t="s">
        <v>4983</v>
      </c>
      <c r="H21" t="s">
        <v>4984</v>
      </c>
      <c r="L21" s="126">
        <f t="shared" si="1"/>
        <v>7993.5309770384429</v>
      </c>
      <c r="M21">
        <v>0.2205</v>
      </c>
      <c r="N21">
        <f>+SUMIFS('SU - Miktar-Grp'!D:D,'SU - Miktar-Grp'!$B:$B,'SU TEMİNİ'!$C21)*$M21</f>
        <v>0</v>
      </c>
      <c r="O21">
        <f>+SUMIFS('SU - Miktar-Grp'!E:E,'SU - Miktar-Grp'!$B:$B,'SU TEMİNİ'!$C21)*$M21</f>
        <v>0</v>
      </c>
      <c r="P21">
        <f>+SUMIFS('SU - Miktar-Grp'!F:F,'SU - Miktar-Grp'!$B:$B,'SU TEMİNİ'!$C21)*$M21</f>
        <v>0</v>
      </c>
      <c r="Q21">
        <f>+SUMIFS('SU - Miktar-Grp'!G:G,'SU - Miktar-Grp'!$B:$B,'SU TEMİNİ'!$C21)*$M21</f>
        <v>0</v>
      </c>
      <c r="R21">
        <f>+SUMIFS('SU - Miktar-Grp'!H:H,'SU - Miktar-Grp'!$B:$B,'SU TEMİNİ'!$C21)*$M21</f>
        <v>0</v>
      </c>
      <c r="S21">
        <f>+SUMIFS('SU - Miktar-Grp'!I:I,'SU - Miktar-Grp'!$B:$B,'SU TEMİNİ'!$C21)*$M21</f>
        <v>0</v>
      </c>
      <c r="T21">
        <f>+SUMIFS('SU - Miktar-Grp'!J:J,'SU - Miktar-Grp'!$B:$B,'SU TEMİNİ'!$C21)*$M21</f>
        <v>0</v>
      </c>
      <c r="U21">
        <f>+SUMIFS('SU - Miktar-Grp'!K:K,'SU - Miktar-Grp'!$B:$B,'SU TEMİNİ'!$C21)*$M21</f>
        <v>0</v>
      </c>
      <c r="V21">
        <f>+SUMIFS('SU - Miktar-Grp'!L:L,'SU - Miktar-Grp'!$B:$B,'SU TEMİNİ'!$C21)*$M21</f>
        <v>0</v>
      </c>
      <c r="W21">
        <f>+SUMIFS('SU - Miktar-Grp'!M:M,'SU - Miktar-Grp'!$B:$B,'SU TEMİNİ'!$C21)*$M21</f>
        <v>0</v>
      </c>
      <c r="X21">
        <f>+SUMIFS('SU - Miktar-Grp'!N:N,'SU - Miktar-Grp'!$B:$B,'SU TEMİNİ'!$C21)*$M21</f>
        <v>0</v>
      </c>
      <c r="Y21">
        <f>+SUMIFS('SU - Miktar-Grp'!O:O,'SU - Miktar-Grp'!$B:$B,'SU TEMİNİ'!$C21)*$M21</f>
        <v>0</v>
      </c>
      <c r="Z21">
        <f>+SUMIFS('SU - Miktar-Grp'!P:P,'SU - Miktar-Grp'!$B:$B,'SU TEMİNİ'!$C21)*$M21</f>
        <v>0</v>
      </c>
      <c r="AA21">
        <f>+SUMIFS('SU - Miktar-Grp'!Q:Q,'SU - Miktar-Grp'!$B:$B,'SU TEMİNİ'!$C21)*$M21</f>
        <v>0</v>
      </c>
      <c r="AB21">
        <f>+SUMIFS('SU - Miktar-Grp'!R:R,'SU - Miktar-Grp'!$B:$B,'SU TEMİNİ'!$C21)*$M21</f>
        <v>0</v>
      </c>
      <c r="AC21">
        <f>+SUMIFS('SU - Miktar-Grp'!S:S,'SU - Miktar-Grp'!$B:$B,'SU TEMİNİ'!$C21)*$M21</f>
        <v>521.70014960834692</v>
      </c>
      <c r="AD21">
        <f>+SUMIFS('SU - Miktar-Grp'!T:T,'SU - Miktar-Grp'!$B:$B,'SU TEMİNİ'!$C21)*$M21</f>
        <v>521.70014960834692</v>
      </c>
      <c r="AE21">
        <f>+SUMIFS('SU - Miktar-Grp'!U:U,'SU - Miktar-Grp'!$B:$B,'SU TEMİNİ'!$C21)*$M21</f>
        <v>610.40545568616358</v>
      </c>
      <c r="AF21">
        <f>+SUMIFS('SU - Miktar-Grp'!V:V,'SU - Miktar-Grp'!$B:$B,'SU TEMİNİ'!$C21)*$M21</f>
        <v>737.40476902580178</v>
      </c>
      <c r="AG21">
        <f>+SUMIFS('SU - Miktar-Grp'!W:W,'SU - Miktar-Grp'!$B:$B,'SU TEMİNİ'!$C21)*$M21</f>
        <v>661.34389582216272</v>
      </c>
      <c r="AH21">
        <f>+SUMIFS('SU - Miktar-Grp'!X:X,'SU - Miktar-Grp'!$B:$B,'SU TEMİNİ'!$C21)*$M21</f>
        <v>449.05161845785364</v>
      </c>
      <c r="AI21">
        <f>+SUMIFS('SU - Miktar-Grp'!Y:Y,'SU - Miktar-Grp'!$B:$B,'SU TEMİNİ'!$C21)*$M21</f>
        <v>372.44219718009862</v>
      </c>
      <c r="AJ21">
        <f>+SUMIFS('SU - Miktar-Grp'!Z:Z,'SU - Miktar-Grp'!$B:$B,'SU TEMİNİ'!$C21)*$M21</f>
        <v>329.99608317927624</v>
      </c>
      <c r="AK21">
        <f>+SUMIFS('SU - Miktar-Grp'!AA:AA,'SU - Miktar-Grp'!$B:$B,'SU TEMİNİ'!$C21)*$M21</f>
        <v>190.32049200246709</v>
      </c>
      <c r="AL21">
        <f>+SUMIFS('SU - Miktar-Grp'!AB:AB,'SU - Miktar-Grp'!$B:$B,'SU TEMİNİ'!$C21)*$M21</f>
        <v>139.84684520970393</v>
      </c>
      <c r="AM21">
        <f>+SUMIFS('SU - Miktar-Grp'!AC:AC,'SU - Miktar-Grp'!$B:$B,'SU TEMİNİ'!$C21)*$M21</f>
        <v>121.48332958470394</v>
      </c>
      <c r="AN21">
        <f>+SUMIFS('SU - Miktar-Grp'!AD:AD,'SU - Miktar-Grp'!$B:$B,'SU TEMİNİ'!$C21)*$M21</f>
        <v>121.48332958470394</v>
      </c>
      <c r="AO21">
        <f>+SUMIFS('SU - Miktar-Grp'!AE:AE,'SU - Miktar-Grp'!$B:$B,'SU TEMİNİ'!$C21)*$M21</f>
        <v>208.98343701685855</v>
      </c>
      <c r="AP21">
        <f>+SUMIFS('SU - Miktar-Grp'!AF:AF,'SU - Miktar-Grp'!$B:$B,'SU TEMİNİ'!$C21)*$M21</f>
        <v>208.98343701685855</v>
      </c>
      <c r="AQ21">
        <f>+SUMIFS('SU - Miktar-Grp'!AG:AG,'SU - Miktar-Grp'!$B:$B,'SU TEMİNİ'!$C21)*$M21</f>
        <v>270.20553945518088</v>
      </c>
      <c r="AR21">
        <f>+SUMIFS('SU - Miktar-Grp'!AH:AH,'SU - Miktar-Grp'!$B:$B,'SU TEMİNİ'!$C21)*$M21</f>
        <v>355.51024026932561</v>
      </c>
      <c r="AS21">
        <f>+SUMIFS('SU - Miktar-Grp'!AI:AI,'SU - Miktar-Grp'!$B:$B,'SU TEMİNİ'!$C21)*$M21</f>
        <v>355.51024026932561</v>
      </c>
      <c r="AT21">
        <f>+SUMIFS('SU - Miktar-Grp'!AJ:AJ,'SU - Miktar-Grp'!$B:$B,'SU TEMİNİ'!$C21)*$M21</f>
        <v>355.51024026932561</v>
      </c>
      <c r="AU21">
        <f>+SUMIFS('SU - Miktar-Grp'!AK:AK,'SU - Miktar-Grp'!$B:$B,'SU TEMİNİ'!$C21)*$M21</f>
        <v>355.51024026932561</v>
      </c>
      <c r="AV21">
        <f>+SUMIFS('SU - Miktar-Grp'!AL:AL,'SU - Miktar-Grp'!$B:$B,'SU TEMİNİ'!$C21)*$M21</f>
        <v>270.20553945518088</v>
      </c>
      <c r="AW21">
        <f>+SUMIFS('SU - Miktar-Grp'!AM:AM,'SU - Miktar-Grp'!$B:$B,'SU TEMİNİ'!$C21)*$M21</f>
        <v>208.98343701685855</v>
      </c>
      <c r="AX21">
        <f>+SUMIFS('SU - Miktar-Grp'!AN:AN,'SU - Miktar-Grp'!$B:$B,'SU TEMİNİ'!$C21)*$M21</f>
        <v>208.98343701685855</v>
      </c>
      <c r="AY21">
        <f>+SUMIFS('SU - Miktar-Grp'!AO:AO,'SU - Miktar-Grp'!$B:$B,'SU TEMİNİ'!$C21)*$M21</f>
        <v>208.98343701685855</v>
      </c>
      <c r="AZ21">
        <f>+SUMIFS('SU - Miktar-Grp'!AP:AP,'SU - Miktar-Grp'!$B:$B,'SU TEMİNİ'!$C21)*$M21</f>
        <v>208.98343701685855</v>
      </c>
      <c r="BA21">
        <f>+SUMIFS('SU - Miktar-Grp'!AQ:AQ,'SU - Miktar-Grp'!$B:$B,'SU TEMİNİ'!$C21)*$M21</f>
        <v>0</v>
      </c>
      <c r="BB21">
        <f>+SUMIFS('SU - Miktar-Grp'!AR:AR,'SU - Miktar-Grp'!$B:$B,'SU TEMİNİ'!$C21)*$M21</f>
        <v>0</v>
      </c>
      <c r="BC21">
        <f>+SUMIFS('SU - Miktar-Grp'!AS:AS,'SU - Miktar-Grp'!$B:$B,'SU TEMİNİ'!$C21)*$M21</f>
        <v>0</v>
      </c>
      <c r="BD21">
        <f>+SUMIFS('SU - Miktar-Grp'!AT:AT,'SU - Miktar-Grp'!$B:$B,'SU TEMİNİ'!$C21)*$M21</f>
        <v>0</v>
      </c>
      <c r="BE21">
        <f>+SUMIFS('SU - Miktar-Grp'!AU:AU,'SU - Miktar-Grp'!$B:$B,'SU TEMİNİ'!$C21)*$M21</f>
        <v>0</v>
      </c>
      <c r="BF21">
        <f>+SUMIFS('SU - Miktar-Grp'!AV:AV,'SU - Miktar-Grp'!$B:$B,'SU TEMİNİ'!$C21)*$M21</f>
        <v>0</v>
      </c>
      <c r="BG21">
        <f>+SUMIFS('SU - Miktar-Grp'!AW:AW,'SU - Miktar-Grp'!$B:$B,'SU TEMİNİ'!$C21)*$M21</f>
        <v>0</v>
      </c>
      <c r="BH21">
        <f>+SUMIFS('SU - Miktar-Grp'!AX:AX,'SU - Miktar-Grp'!$B:$B,'SU TEMİNİ'!$C21)*$M21</f>
        <v>0</v>
      </c>
      <c r="BI21">
        <f>+SUMIFS('SU - Miktar-Grp'!AY:AY,'SU - Miktar-Grp'!$B:$B,'SU TEMİNİ'!$C21)*$M21</f>
        <v>0</v>
      </c>
      <c r="BJ21">
        <f>+SUMIFS('SU - Miktar-Grp'!AZ:AZ,'SU - Miktar-Grp'!$B:$B,'SU TEMİNİ'!$C21)*$M21</f>
        <v>0</v>
      </c>
      <c r="BK21">
        <f>+SUMIFS('SU - Miktar-Grp'!BA:BA,'SU - Miktar-Grp'!$B:$B,'SU TEMİNİ'!$C21)*$M21</f>
        <v>0</v>
      </c>
      <c r="BL21">
        <f>+SUMIFS('SU - Miktar-Grp'!BB:BB,'SU - Miktar-Grp'!$B:$B,'SU TEMİNİ'!$C21)*$M21</f>
        <v>0</v>
      </c>
      <c r="BM21">
        <f>+SUMIFS('SU - Miktar-Grp'!BC:BC,'SU - Miktar-Grp'!$B:$B,'SU TEMİNİ'!$C21)*$M21</f>
        <v>0</v>
      </c>
      <c r="BN21">
        <f>+SUMIFS('SU - Miktar-Grp'!BD:BD,'SU - Miktar-Grp'!$B:$B,'SU TEMİNİ'!$C21)*$M21</f>
        <v>0</v>
      </c>
      <c r="BO21">
        <f>+SUMIFS('SU - Miktar-Grp'!BE:BE,'SU - Miktar-Grp'!$B:$B,'SU TEMİNİ'!$C21)*$M21</f>
        <v>0</v>
      </c>
      <c r="BP21">
        <f>+SUMIFS('SU - Miktar-Grp'!BF:BF,'SU - Miktar-Grp'!$B:$B,'SU TEMİNİ'!$C21)*$M21</f>
        <v>0</v>
      </c>
      <c r="BQ21">
        <f>+SUMIFS('SU - Miktar-Grp'!BG:BG,'SU - Miktar-Grp'!$B:$B,'SU TEMİNİ'!$C21)*$M21</f>
        <v>0</v>
      </c>
      <c r="BR21">
        <f>+SUMIFS('SU - Miktar-Grp'!BH:BH,'SU - Miktar-Grp'!$B:$B,'SU TEMİNİ'!$C21)*$M21</f>
        <v>0</v>
      </c>
      <c r="BS21">
        <f>+SUMIFS('SU - Miktar-Grp'!BI:BI,'SU - Miktar-Grp'!$B:$B,'SU TEMİNİ'!$C21)*$M21</f>
        <v>0</v>
      </c>
      <c r="BT21">
        <f>+SUMIFS('SU - Miktar-Grp'!BJ:BJ,'SU - Miktar-Grp'!$B:$B,'SU TEMİNİ'!$C21)*$M21</f>
        <v>0</v>
      </c>
      <c r="BU21">
        <f>+SUMIFS('SU - Miktar-Grp'!BK:BK,'SU - Miktar-Grp'!$B:$B,'SU TEMİNİ'!$C21)*$M21</f>
        <v>0</v>
      </c>
      <c r="BV21">
        <f>+SUMIFS('SU - Miktar-Grp'!BL:BL,'SU - Miktar-Grp'!$B:$B,'SU TEMİNİ'!$C21)*$M21</f>
        <v>0</v>
      </c>
      <c r="BW21">
        <f>+SUMIFS('SU - Miktar-Grp'!BM:BM,'SU - Miktar-Grp'!$B:$B,'SU TEMİNİ'!$C21)*$M21</f>
        <v>0</v>
      </c>
      <c r="BX21">
        <f>+SUMIFS('SU - Miktar-Grp'!BN:BN,'SU - Miktar-Grp'!$B:$B,'SU TEMİNİ'!$C21)*$M21</f>
        <v>0</v>
      </c>
    </row>
    <row r="22" spans="1:76">
      <c r="A22" s="3" t="s">
        <v>66</v>
      </c>
      <c r="B22" t="s">
        <v>5272</v>
      </c>
      <c r="C22" t="s">
        <v>2650</v>
      </c>
      <c r="D22" t="s">
        <v>4967</v>
      </c>
      <c r="E22" t="s">
        <v>4968</v>
      </c>
      <c r="F22" t="s">
        <v>4973</v>
      </c>
      <c r="G22" t="s">
        <v>4983</v>
      </c>
      <c r="H22" t="s">
        <v>4984</v>
      </c>
      <c r="L22" s="126">
        <f t="shared" si="1"/>
        <v>181.99601437500004</v>
      </c>
      <c r="M22">
        <v>0.2205</v>
      </c>
      <c r="N22">
        <f>+SUMIFS('SU - Miktar-Grp'!D:D,'SU - Miktar-Grp'!$B:$B,'SU TEMİNİ'!$C22)*$M22</f>
        <v>0</v>
      </c>
      <c r="O22">
        <f>+SUMIFS('SU - Miktar-Grp'!E:E,'SU - Miktar-Grp'!$B:$B,'SU TEMİNİ'!$C22)*$M22</f>
        <v>0</v>
      </c>
      <c r="P22">
        <f>+SUMIFS('SU - Miktar-Grp'!F:F,'SU - Miktar-Grp'!$B:$B,'SU TEMİNİ'!$C22)*$M22</f>
        <v>0</v>
      </c>
      <c r="Q22">
        <f>+SUMIFS('SU - Miktar-Grp'!G:G,'SU - Miktar-Grp'!$B:$B,'SU TEMİNİ'!$C22)*$M22</f>
        <v>0</v>
      </c>
      <c r="R22">
        <f>+SUMIFS('SU - Miktar-Grp'!H:H,'SU - Miktar-Grp'!$B:$B,'SU TEMİNİ'!$C22)*$M22</f>
        <v>0</v>
      </c>
      <c r="S22">
        <f>+SUMIFS('SU - Miktar-Grp'!I:I,'SU - Miktar-Grp'!$B:$B,'SU TEMİNİ'!$C22)*$M22</f>
        <v>0</v>
      </c>
      <c r="T22">
        <f>+SUMIFS('SU - Miktar-Grp'!J:J,'SU - Miktar-Grp'!$B:$B,'SU TEMİNİ'!$C22)*$M22</f>
        <v>0</v>
      </c>
      <c r="U22">
        <f>+SUMIFS('SU - Miktar-Grp'!K:K,'SU - Miktar-Grp'!$B:$B,'SU TEMİNİ'!$C22)*$M22</f>
        <v>0</v>
      </c>
      <c r="V22">
        <f>+SUMIFS('SU - Miktar-Grp'!L:L,'SU - Miktar-Grp'!$B:$B,'SU TEMİNİ'!$C22)*$M22</f>
        <v>0</v>
      </c>
      <c r="W22">
        <f>+SUMIFS('SU - Miktar-Grp'!M:M,'SU - Miktar-Grp'!$B:$B,'SU TEMİNİ'!$C22)*$M22</f>
        <v>0</v>
      </c>
      <c r="X22">
        <f>+SUMIFS('SU - Miktar-Grp'!N:N,'SU - Miktar-Grp'!$B:$B,'SU TEMİNİ'!$C22)*$M22</f>
        <v>0</v>
      </c>
      <c r="Y22">
        <f>+SUMIFS('SU - Miktar-Grp'!O:O,'SU - Miktar-Grp'!$B:$B,'SU TEMİNİ'!$C22)*$M22</f>
        <v>0</v>
      </c>
      <c r="Z22">
        <f>+SUMIFS('SU - Miktar-Grp'!P:P,'SU - Miktar-Grp'!$B:$B,'SU TEMİNİ'!$C22)*$M22</f>
        <v>0</v>
      </c>
      <c r="AA22">
        <f>+SUMIFS('SU - Miktar-Grp'!Q:Q,'SU - Miktar-Grp'!$B:$B,'SU TEMİNİ'!$C22)*$M22</f>
        <v>0</v>
      </c>
      <c r="AB22">
        <f>+SUMIFS('SU - Miktar-Grp'!R:R,'SU - Miktar-Grp'!$B:$B,'SU TEMİNİ'!$C22)*$M22</f>
        <v>0</v>
      </c>
      <c r="AC22">
        <f>+SUMIFS('SU - Miktar-Grp'!S:S,'SU - Miktar-Grp'!$B:$B,'SU TEMİNİ'!$C22)*$M22</f>
        <v>11.624291437499998</v>
      </c>
      <c r="AD22">
        <f>+SUMIFS('SU - Miktar-Grp'!T:T,'SU - Miktar-Grp'!$B:$B,'SU TEMİNİ'!$C22)*$M22</f>
        <v>11.624291437499998</v>
      </c>
      <c r="AE22">
        <f>+SUMIFS('SU - Miktar-Grp'!U:U,'SU - Miktar-Grp'!$B:$B,'SU TEMİNİ'!$C22)*$M22</f>
        <v>13.877319093749998</v>
      </c>
      <c r="AF22">
        <f>+SUMIFS('SU - Miktar-Grp'!V:V,'SU - Miktar-Grp'!$B:$B,'SU TEMİNİ'!$C22)*$M22</f>
        <v>16.95868531875</v>
      </c>
      <c r="AG22">
        <f>+SUMIFS('SU - Miktar-Grp'!W:W,'SU - Miktar-Grp'!$B:$B,'SU TEMİNİ'!$C22)*$M22</f>
        <v>15.313410787499999</v>
      </c>
      <c r="AH22">
        <f>+SUMIFS('SU - Miktar-Grp'!X:X,'SU - Miktar-Grp'!$B:$B,'SU TEMİNİ'!$C22)*$M22</f>
        <v>10.381928287499997</v>
      </c>
      <c r="AI22">
        <f>+SUMIFS('SU - Miktar-Grp'!Y:Y,'SU - Miktar-Grp'!$B:$B,'SU TEMİNİ'!$C22)*$M22</f>
        <v>8.7247880999999996</v>
      </c>
      <c r="AJ22">
        <f>+SUMIFS('SU - Miktar-Grp'!Z:Z,'SU - Miktar-Grp'!$B:$B,'SU TEMİNİ'!$C22)*$M22</f>
        <v>7.6395146624999999</v>
      </c>
      <c r="AK22">
        <f>+SUMIFS('SU - Miktar-Grp'!AA:AA,'SU - Miktar-Grp'!$B:$B,'SU TEMİNİ'!$C22)*$M22</f>
        <v>4.4510681249999999</v>
      </c>
      <c r="AL22">
        <f>+SUMIFS('SU - Miktar-Grp'!AB:AB,'SU - Miktar-Grp'!$B:$B,'SU TEMİNİ'!$C22)*$M22</f>
        <v>3.1921509374999988</v>
      </c>
      <c r="AM22">
        <f>+SUMIFS('SU - Miktar-Grp'!AC:AC,'SU - Miktar-Grp'!$B:$B,'SU TEMİNİ'!$C22)*$M22</f>
        <v>2.6278087499999994</v>
      </c>
      <c r="AN22">
        <f>+SUMIFS('SU - Miktar-Grp'!AD:AD,'SU - Miktar-Grp'!$B:$B,'SU TEMİNİ'!$C22)*$M22</f>
        <v>2.6278087499999994</v>
      </c>
      <c r="AO22">
        <f>+SUMIFS('SU - Miktar-Grp'!AE:AE,'SU - Miktar-Grp'!$B:$B,'SU TEMİNİ'!$C22)*$M22</f>
        <v>4.5205256249999994</v>
      </c>
      <c r="AP22">
        <f>+SUMIFS('SU - Miktar-Grp'!AF:AF,'SU - Miktar-Grp'!$B:$B,'SU TEMİNİ'!$C22)*$M22</f>
        <v>4.5205256249999994</v>
      </c>
      <c r="AQ22">
        <f>+SUMIFS('SU - Miktar-Grp'!AG:AG,'SU - Miktar-Grp'!$B:$B,'SU TEMİNİ'!$C22)*$M22</f>
        <v>6.182817243749998</v>
      </c>
      <c r="AR22">
        <f>+SUMIFS('SU - Miktar-Grp'!AH:AH,'SU - Miktar-Grp'!$B:$B,'SU TEMİNİ'!$C22)*$M22</f>
        <v>8.3660401124999986</v>
      </c>
      <c r="AS22">
        <f>+SUMIFS('SU - Miktar-Grp'!AI:AI,'SU - Miktar-Grp'!$B:$B,'SU TEMİNİ'!$C22)*$M22</f>
        <v>8.3660401124999986</v>
      </c>
      <c r="AT22">
        <f>+SUMIFS('SU - Miktar-Grp'!AJ:AJ,'SU - Miktar-Grp'!$B:$B,'SU TEMİNİ'!$C22)*$M22</f>
        <v>8.3660401124999986</v>
      </c>
      <c r="AU22">
        <f>+SUMIFS('SU - Miktar-Grp'!AK:AK,'SU - Miktar-Grp'!$B:$B,'SU TEMİNİ'!$C22)*$M22</f>
        <v>8.3660401124999986</v>
      </c>
      <c r="AV22">
        <f>+SUMIFS('SU - Miktar-Grp'!AL:AL,'SU - Miktar-Grp'!$B:$B,'SU TEMİNİ'!$C22)*$M22</f>
        <v>6.182817243749998</v>
      </c>
      <c r="AW22">
        <f>+SUMIFS('SU - Miktar-Grp'!AM:AM,'SU - Miktar-Grp'!$B:$B,'SU TEMİNİ'!$C22)*$M22</f>
        <v>4.5205256249999994</v>
      </c>
      <c r="AX22">
        <f>+SUMIFS('SU - Miktar-Grp'!AN:AN,'SU - Miktar-Grp'!$B:$B,'SU TEMİNİ'!$C22)*$M22</f>
        <v>4.5205256249999994</v>
      </c>
      <c r="AY22">
        <f>+SUMIFS('SU - Miktar-Grp'!AO:AO,'SU - Miktar-Grp'!$B:$B,'SU TEMİNİ'!$C22)*$M22</f>
        <v>4.5205256249999994</v>
      </c>
      <c r="AZ22">
        <f>+SUMIFS('SU - Miktar-Grp'!AP:AP,'SU - Miktar-Grp'!$B:$B,'SU TEMİNİ'!$C22)*$M22</f>
        <v>4.5205256249999994</v>
      </c>
      <c r="BA22">
        <f>+SUMIFS('SU - Miktar-Grp'!AQ:AQ,'SU - Miktar-Grp'!$B:$B,'SU TEMİNİ'!$C22)*$M22</f>
        <v>0</v>
      </c>
      <c r="BB22">
        <f>+SUMIFS('SU - Miktar-Grp'!AR:AR,'SU - Miktar-Grp'!$B:$B,'SU TEMİNİ'!$C22)*$M22</f>
        <v>0</v>
      </c>
      <c r="BC22">
        <f>+SUMIFS('SU - Miktar-Grp'!AS:AS,'SU - Miktar-Grp'!$B:$B,'SU TEMİNİ'!$C22)*$M22</f>
        <v>0</v>
      </c>
      <c r="BD22">
        <f>+SUMIFS('SU - Miktar-Grp'!AT:AT,'SU - Miktar-Grp'!$B:$B,'SU TEMİNİ'!$C22)*$M22</f>
        <v>0</v>
      </c>
      <c r="BE22">
        <f>+SUMIFS('SU - Miktar-Grp'!AU:AU,'SU - Miktar-Grp'!$B:$B,'SU TEMİNİ'!$C22)*$M22</f>
        <v>0</v>
      </c>
      <c r="BF22">
        <f>+SUMIFS('SU - Miktar-Grp'!AV:AV,'SU - Miktar-Grp'!$B:$B,'SU TEMİNİ'!$C22)*$M22</f>
        <v>0</v>
      </c>
      <c r="BG22">
        <f>+SUMIFS('SU - Miktar-Grp'!AW:AW,'SU - Miktar-Grp'!$B:$B,'SU TEMİNİ'!$C22)*$M22</f>
        <v>0</v>
      </c>
      <c r="BH22">
        <f>+SUMIFS('SU - Miktar-Grp'!AX:AX,'SU - Miktar-Grp'!$B:$B,'SU TEMİNİ'!$C22)*$M22</f>
        <v>0</v>
      </c>
      <c r="BI22">
        <f>+SUMIFS('SU - Miktar-Grp'!AY:AY,'SU - Miktar-Grp'!$B:$B,'SU TEMİNİ'!$C22)*$M22</f>
        <v>0</v>
      </c>
      <c r="BJ22">
        <f>+SUMIFS('SU - Miktar-Grp'!AZ:AZ,'SU - Miktar-Grp'!$B:$B,'SU TEMİNİ'!$C22)*$M22</f>
        <v>0</v>
      </c>
      <c r="BK22">
        <f>+SUMIFS('SU - Miktar-Grp'!BA:BA,'SU - Miktar-Grp'!$B:$B,'SU TEMİNİ'!$C22)*$M22</f>
        <v>0</v>
      </c>
      <c r="BL22">
        <f>+SUMIFS('SU - Miktar-Grp'!BB:BB,'SU - Miktar-Grp'!$B:$B,'SU TEMİNİ'!$C22)*$M22</f>
        <v>0</v>
      </c>
      <c r="BM22">
        <f>+SUMIFS('SU - Miktar-Grp'!BC:BC,'SU - Miktar-Grp'!$B:$B,'SU TEMİNİ'!$C22)*$M22</f>
        <v>0</v>
      </c>
      <c r="BN22">
        <f>+SUMIFS('SU - Miktar-Grp'!BD:BD,'SU - Miktar-Grp'!$B:$B,'SU TEMİNİ'!$C22)*$M22</f>
        <v>0</v>
      </c>
      <c r="BO22">
        <f>+SUMIFS('SU - Miktar-Grp'!BE:BE,'SU - Miktar-Grp'!$B:$B,'SU TEMİNİ'!$C22)*$M22</f>
        <v>0</v>
      </c>
      <c r="BP22">
        <f>+SUMIFS('SU - Miktar-Grp'!BF:BF,'SU - Miktar-Grp'!$B:$B,'SU TEMİNİ'!$C22)*$M22</f>
        <v>0</v>
      </c>
      <c r="BQ22">
        <f>+SUMIFS('SU - Miktar-Grp'!BG:BG,'SU - Miktar-Grp'!$B:$B,'SU TEMİNİ'!$C22)*$M22</f>
        <v>0</v>
      </c>
      <c r="BR22">
        <f>+SUMIFS('SU - Miktar-Grp'!BH:BH,'SU - Miktar-Grp'!$B:$B,'SU TEMİNİ'!$C22)*$M22</f>
        <v>0</v>
      </c>
      <c r="BS22">
        <f>+SUMIFS('SU - Miktar-Grp'!BI:BI,'SU - Miktar-Grp'!$B:$B,'SU TEMİNİ'!$C22)*$M22</f>
        <v>0</v>
      </c>
      <c r="BT22">
        <f>+SUMIFS('SU - Miktar-Grp'!BJ:BJ,'SU - Miktar-Grp'!$B:$B,'SU TEMİNİ'!$C22)*$M22</f>
        <v>0</v>
      </c>
      <c r="BU22">
        <f>+SUMIFS('SU - Miktar-Grp'!BK:BK,'SU - Miktar-Grp'!$B:$B,'SU TEMİNİ'!$C22)*$M22</f>
        <v>0</v>
      </c>
      <c r="BV22">
        <f>+SUMIFS('SU - Miktar-Grp'!BL:BL,'SU - Miktar-Grp'!$B:$B,'SU TEMİNİ'!$C22)*$M22</f>
        <v>0</v>
      </c>
      <c r="BW22">
        <f>+SUMIFS('SU - Miktar-Grp'!BM:BM,'SU - Miktar-Grp'!$B:$B,'SU TEMİNİ'!$C22)*$M22</f>
        <v>0</v>
      </c>
      <c r="BX22">
        <f>+SUMIFS('SU - Miktar-Grp'!BN:BN,'SU - Miktar-Grp'!$B:$B,'SU TEMİNİ'!$C22)*$M22</f>
        <v>0</v>
      </c>
    </row>
    <row r="23" spans="1:76">
      <c r="A23" s="3" t="s">
        <v>66</v>
      </c>
      <c r="B23" t="s">
        <v>5272</v>
      </c>
      <c r="C23" t="s">
        <v>16</v>
      </c>
      <c r="D23" t="s">
        <v>4967</v>
      </c>
      <c r="E23" t="s">
        <v>4968</v>
      </c>
      <c r="F23" t="s">
        <v>4973</v>
      </c>
      <c r="G23" t="s">
        <v>4983</v>
      </c>
      <c r="H23" t="s">
        <v>4984</v>
      </c>
      <c r="L23" s="126">
        <f t="shared" si="1"/>
        <v>5895.6871743112733</v>
      </c>
      <c r="M23">
        <v>2.9055445630636247E-3</v>
      </c>
      <c r="N23">
        <f>+SUMIFS('SU - Miktar-Grp'!D:D,'SU - Miktar-Grp'!$B:$B,'SU TEMİNİ'!$C23)*$M23</f>
        <v>0</v>
      </c>
      <c r="O23">
        <f>+SUMIFS('SU - Miktar-Grp'!E:E,'SU - Miktar-Grp'!$B:$B,'SU TEMİNİ'!$C23)*$M23</f>
        <v>0</v>
      </c>
      <c r="P23">
        <f>+SUMIFS('SU - Miktar-Grp'!F:F,'SU - Miktar-Grp'!$B:$B,'SU TEMİNİ'!$C23)*$M23</f>
        <v>12.767163724391972</v>
      </c>
      <c r="Q23">
        <f>+SUMIFS('SU - Miktar-Grp'!G:G,'SU - Miktar-Grp'!$B:$B,'SU TEMİNİ'!$C23)*$M23</f>
        <v>31.336965956175138</v>
      </c>
      <c r="R23">
        <f>+SUMIFS('SU - Miktar-Grp'!H:H,'SU - Miktar-Grp'!$B:$B,'SU TEMİNİ'!$C23)*$M23</f>
        <v>3.2674010829475684</v>
      </c>
      <c r="S23">
        <f>+SUMIFS('SU - Miktar-Grp'!I:I,'SU - Miktar-Grp'!$B:$B,'SU TEMİNİ'!$C23)*$M23</f>
        <v>19.024198303887236</v>
      </c>
      <c r="T23">
        <f>+SUMIFS('SU - Miktar-Grp'!J:J,'SU - Miktar-Grp'!$B:$B,'SU TEMİNİ'!$C23)*$M23</f>
        <v>18.868208332930042</v>
      </c>
      <c r="U23">
        <f>+SUMIFS('SU - Miktar-Grp'!K:K,'SU - Miktar-Grp'!$B:$B,'SU TEMİNİ'!$C23)*$M23</f>
        <v>50.648360338569404</v>
      </c>
      <c r="V23">
        <f>+SUMIFS('SU - Miktar-Grp'!L:L,'SU - Miktar-Grp'!$B:$B,'SU TEMİNİ'!$C23)*$M23</f>
        <v>72.678451998094786</v>
      </c>
      <c r="W23">
        <f>+SUMIFS('SU - Miktar-Grp'!M:M,'SU - Miktar-Grp'!$B:$B,'SU TEMİNİ'!$C23)*$M23</f>
        <v>60.391078373572491</v>
      </c>
      <c r="X23">
        <f>+SUMIFS('SU - Miktar-Grp'!N:N,'SU - Miktar-Grp'!$B:$B,'SU TEMİNİ'!$C23)*$M23</f>
        <v>123.43451975612278</v>
      </c>
      <c r="Y23">
        <f>+SUMIFS('SU - Miktar-Grp'!O:O,'SU - Miktar-Grp'!$B:$B,'SU TEMİNİ'!$C23)*$M23</f>
        <v>172.40889509704104</v>
      </c>
      <c r="Z23">
        <f>+SUMIFS('SU - Miktar-Grp'!P:P,'SU - Miktar-Grp'!$B:$B,'SU TEMİNİ'!$C23)*$M23</f>
        <v>151.21548803268837</v>
      </c>
      <c r="AA23">
        <f>+SUMIFS('SU - Miktar-Grp'!Q:Q,'SU - Miktar-Grp'!$B:$B,'SU TEMİNİ'!$C23)*$M23</f>
        <v>143.70818144042639</v>
      </c>
      <c r="AB23">
        <f>+SUMIFS('SU - Miktar-Grp'!R:R,'SU - Miktar-Grp'!$B:$B,'SU TEMİNİ'!$C23)*$M23</f>
        <v>202.32828234841207</v>
      </c>
      <c r="AC23">
        <f>+SUMIFS('SU - Miktar-Grp'!S:S,'SU - Miktar-Grp'!$B:$B,'SU TEMİNİ'!$C23)*$M23</f>
        <v>171.43808938609874</v>
      </c>
      <c r="AD23">
        <f>+SUMIFS('SU - Miktar-Grp'!T:T,'SU - Miktar-Grp'!$B:$B,'SU TEMİNİ'!$C23)*$M23</f>
        <v>166.40877606344631</v>
      </c>
      <c r="AE23">
        <f>+SUMIFS('SU - Miktar-Grp'!U:U,'SU - Miktar-Grp'!$B:$B,'SU TEMİNİ'!$C23)*$M23</f>
        <v>173.21539675636319</v>
      </c>
      <c r="AF23">
        <f>+SUMIFS('SU - Miktar-Grp'!V:V,'SU - Miktar-Grp'!$B:$B,'SU TEMİNİ'!$C23)*$M23</f>
        <v>148.66126593318913</v>
      </c>
      <c r="AG23">
        <f>+SUMIFS('SU - Miktar-Grp'!W:W,'SU - Miktar-Grp'!$B:$B,'SU TEMİNİ'!$C23)*$M23</f>
        <v>148.76047873861663</v>
      </c>
      <c r="AH23">
        <f>+SUMIFS('SU - Miktar-Grp'!X:X,'SU - Miktar-Grp'!$B:$B,'SU TEMİNİ'!$C23)*$M23</f>
        <v>172.72975859982807</v>
      </c>
      <c r="AI23">
        <f>+SUMIFS('SU - Miktar-Grp'!Y:Y,'SU - Miktar-Grp'!$B:$B,'SU TEMİNİ'!$C23)*$M23</f>
        <v>196.54542753555128</v>
      </c>
      <c r="AJ23">
        <f>+SUMIFS('SU - Miktar-Grp'!Z:Z,'SU - Miktar-Grp'!$B:$B,'SU TEMİNİ'!$C23)*$M23</f>
        <v>212.61589178842959</v>
      </c>
      <c r="AK23">
        <f>+SUMIFS('SU - Miktar-Grp'!AA:AA,'SU - Miktar-Grp'!$B:$B,'SU TEMİNİ'!$C23)*$M23</f>
        <v>212.61589178842959</v>
      </c>
      <c r="AL23">
        <f>+SUMIFS('SU - Miktar-Grp'!AB:AB,'SU - Miktar-Grp'!$B:$B,'SU TEMİNİ'!$C23)*$M23</f>
        <v>183.05681147005956</v>
      </c>
      <c r="AM23">
        <f>+SUMIFS('SU - Miktar-Grp'!AC:AC,'SU - Miktar-Grp'!$B:$B,'SU TEMİNİ'!$C23)*$M23</f>
        <v>194.80318292877791</v>
      </c>
      <c r="AN23">
        <f>+SUMIFS('SU - Miktar-Grp'!AD:AD,'SU - Miktar-Grp'!$B:$B,'SU TEMİNİ'!$C23)*$M23</f>
        <v>194.80318292877791</v>
      </c>
      <c r="AO23">
        <f>+SUMIFS('SU - Miktar-Grp'!AE:AE,'SU - Miktar-Grp'!$B:$B,'SU TEMİNİ'!$C23)*$M23</f>
        <v>190.40145530824688</v>
      </c>
      <c r="AP23">
        <f>+SUMIFS('SU - Miktar-Grp'!AF:AF,'SU - Miktar-Grp'!$B:$B,'SU TEMİNİ'!$C23)*$M23</f>
        <v>190.87150549552825</v>
      </c>
      <c r="AQ23">
        <f>+SUMIFS('SU - Miktar-Grp'!AG:AG,'SU - Miktar-Grp'!$B:$B,'SU TEMİNİ'!$C23)*$M23</f>
        <v>181.26505196654162</v>
      </c>
      <c r="AR23">
        <f>+SUMIFS('SU - Miktar-Grp'!AH:AH,'SU - Miktar-Grp'!$B:$B,'SU TEMİNİ'!$C23)*$M23</f>
        <v>181.06207139187944</v>
      </c>
      <c r="AS23">
        <f>+SUMIFS('SU - Miktar-Grp'!AI:AI,'SU - Miktar-Grp'!$B:$B,'SU TEMİNİ'!$C23)*$M23</f>
        <v>218.62784559405924</v>
      </c>
      <c r="AT23">
        <f>+SUMIFS('SU - Miktar-Grp'!AJ:AJ,'SU - Miktar-Grp'!$B:$B,'SU TEMİNİ'!$C23)*$M23</f>
        <v>224.1136894601417</v>
      </c>
      <c r="AU23">
        <f>+SUMIFS('SU - Miktar-Grp'!AK:AK,'SU - Miktar-Grp'!$B:$B,'SU TEMİNİ'!$C23)*$M23</f>
        <v>216.20867759045592</v>
      </c>
      <c r="AV23">
        <f>+SUMIFS('SU - Miktar-Grp'!AL:AL,'SU - Miktar-Grp'!$B:$B,'SU TEMİNİ'!$C23)*$M23</f>
        <v>216.20867759045592</v>
      </c>
      <c r="AW23">
        <f>+SUMIFS('SU - Miktar-Grp'!AM:AM,'SU - Miktar-Grp'!$B:$B,'SU TEMİNİ'!$C23)*$M23</f>
        <v>215.63974285725607</v>
      </c>
      <c r="AX23">
        <f>+SUMIFS('SU - Miktar-Grp'!AN:AN,'SU - Miktar-Grp'!$B:$B,'SU TEMİNİ'!$C23)*$M23</f>
        <v>207.77946723924902</v>
      </c>
      <c r="AY23">
        <f>+SUMIFS('SU - Miktar-Grp'!AO:AO,'SU - Miktar-Grp'!$B:$B,'SU TEMİNİ'!$C23)*$M23</f>
        <v>201.26371933078599</v>
      </c>
      <c r="AZ23">
        <f>+SUMIFS('SU - Miktar-Grp'!AP:AP,'SU - Miktar-Grp'!$B:$B,'SU TEMİNİ'!$C23)*$M23</f>
        <v>141.4032303162713</v>
      </c>
      <c r="BA23">
        <f>+SUMIFS('SU - Miktar-Grp'!AQ:AQ,'SU - Miktar-Grp'!$B:$B,'SU TEMİNİ'!$C23)*$M23</f>
        <v>100.46716344533293</v>
      </c>
      <c r="BB23">
        <f>+SUMIFS('SU - Miktar-Grp'!AR:AR,'SU - Miktar-Grp'!$B:$B,'SU TEMİNİ'!$C23)*$M23</f>
        <v>70.083274463869216</v>
      </c>
      <c r="BC23">
        <f>+SUMIFS('SU - Miktar-Grp'!AS:AS,'SU - Miktar-Grp'!$B:$B,'SU TEMİNİ'!$C23)*$M23</f>
        <v>36.974512012460444</v>
      </c>
      <c r="BD23">
        <f>+SUMIFS('SU - Miktar-Grp'!AT:AT,'SU - Miktar-Grp'!$B:$B,'SU TEMİNİ'!$C23)*$M23</f>
        <v>36.974512012460444</v>
      </c>
      <c r="BE23">
        <f>+SUMIFS('SU - Miktar-Grp'!AU:AU,'SU - Miktar-Grp'!$B:$B,'SU TEMİNİ'!$C23)*$M23</f>
        <v>28.611229533451532</v>
      </c>
      <c r="BF23">
        <f>+SUMIFS('SU - Miktar-Grp'!AV:AV,'SU - Miktar-Grp'!$B:$B,'SU TEMİNİ'!$C23)*$M23</f>
        <v>0</v>
      </c>
      <c r="BG23">
        <f>+SUMIFS('SU - Miktar-Grp'!AW:AW,'SU - Miktar-Grp'!$B:$B,'SU TEMİNİ'!$C23)*$M23</f>
        <v>0</v>
      </c>
      <c r="BH23">
        <f>+SUMIFS('SU - Miktar-Grp'!AX:AX,'SU - Miktar-Grp'!$B:$B,'SU TEMİNİ'!$C23)*$M23</f>
        <v>0</v>
      </c>
      <c r="BI23">
        <f>+SUMIFS('SU - Miktar-Grp'!AY:AY,'SU - Miktar-Grp'!$B:$B,'SU TEMİNİ'!$C23)*$M23</f>
        <v>0</v>
      </c>
      <c r="BJ23">
        <f>+SUMIFS('SU - Miktar-Grp'!AZ:AZ,'SU - Miktar-Grp'!$B:$B,'SU TEMİNİ'!$C23)*$M23</f>
        <v>0</v>
      </c>
      <c r="BK23">
        <f>+SUMIFS('SU - Miktar-Grp'!BA:BA,'SU - Miktar-Grp'!$B:$B,'SU TEMİNİ'!$C23)*$M23</f>
        <v>0</v>
      </c>
      <c r="BL23">
        <f>+SUMIFS('SU - Miktar-Grp'!BB:BB,'SU - Miktar-Grp'!$B:$B,'SU TEMİNİ'!$C23)*$M23</f>
        <v>0</v>
      </c>
      <c r="BM23">
        <f>+SUMIFS('SU - Miktar-Grp'!BC:BC,'SU - Miktar-Grp'!$B:$B,'SU TEMİNİ'!$C23)*$M23</f>
        <v>0</v>
      </c>
      <c r="BN23">
        <f>+SUMIFS('SU - Miktar-Grp'!BD:BD,'SU - Miktar-Grp'!$B:$B,'SU TEMİNİ'!$C23)*$M23</f>
        <v>0</v>
      </c>
      <c r="BO23">
        <f>+SUMIFS('SU - Miktar-Grp'!BE:BE,'SU - Miktar-Grp'!$B:$B,'SU TEMİNİ'!$C23)*$M23</f>
        <v>0</v>
      </c>
      <c r="BP23">
        <f>+SUMIFS('SU - Miktar-Grp'!BF:BF,'SU - Miktar-Grp'!$B:$B,'SU TEMİNİ'!$C23)*$M23</f>
        <v>0</v>
      </c>
      <c r="BQ23">
        <f>+SUMIFS('SU - Miktar-Grp'!BG:BG,'SU - Miktar-Grp'!$B:$B,'SU TEMİNİ'!$C23)*$M23</f>
        <v>0</v>
      </c>
      <c r="BR23">
        <f>+SUMIFS('SU - Miktar-Grp'!BH:BH,'SU - Miktar-Grp'!$B:$B,'SU TEMİNİ'!$C23)*$M23</f>
        <v>0</v>
      </c>
      <c r="BS23">
        <f>+SUMIFS('SU - Miktar-Grp'!BI:BI,'SU - Miktar-Grp'!$B:$B,'SU TEMİNİ'!$C23)*$M23</f>
        <v>0</v>
      </c>
      <c r="BT23">
        <f>+SUMIFS('SU - Miktar-Grp'!BJ:BJ,'SU - Miktar-Grp'!$B:$B,'SU TEMİNİ'!$C23)*$M23</f>
        <v>0</v>
      </c>
      <c r="BU23">
        <f>+SUMIFS('SU - Miktar-Grp'!BK:BK,'SU - Miktar-Grp'!$B:$B,'SU TEMİNİ'!$C23)*$M23</f>
        <v>0</v>
      </c>
      <c r="BV23">
        <f>+SUMIFS('SU - Miktar-Grp'!BL:BL,'SU - Miktar-Grp'!$B:$B,'SU TEMİNİ'!$C23)*$M23</f>
        <v>0</v>
      </c>
      <c r="BW23">
        <f>+SUMIFS('SU - Miktar-Grp'!BM:BM,'SU - Miktar-Grp'!$B:$B,'SU TEMİNİ'!$C23)*$M23</f>
        <v>0</v>
      </c>
      <c r="BX23">
        <f>+SUMIFS('SU - Miktar-Grp'!BN:BN,'SU - Miktar-Grp'!$B:$B,'SU TEMİNİ'!$C23)*$M23</f>
        <v>0</v>
      </c>
    </row>
    <row r="24" spans="1:76">
      <c r="A24" s="3" t="s">
        <v>66</v>
      </c>
      <c r="B24" t="s">
        <v>5272</v>
      </c>
      <c r="C24" t="s">
        <v>21</v>
      </c>
      <c r="D24" t="s">
        <v>4967</v>
      </c>
      <c r="E24" t="s">
        <v>4968</v>
      </c>
      <c r="F24" t="s">
        <v>4973</v>
      </c>
      <c r="G24" t="s">
        <v>4983</v>
      </c>
      <c r="H24" t="s">
        <v>4984</v>
      </c>
      <c r="L24" s="126">
        <f t="shared" si="1"/>
        <v>134747.83187031493</v>
      </c>
      <c r="M24">
        <v>0.43665879629148224</v>
      </c>
      <c r="N24">
        <f>+SUMIFS('SU - Miktar-Grp'!D:D,'SU - Miktar-Grp'!$B:$B,'SU TEMİNİ'!$C24)*$M24</f>
        <v>0</v>
      </c>
      <c r="O24">
        <f>+SUMIFS('SU - Miktar-Grp'!E:E,'SU - Miktar-Grp'!$B:$B,'SU TEMİNİ'!$C24)*$M24</f>
        <v>0</v>
      </c>
      <c r="P24">
        <f>+SUMIFS('SU - Miktar-Grp'!F:F,'SU - Miktar-Grp'!$B:$B,'SU TEMİNİ'!$C24)*$M24</f>
        <v>210.90769207256739</v>
      </c>
      <c r="Q24">
        <f>+SUMIFS('SU - Miktar-Grp'!G:G,'SU - Miktar-Grp'!$B:$B,'SU TEMİNİ'!$C24)*$M24</f>
        <v>517.67231227296509</v>
      </c>
      <c r="R24">
        <f>+SUMIFS('SU - Miktar-Grp'!H:H,'SU - Miktar-Grp'!$B:$B,'SU TEMİNİ'!$C24)*$M24</f>
        <v>78.409845892948709</v>
      </c>
      <c r="S24">
        <f>+SUMIFS('SU - Miktar-Grp'!I:I,'SU - Miktar-Grp'!$B:$B,'SU TEMİNİ'!$C24)*$M24</f>
        <v>326.10988883436772</v>
      </c>
      <c r="T24">
        <f>+SUMIFS('SU - Miktar-Grp'!J:J,'SU - Miktar-Grp'!$B:$B,'SU TEMİNİ'!$C24)*$M24</f>
        <v>380.47783890182387</v>
      </c>
      <c r="U24">
        <f>+SUMIFS('SU - Miktar-Grp'!K:K,'SU - Miktar-Grp'!$B:$B,'SU TEMİNİ'!$C24)*$M24</f>
        <v>1164.9532694501195</v>
      </c>
      <c r="V24">
        <f>+SUMIFS('SU - Miktar-Grp'!L:L,'SU - Miktar-Grp'!$B:$B,'SU TEMİNİ'!$C24)*$M24</f>
        <v>1450.9433847400219</v>
      </c>
      <c r="W24">
        <f>+SUMIFS('SU - Miktar-Grp'!M:M,'SU - Miktar-Grp'!$B:$B,'SU TEMİNİ'!$C24)*$M24</f>
        <v>1616.8780939187488</v>
      </c>
      <c r="X24">
        <f>+SUMIFS('SU - Miktar-Grp'!N:N,'SU - Miktar-Grp'!$B:$B,'SU TEMİNİ'!$C24)*$M24</f>
        <v>2009.8333857813996</v>
      </c>
      <c r="Y24">
        <f>+SUMIFS('SU - Miktar-Grp'!O:O,'SU - Miktar-Grp'!$B:$B,'SU TEMİNİ'!$C24)*$M24</f>
        <v>2261.4183888810348</v>
      </c>
      <c r="Z24">
        <f>+SUMIFS('SU - Miktar-Grp'!P:P,'SU - Miktar-Grp'!$B:$B,'SU TEMİNİ'!$C24)*$M24</f>
        <v>2214.8101947071209</v>
      </c>
      <c r="AA24">
        <f>+SUMIFS('SU - Miktar-Grp'!Q:Q,'SU - Miktar-Grp'!$B:$B,'SU TEMİNİ'!$C24)*$M24</f>
        <v>2429.0544290997955</v>
      </c>
      <c r="AB24">
        <f>+SUMIFS('SU - Miktar-Grp'!R:R,'SU - Miktar-Grp'!$B:$B,'SU TEMİNİ'!$C24)*$M24</f>
        <v>4058.4302039707313</v>
      </c>
      <c r="AC24">
        <f>+SUMIFS('SU - Miktar-Grp'!S:S,'SU - Miktar-Grp'!$B:$B,'SU TEMİNİ'!$C24)*$M24</f>
        <v>3675.6567204038311</v>
      </c>
      <c r="AD24">
        <f>+SUMIFS('SU - Miktar-Grp'!T:T,'SU - Miktar-Grp'!$B:$B,'SU TEMİNİ'!$C24)*$M24</f>
        <v>3712.0863547675776</v>
      </c>
      <c r="AE24">
        <f>+SUMIFS('SU - Miktar-Grp'!U:U,'SU - Miktar-Grp'!$B:$B,'SU TEMİNİ'!$C24)*$M24</f>
        <v>3760.2365694926029</v>
      </c>
      <c r="AF24">
        <f>+SUMIFS('SU - Miktar-Grp'!V:V,'SU - Miktar-Grp'!$B:$B,'SU TEMİNİ'!$C24)*$M24</f>
        <v>3408.7092227975318</v>
      </c>
      <c r="AG24">
        <f>+SUMIFS('SU - Miktar-Grp'!W:W,'SU - Miktar-Grp'!$B:$B,'SU TEMİNİ'!$C24)*$M24</f>
        <v>3746.0851316705384</v>
      </c>
      <c r="AH24">
        <f>+SUMIFS('SU - Miktar-Grp'!X:X,'SU - Miktar-Grp'!$B:$B,'SU TEMİNİ'!$C24)*$M24</f>
        <v>4333.2526304589819</v>
      </c>
      <c r="AI24">
        <f>+SUMIFS('SU - Miktar-Grp'!Y:Y,'SU - Miktar-Grp'!$B:$B,'SU TEMİNİ'!$C24)*$M24</f>
        <v>4924.1468610811889</v>
      </c>
      <c r="AJ24">
        <f>+SUMIFS('SU - Miktar-Grp'!Z:Z,'SU - Miktar-Grp'!$B:$B,'SU TEMİNİ'!$C24)*$M24</f>
        <v>5352.2619571558344</v>
      </c>
      <c r="AK24">
        <f>+SUMIFS('SU - Miktar-Grp'!AA:AA,'SU - Miktar-Grp'!$B:$B,'SU TEMİNİ'!$C24)*$M24</f>
        <v>5352.2619571558344</v>
      </c>
      <c r="AL24">
        <f>+SUMIFS('SU - Miktar-Grp'!AB:AB,'SU - Miktar-Grp'!$B:$B,'SU TEMİNİ'!$C24)*$M24</f>
        <v>4348.7065007227147</v>
      </c>
      <c r="AM24">
        <f>+SUMIFS('SU - Miktar-Grp'!AC:AC,'SU - Miktar-Grp'!$B:$B,'SU TEMİNİ'!$C24)*$M24</f>
        <v>4485.6158031098294</v>
      </c>
      <c r="AN24">
        <f>+SUMIFS('SU - Miktar-Grp'!AD:AD,'SU - Miktar-Grp'!$B:$B,'SU TEMİNİ'!$C24)*$M24</f>
        <v>4485.6158031098294</v>
      </c>
      <c r="AO24">
        <f>+SUMIFS('SU - Miktar-Grp'!AE:AE,'SU - Miktar-Grp'!$B:$B,'SU TEMİNİ'!$C24)*$M24</f>
        <v>4362.7263399664189</v>
      </c>
      <c r="AP24">
        <f>+SUMIFS('SU - Miktar-Grp'!AF:AF,'SU - Miktar-Grp'!$B:$B,'SU TEMİNİ'!$C24)*$M24</f>
        <v>4489.4334734960839</v>
      </c>
      <c r="AQ24">
        <f>+SUMIFS('SU - Miktar-Grp'!AG:AG,'SU - Miktar-Grp'!$B:$B,'SU TEMİNİ'!$C24)*$M24</f>
        <v>4512.9821865451468</v>
      </c>
      <c r="AR24">
        <f>+SUMIFS('SU - Miktar-Grp'!AH:AH,'SU - Miktar-Grp'!$B:$B,'SU TEMİNİ'!$C24)*$M24</f>
        <v>4438.2158314428452</v>
      </c>
      <c r="AS24">
        <f>+SUMIFS('SU - Miktar-Grp'!AI:AI,'SU - Miktar-Grp'!$B:$B,'SU TEMİNİ'!$C24)*$M24</f>
        <v>5152.2286204080074</v>
      </c>
      <c r="AT24">
        <f>+SUMIFS('SU - Miktar-Grp'!AJ:AJ,'SU - Miktar-Grp'!$B:$B,'SU TEMİNİ'!$C24)*$M24</f>
        <v>5393.5646737602092</v>
      </c>
      <c r="AU24">
        <f>+SUMIFS('SU - Miktar-Grp'!AK:AK,'SU - Miktar-Grp'!$B:$B,'SU TEMİNİ'!$C24)*$M24</f>
        <v>5080.8138756104481</v>
      </c>
      <c r="AV24">
        <f>+SUMIFS('SU - Miktar-Grp'!AL:AL,'SU - Miktar-Grp'!$B:$B,'SU TEMİNİ'!$C24)*$M24</f>
        <v>5080.8138756104481</v>
      </c>
      <c r="AW24">
        <f>+SUMIFS('SU - Miktar-Grp'!AM:AM,'SU - Miktar-Grp'!$B:$B,'SU TEMİNİ'!$C24)*$M24</f>
        <v>5006.8738371629825</v>
      </c>
      <c r="AX24">
        <f>+SUMIFS('SU - Miktar-Grp'!AN:AN,'SU - Miktar-Grp'!$B:$B,'SU TEMİNİ'!$C24)*$M24</f>
        <v>5173.8754935372108</v>
      </c>
      <c r="AY24">
        <f>+SUMIFS('SU - Miktar-Grp'!AO:AO,'SU - Miktar-Grp'!$B:$B,'SU TEMİNİ'!$C24)*$M24</f>
        <v>5090.6614715541027</v>
      </c>
      <c r="AZ24">
        <f>+SUMIFS('SU - Miktar-Grp'!AP:AP,'SU - Miktar-Grp'!$B:$B,'SU TEMİNİ'!$C24)*$M24</f>
        <v>3599.4231067334731</v>
      </c>
      <c r="BA24">
        <f>+SUMIFS('SU - Miktar-Grp'!AQ:AQ,'SU - Miktar-Grp'!$B:$B,'SU TEMİNİ'!$C24)*$M24</f>
        <v>2456.5510994997358</v>
      </c>
      <c r="BB24">
        <f>+SUMIFS('SU - Miktar-Grp'!AR:AR,'SU - Miktar-Grp'!$B:$B,'SU TEMİNİ'!$C24)*$M24</f>
        <v>1741.8090532963392</v>
      </c>
      <c r="BC24">
        <f>+SUMIFS('SU - Miktar-Grp'!AS:AS,'SU - Miktar-Grp'!$B:$B,'SU TEMİNİ'!$C24)*$M24</f>
        <v>1032.2714904046654</v>
      </c>
      <c r="BD24">
        <f>+SUMIFS('SU - Miktar-Grp'!AT:AT,'SU - Miktar-Grp'!$B:$B,'SU TEMİNİ'!$C24)*$M24</f>
        <v>1032.2714904046654</v>
      </c>
      <c r="BE24">
        <f>+SUMIFS('SU - Miktar-Grp'!AU:AU,'SU - Miktar-Grp'!$B:$B,'SU TEMİNİ'!$C24)*$M24</f>
        <v>798.78151043218168</v>
      </c>
      <c r="BF24">
        <f>+SUMIFS('SU - Miktar-Grp'!AV:AV,'SU - Miktar-Grp'!$B:$B,'SU TEMİNİ'!$C24)*$M24</f>
        <v>0</v>
      </c>
      <c r="BG24">
        <f>+SUMIFS('SU - Miktar-Grp'!AW:AW,'SU - Miktar-Grp'!$B:$B,'SU TEMİNİ'!$C24)*$M24</f>
        <v>0</v>
      </c>
      <c r="BH24">
        <f>+SUMIFS('SU - Miktar-Grp'!AX:AX,'SU - Miktar-Grp'!$B:$B,'SU TEMİNİ'!$C24)*$M24</f>
        <v>0</v>
      </c>
      <c r="BI24">
        <f>+SUMIFS('SU - Miktar-Grp'!AY:AY,'SU - Miktar-Grp'!$B:$B,'SU TEMİNİ'!$C24)*$M24</f>
        <v>0</v>
      </c>
      <c r="BJ24">
        <f>+SUMIFS('SU - Miktar-Grp'!AZ:AZ,'SU - Miktar-Grp'!$B:$B,'SU TEMİNİ'!$C24)*$M24</f>
        <v>0</v>
      </c>
      <c r="BK24">
        <f>+SUMIFS('SU - Miktar-Grp'!BA:BA,'SU - Miktar-Grp'!$B:$B,'SU TEMİNİ'!$C24)*$M24</f>
        <v>0</v>
      </c>
      <c r="BL24">
        <f>+SUMIFS('SU - Miktar-Grp'!BB:BB,'SU - Miktar-Grp'!$B:$B,'SU TEMİNİ'!$C24)*$M24</f>
        <v>0</v>
      </c>
      <c r="BM24">
        <f>+SUMIFS('SU - Miktar-Grp'!BC:BC,'SU - Miktar-Grp'!$B:$B,'SU TEMİNİ'!$C24)*$M24</f>
        <v>0</v>
      </c>
      <c r="BN24">
        <f>+SUMIFS('SU - Miktar-Grp'!BD:BD,'SU - Miktar-Grp'!$B:$B,'SU TEMİNİ'!$C24)*$M24</f>
        <v>0</v>
      </c>
      <c r="BO24">
        <f>+SUMIFS('SU - Miktar-Grp'!BE:BE,'SU - Miktar-Grp'!$B:$B,'SU TEMİNİ'!$C24)*$M24</f>
        <v>0</v>
      </c>
      <c r="BP24">
        <f>+SUMIFS('SU - Miktar-Grp'!BF:BF,'SU - Miktar-Grp'!$B:$B,'SU TEMİNİ'!$C24)*$M24</f>
        <v>0</v>
      </c>
      <c r="BQ24">
        <f>+SUMIFS('SU - Miktar-Grp'!BG:BG,'SU - Miktar-Grp'!$B:$B,'SU TEMİNİ'!$C24)*$M24</f>
        <v>0</v>
      </c>
      <c r="BR24">
        <f>+SUMIFS('SU - Miktar-Grp'!BH:BH,'SU - Miktar-Grp'!$B:$B,'SU TEMİNİ'!$C24)*$M24</f>
        <v>0</v>
      </c>
      <c r="BS24">
        <f>+SUMIFS('SU - Miktar-Grp'!BI:BI,'SU - Miktar-Grp'!$B:$B,'SU TEMİNİ'!$C24)*$M24</f>
        <v>0</v>
      </c>
      <c r="BT24">
        <f>+SUMIFS('SU - Miktar-Grp'!BJ:BJ,'SU - Miktar-Grp'!$B:$B,'SU TEMİNİ'!$C24)*$M24</f>
        <v>0</v>
      </c>
      <c r="BU24">
        <f>+SUMIFS('SU - Miktar-Grp'!BK:BK,'SU - Miktar-Grp'!$B:$B,'SU TEMİNİ'!$C24)*$M24</f>
        <v>0</v>
      </c>
      <c r="BV24">
        <f>+SUMIFS('SU - Miktar-Grp'!BL:BL,'SU - Miktar-Grp'!$B:$B,'SU TEMİNİ'!$C24)*$M24</f>
        <v>0</v>
      </c>
      <c r="BW24">
        <f>+SUMIFS('SU - Miktar-Grp'!BM:BM,'SU - Miktar-Grp'!$B:$B,'SU TEMİNİ'!$C24)*$M24</f>
        <v>0</v>
      </c>
      <c r="BX24">
        <f>+SUMIFS('SU - Miktar-Grp'!BN:BN,'SU - Miktar-Grp'!$B:$B,'SU TEMİNİ'!$C24)*$M24</f>
        <v>0</v>
      </c>
    </row>
    <row r="25" spans="1:76">
      <c r="A25" s="3" t="s">
        <v>66</v>
      </c>
      <c r="B25" t="s">
        <v>5272</v>
      </c>
      <c r="C25" t="s">
        <v>25</v>
      </c>
      <c r="D25" t="s">
        <v>4967</v>
      </c>
      <c r="E25" t="s">
        <v>4968</v>
      </c>
      <c r="F25" t="s">
        <v>4973</v>
      </c>
      <c r="G25" t="s">
        <v>4983</v>
      </c>
      <c r="H25" t="s">
        <v>4984</v>
      </c>
      <c r="L25" s="126">
        <f t="shared" si="1"/>
        <v>101802.45645600001</v>
      </c>
      <c r="M25">
        <v>0.22799999999999998</v>
      </c>
      <c r="N25">
        <f>+SUMIFS('SU - Miktar-Grp'!D:D,'SU - Miktar-Grp'!$B:$B,'SU TEMİNİ'!$C25)*$M25</f>
        <v>0</v>
      </c>
      <c r="O25">
        <f>+SUMIFS('SU - Miktar-Grp'!E:E,'SU - Miktar-Grp'!$B:$B,'SU TEMİNİ'!$C25)*$M25</f>
        <v>0</v>
      </c>
      <c r="P25">
        <f>+SUMIFS('SU - Miktar-Grp'!F:F,'SU - Miktar-Grp'!$B:$B,'SU TEMİNİ'!$C25)*$M25</f>
        <v>0</v>
      </c>
      <c r="Q25">
        <f>+SUMIFS('SU - Miktar-Grp'!G:G,'SU - Miktar-Grp'!$B:$B,'SU TEMİNİ'!$C25)*$M25</f>
        <v>0</v>
      </c>
      <c r="R25">
        <f>+SUMIFS('SU - Miktar-Grp'!H:H,'SU - Miktar-Grp'!$B:$B,'SU TEMİNİ'!$C25)*$M25</f>
        <v>0</v>
      </c>
      <c r="S25">
        <f>+SUMIFS('SU - Miktar-Grp'!I:I,'SU - Miktar-Grp'!$B:$B,'SU TEMİNİ'!$C25)*$M25</f>
        <v>0</v>
      </c>
      <c r="T25">
        <f>+SUMIFS('SU - Miktar-Grp'!J:J,'SU - Miktar-Grp'!$B:$B,'SU TEMİNİ'!$C25)*$M25</f>
        <v>0</v>
      </c>
      <c r="U25">
        <f>+SUMIFS('SU - Miktar-Grp'!K:K,'SU - Miktar-Grp'!$B:$B,'SU TEMİNİ'!$C25)*$M25</f>
        <v>0</v>
      </c>
      <c r="V25">
        <f>+SUMIFS('SU - Miktar-Grp'!L:L,'SU - Miktar-Grp'!$B:$B,'SU TEMİNİ'!$C25)*$M25</f>
        <v>0</v>
      </c>
      <c r="W25">
        <f>+SUMIFS('SU - Miktar-Grp'!M:M,'SU - Miktar-Grp'!$B:$B,'SU TEMİNİ'!$C25)*$M25</f>
        <v>0</v>
      </c>
      <c r="X25">
        <f>+SUMIFS('SU - Miktar-Grp'!N:N,'SU - Miktar-Grp'!$B:$B,'SU TEMİNİ'!$C25)*$M25</f>
        <v>0</v>
      </c>
      <c r="Y25">
        <f>+SUMIFS('SU - Miktar-Grp'!O:O,'SU - Miktar-Grp'!$B:$B,'SU TEMİNİ'!$C25)*$M25</f>
        <v>0</v>
      </c>
      <c r="Z25">
        <f>+SUMIFS('SU - Miktar-Grp'!P:P,'SU - Miktar-Grp'!$B:$B,'SU TEMİNİ'!$C25)*$M25</f>
        <v>0</v>
      </c>
      <c r="AA25">
        <f>+SUMIFS('SU - Miktar-Grp'!Q:Q,'SU - Miktar-Grp'!$B:$B,'SU TEMİNİ'!$C25)*$M25</f>
        <v>800.82719999999995</v>
      </c>
      <c r="AB25">
        <f>+SUMIFS('SU - Miktar-Grp'!R:R,'SU - Miktar-Grp'!$B:$B,'SU TEMİNİ'!$C25)*$M25</f>
        <v>1010.8562399999998</v>
      </c>
      <c r="AC25">
        <f>+SUMIFS('SU - Miktar-Grp'!S:S,'SU - Miktar-Grp'!$B:$B,'SU TEMİNİ'!$C25)*$M25</f>
        <v>2648.9074199999995</v>
      </c>
      <c r="AD25">
        <f>+SUMIFS('SU - Miktar-Grp'!T:T,'SU - Miktar-Grp'!$B:$B,'SU TEMİNİ'!$C25)*$M25</f>
        <v>2443.6939679999996</v>
      </c>
      <c r="AE25">
        <f>+SUMIFS('SU - Miktar-Grp'!U:U,'SU - Miktar-Grp'!$B:$B,'SU TEMİNİ'!$C25)*$M25</f>
        <v>1179.3322799999999</v>
      </c>
      <c r="AF25">
        <f>+SUMIFS('SU - Miktar-Grp'!V:V,'SU - Miktar-Grp'!$B:$B,'SU TEMİNİ'!$C25)*$M25</f>
        <v>1198.5027479999999</v>
      </c>
      <c r="AG25">
        <f>+SUMIFS('SU - Miktar-Grp'!W:W,'SU - Miktar-Grp'!$B:$B,'SU TEMİNİ'!$C25)*$M25</f>
        <v>1309.6846680000001</v>
      </c>
      <c r="AH25">
        <f>+SUMIFS('SU - Miktar-Grp'!X:X,'SU - Miktar-Grp'!$B:$B,'SU TEMİNİ'!$C25)*$M25</f>
        <v>1150.529724</v>
      </c>
      <c r="AI25">
        <f>+SUMIFS('SU - Miktar-Grp'!Y:Y,'SU - Miktar-Grp'!$B:$B,'SU TEMİNİ'!$C25)*$M25</f>
        <v>221.06195999999997</v>
      </c>
      <c r="AJ25">
        <f>+SUMIFS('SU - Miktar-Grp'!Z:Z,'SU - Miktar-Grp'!$B:$B,'SU TEMİNİ'!$C25)*$M25</f>
        <v>0</v>
      </c>
      <c r="AK25">
        <f>+SUMIFS('SU - Miktar-Grp'!AA:AA,'SU - Miktar-Grp'!$B:$B,'SU TEMİNİ'!$C25)*$M25</f>
        <v>0</v>
      </c>
      <c r="AL25">
        <f>+SUMIFS('SU - Miktar-Grp'!AB:AB,'SU - Miktar-Grp'!$B:$B,'SU TEMİNİ'!$C25)*$M25</f>
        <v>2739.4336799999983</v>
      </c>
      <c r="AM25">
        <f>+SUMIFS('SU - Miktar-Grp'!AC:AC,'SU - Miktar-Grp'!$B:$B,'SU TEMİNİ'!$C25)*$M25</f>
        <v>2469.0920279999982</v>
      </c>
      <c r="AN25">
        <f>+SUMIFS('SU - Miktar-Grp'!AD:AD,'SU - Miktar-Grp'!$B:$B,'SU TEMİNİ'!$C25)*$M25</f>
        <v>1684.7604000000022</v>
      </c>
      <c r="AO25">
        <f>+SUMIFS('SU - Miktar-Grp'!AE:AE,'SU - Miktar-Grp'!$B:$B,'SU TEMİNİ'!$C25)*$M25</f>
        <v>0</v>
      </c>
      <c r="AP25">
        <f>+SUMIFS('SU - Miktar-Grp'!AF:AF,'SU - Miktar-Grp'!$B:$B,'SU TEMİNİ'!$C25)*$M25</f>
        <v>1377.4227840000001</v>
      </c>
      <c r="AQ25">
        <f>+SUMIFS('SU - Miktar-Grp'!AG:AG,'SU - Miktar-Grp'!$B:$B,'SU TEMİNİ'!$C25)*$M25</f>
        <v>1921.9852799999999</v>
      </c>
      <c r="AR25">
        <f>+SUMIFS('SU - Miktar-Grp'!AH:AH,'SU - Miktar-Grp'!$B:$B,'SU TEMİNİ'!$C25)*$M25</f>
        <v>1921.9852799999999</v>
      </c>
      <c r="AS25">
        <f>+SUMIFS('SU - Miktar-Grp'!AI:AI,'SU - Miktar-Grp'!$B:$B,'SU TEMİNİ'!$C25)*$M25</f>
        <v>2801.3354519999998</v>
      </c>
      <c r="AT25">
        <f>+SUMIFS('SU - Miktar-Grp'!AJ:AJ,'SU - Miktar-Grp'!$B:$B,'SU TEMİNİ'!$C25)*$M25</f>
        <v>782.20666799999992</v>
      </c>
      <c r="AU25">
        <f>+SUMIFS('SU - Miktar-Grp'!AK:AK,'SU - Miktar-Grp'!$B:$B,'SU TEMİNİ'!$C25)*$M25</f>
        <v>1385.306568</v>
      </c>
      <c r="AV25">
        <f>+SUMIFS('SU - Miktar-Grp'!AL:AL,'SU - Miktar-Grp'!$B:$B,'SU TEMİNİ'!$C25)*$M25</f>
        <v>1397.126544</v>
      </c>
      <c r="AW25">
        <f>+SUMIFS('SU - Miktar-Grp'!AM:AM,'SU - Miktar-Grp'!$B:$B,'SU TEMİNİ'!$C25)*$M25</f>
        <v>1450.5182159999997</v>
      </c>
      <c r="AX25">
        <f>+SUMIFS('SU - Miktar-Grp'!AN:AN,'SU - Miktar-Grp'!$B:$B,'SU TEMİNİ'!$C25)*$M25</f>
        <v>1471.776936</v>
      </c>
      <c r="AY25">
        <f>+SUMIFS('SU - Miktar-Grp'!AO:AO,'SU - Miktar-Grp'!$B:$B,'SU TEMİNİ'!$C25)*$M25</f>
        <v>4175.5258799999992</v>
      </c>
      <c r="AZ25">
        <f>+SUMIFS('SU - Miktar-Grp'!AP:AP,'SU - Miktar-Grp'!$B:$B,'SU TEMİNİ'!$C25)*$M25</f>
        <v>3873.3823319999997</v>
      </c>
      <c r="BA25">
        <f>+SUMIFS('SU - Miktar-Grp'!AQ:AQ,'SU - Miktar-Grp'!$B:$B,'SU TEMİNİ'!$C25)*$M25</f>
        <v>3211.89984</v>
      </c>
      <c r="BB25">
        <f>+SUMIFS('SU - Miktar-Grp'!AR:AR,'SU - Miktar-Grp'!$B:$B,'SU TEMİNİ'!$C25)*$M25</f>
        <v>3461.3409600000005</v>
      </c>
      <c r="BC25">
        <f>+SUMIFS('SU - Miktar-Grp'!AS:AS,'SU - Miktar-Grp'!$B:$B,'SU TEMİNİ'!$C25)*$M25</f>
        <v>5670.7646999999997</v>
      </c>
      <c r="BD25">
        <f>+SUMIFS('SU - Miktar-Grp'!AT:AT,'SU - Miktar-Grp'!$B:$B,'SU TEMİNİ'!$C25)*$M25</f>
        <v>6285.8113439999997</v>
      </c>
      <c r="BE25">
        <f>+SUMIFS('SU - Miktar-Grp'!AU:AU,'SU - Miktar-Grp'!$B:$B,'SU TEMİNİ'!$C25)*$M25</f>
        <v>6242.8265039999997</v>
      </c>
      <c r="BF25">
        <f>+SUMIFS('SU - Miktar-Grp'!AV:AV,'SU - Miktar-Grp'!$B:$B,'SU TEMİNİ'!$C25)*$M25</f>
        <v>6307.3555200000001</v>
      </c>
      <c r="BG25">
        <f>+SUMIFS('SU - Miktar-Grp'!AW:AW,'SU - Miktar-Grp'!$B:$B,'SU TEMİNİ'!$C25)*$M25</f>
        <v>6321.5280000000002</v>
      </c>
      <c r="BH25">
        <f>+SUMIFS('SU - Miktar-Grp'!AX:AX,'SU - Miktar-Grp'!$B:$B,'SU TEMİNİ'!$C25)*$M25</f>
        <v>6215.0433360000006</v>
      </c>
      <c r="BI25">
        <f>+SUMIFS('SU - Miktar-Grp'!AY:AY,'SU - Miktar-Grp'!$B:$B,'SU TEMİNİ'!$C25)*$M25</f>
        <v>6140.1175200000007</v>
      </c>
      <c r="BJ25">
        <f>+SUMIFS('SU - Miktar-Grp'!AZ:AZ,'SU - Miktar-Grp'!$B:$B,'SU TEMİNİ'!$C25)*$M25</f>
        <v>5047.5807359999999</v>
      </c>
      <c r="BK25">
        <f>+SUMIFS('SU - Miktar-Grp'!BA:BA,'SU - Miktar-Grp'!$B:$B,'SU TEMİNİ'!$C25)*$M25</f>
        <v>4041.4447800000003</v>
      </c>
      <c r="BL25">
        <f>+SUMIFS('SU - Miktar-Grp'!BB:BB,'SU - Miktar-Grp'!$B:$B,'SU TEMİNİ'!$C25)*$M25</f>
        <v>1441.4889599999999</v>
      </c>
      <c r="BM25">
        <f>+SUMIFS('SU - Miktar-Grp'!BC:BC,'SU - Miktar-Grp'!$B:$B,'SU TEMİNİ'!$C25)*$M25</f>
        <v>0</v>
      </c>
      <c r="BN25">
        <f>+SUMIFS('SU - Miktar-Grp'!BD:BD,'SU - Miktar-Grp'!$B:$B,'SU TEMİNİ'!$C25)*$M25</f>
        <v>0</v>
      </c>
      <c r="BO25">
        <f>+SUMIFS('SU - Miktar-Grp'!BE:BE,'SU - Miktar-Grp'!$B:$B,'SU TEMİNİ'!$C25)*$M25</f>
        <v>0</v>
      </c>
      <c r="BP25">
        <f>+SUMIFS('SU - Miktar-Grp'!BF:BF,'SU - Miktar-Grp'!$B:$B,'SU TEMİNİ'!$C25)*$M25</f>
        <v>0</v>
      </c>
      <c r="BQ25">
        <f>+SUMIFS('SU - Miktar-Grp'!BG:BG,'SU - Miktar-Grp'!$B:$B,'SU TEMİNİ'!$C25)*$M25</f>
        <v>0</v>
      </c>
      <c r="BR25">
        <f>+SUMIFS('SU - Miktar-Grp'!BH:BH,'SU - Miktar-Grp'!$B:$B,'SU TEMİNİ'!$C25)*$M25</f>
        <v>0</v>
      </c>
      <c r="BS25">
        <f>+SUMIFS('SU - Miktar-Grp'!BI:BI,'SU - Miktar-Grp'!$B:$B,'SU TEMİNİ'!$C25)*$M25</f>
        <v>0</v>
      </c>
      <c r="BT25">
        <f>+SUMIFS('SU - Miktar-Grp'!BJ:BJ,'SU - Miktar-Grp'!$B:$B,'SU TEMİNİ'!$C25)*$M25</f>
        <v>0</v>
      </c>
      <c r="BU25">
        <f>+SUMIFS('SU - Miktar-Grp'!BK:BK,'SU - Miktar-Grp'!$B:$B,'SU TEMİNİ'!$C25)*$M25</f>
        <v>0</v>
      </c>
      <c r="BV25">
        <f>+SUMIFS('SU - Miktar-Grp'!BL:BL,'SU - Miktar-Grp'!$B:$B,'SU TEMİNİ'!$C25)*$M25</f>
        <v>0</v>
      </c>
      <c r="BW25">
        <f>+SUMIFS('SU - Miktar-Grp'!BM:BM,'SU - Miktar-Grp'!$B:$B,'SU TEMİNİ'!$C25)*$M25</f>
        <v>0</v>
      </c>
      <c r="BX25">
        <f>+SUMIFS('SU - Miktar-Grp'!BN:BN,'SU - Miktar-Grp'!$B:$B,'SU TEMİNİ'!$C25)*$M25</f>
        <v>0</v>
      </c>
    </row>
    <row r="26" spans="1:76">
      <c r="A26" s="3" t="s">
        <v>66</v>
      </c>
      <c r="B26" t="s">
        <v>5272</v>
      </c>
      <c r="C26" t="s">
        <v>26</v>
      </c>
      <c r="D26" t="s">
        <v>4967</v>
      </c>
      <c r="E26" t="s">
        <v>4968</v>
      </c>
      <c r="F26" t="s">
        <v>4973</v>
      </c>
      <c r="G26" t="s">
        <v>4983</v>
      </c>
      <c r="H26" t="s">
        <v>4984</v>
      </c>
      <c r="L26" s="126">
        <f t="shared" si="1"/>
        <v>5349.7920000000004</v>
      </c>
      <c r="M26">
        <v>0.19950000000000001</v>
      </c>
      <c r="N26">
        <f>+SUMIFS('SU - Miktar-Grp'!D:D,'SU - Miktar-Grp'!$B:$B,'SU TEMİNİ'!$C26)*$M26</f>
        <v>0</v>
      </c>
      <c r="O26">
        <f>+SUMIFS('SU - Miktar-Grp'!E:E,'SU - Miktar-Grp'!$B:$B,'SU TEMİNİ'!$C26)*$M26</f>
        <v>0</v>
      </c>
      <c r="P26">
        <f>+SUMIFS('SU - Miktar-Grp'!F:F,'SU - Miktar-Grp'!$B:$B,'SU TEMİNİ'!$C26)*$M26</f>
        <v>0</v>
      </c>
      <c r="Q26">
        <f>+SUMIFS('SU - Miktar-Grp'!G:G,'SU - Miktar-Grp'!$B:$B,'SU TEMİNİ'!$C26)*$M26</f>
        <v>0</v>
      </c>
      <c r="R26">
        <f>+SUMIFS('SU - Miktar-Grp'!H:H,'SU - Miktar-Grp'!$B:$B,'SU TEMİNİ'!$C26)*$M26</f>
        <v>0</v>
      </c>
      <c r="S26">
        <f>+SUMIFS('SU - Miktar-Grp'!I:I,'SU - Miktar-Grp'!$B:$B,'SU TEMİNİ'!$C26)*$M26</f>
        <v>0</v>
      </c>
      <c r="T26">
        <f>+SUMIFS('SU - Miktar-Grp'!J:J,'SU - Miktar-Grp'!$B:$B,'SU TEMİNİ'!$C26)*$M26</f>
        <v>0</v>
      </c>
      <c r="U26">
        <f>+SUMIFS('SU - Miktar-Grp'!K:K,'SU - Miktar-Grp'!$B:$B,'SU TEMİNİ'!$C26)*$M26</f>
        <v>0</v>
      </c>
      <c r="V26">
        <f>+SUMIFS('SU - Miktar-Grp'!L:L,'SU - Miktar-Grp'!$B:$B,'SU TEMİNİ'!$C26)*$M26</f>
        <v>0</v>
      </c>
      <c r="W26">
        <f>+SUMIFS('SU - Miktar-Grp'!M:M,'SU - Miktar-Grp'!$B:$B,'SU TEMİNİ'!$C26)*$M26</f>
        <v>0</v>
      </c>
      <c r="X26">
        <f>+SUMIFS('SU - Miktar-Grp'!N:N,'SU - Miktar-Grp'!$B:$B,'SU TEMİNİ'!$C26)*$M26</f>
        <v>263.52823090340655</v>
      </c>
      <c r="Y26">
        <f>+SUMIFS('SU - Miktar-Grp'!O:O,'SU - Miktar-Grp'!$B:$B,'SU TEMİNİ'!$C26)*$M26</f>
        <v>188.63611133089438</v>
      </c>
      <c r="Z26">
        <f>+SUMIFS('SU - Miktar-Grp'!P:P,'SU - Miktar-Grp'!$B:$B,'SU TEMİNİ'!$C26)*$M26</f>
        <v>158.95844726374935</v>
      </c>
      <c r="AA26">
        <f>+SUMIFS('SU - Miktar-Grp'!Q:Q,'SU - Miktar-Grp'!$B:$B,'SU TEMİNİ'!$C26)*$M26</f>
        <v>145.94906027541182</v>
      </c>
      <c r="AB26">
        <f>+SUMIFS('SU - Miktar-Grp'!R:R,'SU - Miktar-Grp'!$B:$B,'SU TEMİNİ'!$C26)*$M26</f>
        <v>197.58006488537646</v>
      </c>
      <c r="AC26">
        <f>+SUMIFS('SU - Miktar-Grp'!S:S,'SU - Miktar-Grp'!$B:$B,'SU TEMİNİ'!$C26)*$M26</f>
        <v>160.9911639806771</v>
      </c>
      <c r="AD26">
        <f>+SUMIFS('SU - Miktar-Grp'!T:T,'SU - Miktar-Grp'!$B:$B,'SU TEMİNİ'!$C26)*$M26</f>
        <v>154.0799271431228</v>
      </c>
      <c r="AE26">
        <f>+SUMIFS('SU - Miktar-Grp'!U:U,'SU - Miktar-Grp'!$B:$B,'SU TEMİNİ'!$C26)*$M26</f>
        <v>162.21079401083372</v>
      </c>
      <c r="AF26">
        <f>+SUMIFS('SU - Miktar-Grp'!V:V,'SU - Miktar-Grp'!$B:$B,'SU TEMİNİ'!$C26)*$M26</f>
        <v>135.37893334738757</v>
      </c>
      <c r="AG26">
        <f>+SUMIFS('SU - Miktar-Grp'!W:W,'SU - Miktar-Grp'!$B:$B,'SU TEMİNİ'!$C26)*$M26</f>
        <v>126.84152313629106</v>
      </c>
      <c r="AH26">
        <f>+SUMIFS('SU - Miktar-Grp'!X:X,'SU - Miktar-Grp'!$B:$B,'SU TEMİNİ'!$C26)*$M26</f>
        <v>147.1686903055685</v>
      </c>
      <c r="AI26">
        <f>+SUMIFS('SU - Miktar-Grp'!Y:Y,'SU - Miktar-Grp'!$B:$B,'SU TEMİNİ'!$C26)*$M26</f>
        <v>169.12203084838811</v>
      </c>
      <c r="AJ26">
        <f>+SUMIFS('SU - Miktar-Grp'!Z:Z,'SU - Miktar-Grp'!$B:$B,'SU TEMİNİ'!$C26)*$M26</f>
        <v>185.38376458381001</v>
      </c>
      <c r="AK26">
        <f>+SUMIFS('SU - Miktar-Grp'!AA:AA,'SU - Miktar-Grp'!$B:$B,'SU TEMİNİ'!$C26)*$M26</f>
        <v>185.38376458381001</v>
      </c>
      <c r="AL26">
        <f>+SUMIFS('SU - Miktar-Grp'!AB:AB,'SU - Miktar-Grp'!$B:$B,'SU TEMİNİ'!$C26)*$M26</f>
        <v>158.55190392036383</v>
      </c>
      <c r="AM26">
        <f>+SUMIFS('SU - Miktar-Grp'!AC:AC,'SU - Miktar-Grp'!$B:$B,'SU TEMİNİ'!$C26)*$M26</f>
        <v>170.74820422193028</v>
      </c>
      <c r="AN26">
        <f>+SUMIFS('SU - Miktar-Grp'!AD:AD,'SU - Miktar-Grp'!$B:$B,'SU TEMİNİ'!$C26)*$M26</f>
        <v>170.74820422193028</v>
      </c>
      <c r="AO26">
        <f>+SUMIFS('SU - Miktar-Grp'!AE:AE,'SU - Miktar-Grp'!$B:$B,'SU TEMİNİ'!$C26)*$M26</f>
        <v>166.68277078807481</v>
      </c>
      <c r="AP26">
        <f>+SUMIFS('SU - Miktar-Grp'!AF:AF,'SU - Miktar-Grp'!$B:$B,'SU TEMİNİ'!$C26)*$M26</f>
        <v>169.5285741917736</v>
      </c>
      <c r="AQ26">
        <f>+SUMIFS('SU - Miktar-Grp'!AG:AG,'SU - Miktar-Grp'!$B:$B,'SU TEMİNİ'!$C26)*$M26</f>
        <v>158.55190392036383</v>
      </c>
      <c r="AR26">
        <f>+SUMIFS('SU - Miktar-Grp'!AH:AH,'SU - Miktar-Grp'!$B:$B,'SU TEMİNİ'!$C26)*$M26</f>
        <v>163.43042404099043</v>
      </c>
      <c r="AS26">
        <f>+SUMIFS('SU - Miktar-Grp'!AI:AI,'SU - Miktar-Grp'!$B:$B,'SU TEMİNİ'!$C26)*$M26</f>
        <v>204.89784506631631</v>
      </c>
      <c r="AT26">
        <f>+SUMIFS('SU - Miktar-Grp'!AJ:AJ,'SU - Miktar-Grp'!$B:$B,'SU TEMİNİ'!$C26)*$M26</f>
        <v>211.40253856048511</v>
      </c>
      <c r="AU26">
        <f>+SUMIFS('SU - Miktar-Grp'!AK:AK,'SU - Miktar-Grp'!$B:$B,'SU TEMİNİ'!$C26)*$M26</f>
        <v>204.89784506631631</v>
      </c>
      <c r="AV26">
        <f>+SUMIFS('SU - Miktar-Grp'!AL:AL,'SU - Miktar-Grp'!$B:$B,'SU TEMİNİ'!$C26)*$M26</f>
        <v>204.89784506631631</v>
      </c>
      <c r="AW26">
        <f>+SUMIFS('SU - Miktar-Grp'!AM:AM,'SU - Miktar-Grp'!$B:$B,'SU TEMİNİ'!$C26)*$M26</f>
        <v>204.89784506631631</v>
      </c>
      <c r="AX26">
        <f>+SUMIFS('SU - Miktar-Grp'!AN:AN,'SU - Miktar-Grp'!$B:$B,'SU TEMİNİ'!$C26)*$M26</f>
        <v>197.58006488537646</v>
      </c>
      <c r="AY26">
        <f>+SUMIFS('SU - Miktar-Grp'!AO:AO,'SU - Miktar-Grp'!$B:$B,'SU TEMİNİ'!$C26)*$M26</f>
        <v>190.66882804782213</v>
      </c>
      <c r="AZ26">
        <f>+SUMIFS('SU - Miktar-Grp'!AP:AP,'SU - Miktar-Grp'!$B:$B,'SU TEMİNİ'!$C26)*$M26</f>
        <v>133.75275997384537</v>
      </c>
      <c r="BA26">
        <f>+SUMIFS('SU - Miktar-Grp'!AQ:AQ,'SU - Miktar-Grp'!$B:$B,'SU TEMİNİ'!$C26)*$M26</f>
        <v>95.944229038989405</v>
      </c>
      <c r="BB26">
        <f>+SUMIFS('SU - Miktar-Grp'!AR:AR,'SU - Miktar-Grp'!$B:$B,'SU TEMİNİ'!$C26)*$M26</f>
        <v>66.673108315229925</v>
      </c>
      <c r="BC26">
        <f>+SUMIFS('SU - Miktar-Grp'!AS:AS,'SU - Miktar-Grp'!$B:$B,'SU TEMİNİ'!$C26)*$M26</f>
        <v>34.149640844386063</v>
      </c>
      <c r="BD26">
        <f>+SUMIFS('SU - Miktar-Grp'!AT:AT,'SU - Miktar-Grp'!$B:$B,'SU TEMİNİ'!$C26)*$M26</f>
        <v>34.149640844386063</v>
      </c>
      <c r="BE26">
        <f>+SUMIFS('SU - Miktar-Grp'!AU:AU,'SU - Miktar-Grp'!$B:$B,'SU TEMİNİ'!$C26)*$M26</f>
        <v>26.425317320060639</v>
      </c>
      <c r="BF26">
        <f>+SUMIFS('SU - Miktar-Grp'!AV:AV,'SU - Miktar-Grp'!$B:$B,'SU TEMİNİ'!$C26)*$M26</f>
        <v>0</v>
      </c>
      <c r="BG26">
        <f>+SUMIFS('SU - Miktar-Grp'!AW:AW,'SU - Miktar-Grp'!$B:$B,'SU TEMİNİ'!$C26)*$M26</f>
        <v>0</v>
      </c>
      <c r="BH26">
        <f>+SUMIFS('SU - Miktar-Grp'!AX:AX,'SU - Miktar-Grp'!$B:$B,'SU TEMİNİ'!$C26)*$M26</f>
        <v>0</v>
      </c>
      <c r="BI26">
        <f>+SUMIFS('SU - Miktar-Grp'!AY:AY,'SU - Miktar-Grp'!$B:$B,'SU TEMİNİ'!$C26)*$M26</f>
        <v>0</v>
      </c>
      <c r="BJ26">
        <f>+SUMIFS('SU - Miktar-Grp'!AZ:AZ,'SU - Miktar-Grp'!$B:$B,'SU TEMİNİ'!$C26)*$M26</f>
        <v>0</v>
      </c>
      <c r="BK26">
        <f>+SUMIFS('SU - Miktar-Grp'!BA:BA,'SU - Miktar-Grp'!$B:$B,'SU TEMİNİ'!$C26)*$M26</f>
        <v>0</v>
      </c>
      <c r="BL26">
        <f>+SUMIFS('SU - Miktar-Grp'!BB:BB,'SU - Miktar-Grp'!$B:$B,'SU TEMİNİ'!$C26)*$M26</f>
        <v>0</v>
      </c>
      <c r="BM26">
        <f>+SUMIFS('SU - Miktar-Grp'!BC:BC,'SU - Miktar-Grp'!$B:$B,'SU TEMİNİ'!$C26)*$M26</f>
        <v>0</v>
      </c>
      <c r="BN26">
        <f>+SUMIFS('SU - Miktar-Grp'!BD:BD,'SU - Miktar-Grp'!$B:$B,'SU TEMİNİ'!$C26)*$M26</f>
        <v>0</v>
      </c>
      <c r="BO26">
        <f>+SUMIFS('SU - Miktar-Grp'!BE:BE,'SU - Miktar-Grp'!$B:$B,'SU TEMİNİ'!$C26)*$M26</f>
        <v>0</v>
      </c>
      <c r="BP26">
        <f>+SUMIFS('SU - Miktar-Grp'!BF:BF,'SU - Miktar-Grp'!$B:$B,'SU TEMİNİ'!$C26)*$M26</f>
        <v>0</v>
      </c>
      <c r="BQ26">
        <f>+SUMIFS('SU - Miktar-Grp'!BG:BG,'SU - Miktar-Grp'!$B:$B,'SU TEMİNİ'!$C26)*$M26</f>
        <v>0</v>
      </c>
      <c r="BR26">
        <f>+SUMIFS('SU - Miktar-Grp'!BH:BH,'SU - Miktar-Grp'!$B:$B,'SU TEMİNİ'!$C26)*$M26</f>
        <v>0</v>
      </c>
      <c r="BS26">
        <f>+SUMIFS('SU - Miktar-Grp'!BI:BI,'SU - Miktar-Grp'!$B:$B,'SU TEMİNİ'!$C26)*$M26</f>
        <v>0</v>
      </c>
      <c r="BT26">
        <f>+SUMIFS('SU - Miktar-Grp'!BJ:BJ,'SU - Miktar-Grp'!$B:$B,'SU TEMİNİ'!$C26)*$M26</f>
        <v>0</v>
      </c>
      <c r="BU26">
        <f>+SUMIFS('SU - Miktar-Grp'!BK:BK,'SU - Miktar-Grp'!$B:$B,'SU TEMİNİ'!$C26)*$M26</f>
        <v>0</v>
      </c>
      <c r="BV26">
        <f>+SUMIFS('SU - Miktar-Grp'!BL:BL,'SU - Miktar-Grp'!$B:$B,'SU TEMİNİ'!$C26)*$M26</f>
        <v>0</v>
      </c>
      <c r="BW26">
        <f>+SUMIFS('SU - Miktar-Grp'!BM:BM,'SU - Miktar-Grp'!$B:$B,'SU TEMİNİ'!$C26)*$M26</f>
        <v>0</v>
      </c>
      <c r="BX26">
        <f>+SUMIFS('SU - Miktar-Grp'!BN:BN,'SU - Miktar-Grp'!$B:$B,'SU TEMİNİ'!$C26)*$M26</f>
        <v>0</v>
      </c>
    </row>
    <row r="27" spans="1:76">
      <c r="A27" s="3" t="s">
        <v>66</v>
      </c>
      <c r="B27" t="s">
        <v>5272</v>
      </c>
      <c r="C27" t="s">
        <v>29</v>
      </c>
      <c r="D27" t="s">
        <v>4967</v>
      </c>
      <c r="E27" t="s">
        <v>4968</v>
      </c>
      <c r="F27" t="s">
        <v>4973</v>
      </c>
      <c r="G27" t="s">
        <v>4983</v>
      </c>
      <c r="H27" t="s">
        <v>4984</v>
      </c>
      <c r="L27" s="126">
        <f t="shared" si="1"/>
        <v>1270.812081</v>
      </c>
      <c r="M27">
        <v>0.23099999999999998</v>
      </c>
      <c r="N27">
        <f>+SUMIFS('SU - Miktar-Grp'!D:D,'SU - Miktar-Grp'!$B:$B,'SU TEMİNİ'!$C27)*$M27</f>
        <v>0</v>
      </c>
      <c r="O27">
        <f>+SUMIFS('SU - Miktar-Grp'!E:E,'SU - Miktar-Grp'!$B:$B,'SU TEMİNİ'!$C27)*$M27</f>
        <v>0</v>
      </c>
      <c r="P27">
        <f>+SUMIFS('SU - Miktar-Grp'!F:F,'SU - Miktar-Grp'!$B:$B,'SU TEMİNİ'!$C27)*$M27</f>
        <v>0</v>
      </c>
      <c r="Q27">
        <f>+SUMIFS('SU - Miktar-Grp'!G:G,'SU - Miktar-Grp'!$B:$B,'SU TEMİNİ'!$C27)*$M27</f>
        <v>0</v>
      </c>
      <c r="R27">
        <f>+SUMIFS('SU - Miktar-Grp'!H:H,'SU - Miktar-Grp'!$B:$B,'SU TEMİNİ'!$C27)*$M27</f>
        <v>0</v>
      </c>
      <c r="S27">
        <f>+SUMIFS('SU - Miktar-Grp'!I:I,'SU - Miktar-Grp'!$B:$B,'SU TEMİNİ'!$C27)*$M27</f>
        <v>0</v>
      </c>
      <c r="T27">
        <f>+SUMIFS('SU - Miktar-Grp'!J:J,'SU - Miktar-Grp'!$B:$B,'SU TEMİNİ'!$C27)*$M27</f>
        <v>0</v>
      </c>
      <c r="U27">
        <f>+SUMIFS('SU - Miktar-Grp'!K:K,'SU - Miktar-Grp'!$B:$B,'SU TEMİNİ'!$C27)*$M27</f>
        <v>0</v>
      </c>
      <c r="V27">
        <f>+SUMIFS('SU - Miktar-Grp'!L:L,'SU - Miktar-Grp'!$B:$B,'SU TEMİNİ'!$C27)*$M27</f>
        <v>0</v>
      </c>
      <c r="W27">
        <f>+SUMIFS('SU - Miktar-Grp'!M:M,'SU - Miktar-Grp'!$B:$B,'SU TEMİNİ'!$C27)*$M27</f>
        <v>0</v>
      </c>
      <c r="X27">
        <f>+SUMIFS('SU - Miktar-Grp'!N:N,'SU - Miktar-Grp'!$B:$B,'SU TEMİNİ'!$C27)*$M27</f>
        <v>21.30662781779052</v>
      </c>
      <c r="Y27">
        <f>+SUMIFS('SU - Miktar-Grp'!O:O,'SU - Miktar-Grp'!$B:$B,'SU TEMİNİ'!$C27)*$M27</f>
        <v>26.40943215668257</v>
      </c>
      <c r="Z27">
        <f>+SUMIFS('SU - Miktar-Grp'!P:P,'SU - Miktar-Grp'!$B:$B,'SU TEMİNİ'!$C27)*$M27</f>
        <v>23.395999151795667</v>
      </c>
      <c r="AA27">
        <f>+SUMIFS('SU - Miktar-Grp'!Q:Q,'SU - Miktar-Grp'!$B:$B,'SU TEMİNİ'!$C27)*$M27</f>
        <v>25.16755875949444</v>
      </c>
      <c r="AB27">
        <f>+SUMIFS('SU - Miktar-Grp'!R:R,'SU - Miktar-Grp'!$B:$B,'SU TEMİNİ'!$C27)*$M27</f>
        <v>40.970506083620087</v>
      </c>
      <c r="AC27">
        <f>+SUMIFS('SU - Miktar-Grp'!S:S,'SU - Miktar-Grp'!$B:$B,'SU TEMİNİ'!$C27)*$M27</f>
        <v>35.739854754827505</v>
      </c>
      <c r="AD27">
        <f>+SUMIFS('SU - Miktar-Grp'!T:T,'SU - Miktar-Grp'!$B:$B,'SU TEMİNİ'!$C27)*$M27</f>
        <v>35.189944161733735</v>
      </c>
      <c r="AE27">
        <f>+SUMIFS('SU - Miktar-Grp'!U:U,'SU - Miktar-Grp'!$B:$B,'SU TEMİNİ'!$C27)*$M27</f>
        <v>36.124118023907045</v>
      </c>
      <c r="AF27">
        <f>+SUMIFS('SU - Miktar-Grp'!V:V,'SU - Miktar-Grp'!$B:$B,'SU TEMİNİ'!$C27)*$M27</f>
        <v>31.825955192072517</v>
      </c>
      <c r="AG27">
        <f>+SUMIFS('SU - Miktar-Grp'!W:W,'SU - Miktar-Grp'!$B:$B,'SU TEMİNİ'!$C27)*$M27</f>
        <v>33.937958573254029</v>
      </c>
      <c r="AH27">
        <f>+SUMIFS('SU - Miktar-Grp'!X:X,'SU - Miktar-Grp'!$B:$B,'SU TEMİNİ'!$C27)*$M27</f>
        <v>39.398541870700093</v>
      </c>
      <c r="AI27">
        <f>+SUMIFS('SU - Miktar-Grp'!Y:Y,'SU - Miktar-Grp'!$B:$B,'SU TEMİNİ'!$C27)*$M27</f>
        <v>45.323804434639584</v>
      </c>
      <c r="AJ27">
        <f>+SUMIFS('SU - Miktar-Grp'!Z:Z,'SU - Miktar-Grp'!$B:$B,'SU TEMİNİ'!$C27)*$M27</f>
        <v>49.514103892697392</v>
      </c>
      <c r="AK27">
        <f>+SUMIFS('SU - Miktar-Grp'!AA:AA,'SU - Miktar-Grp'!$B:$B,'SU TEMİNİ'!$C27)*$M27</f>
        <v>49.514103892697392</v>
      </c>
      <c r="AL27">
        <f>+SUMIFS('SU - Miktar-Grp'!AB:AB,'SU - Miktar-Grp'!$B:$B,'SU TEMİNİ'!$C27)*$M27</f>
        <v>40.025497730777239</v>
      </c>
      <c r="AM27">
        <f>+SUMIFS('SU - Miktar-Grp'!AC:AC,'SU - Miktar-Grp'!$B:$B,'SU TEMİNİ'!$C27)*$M27</f>
        <v>41.998338098470043</v>
      </c>
      <c r="AN27">
        <f>+SUMIFS('SU - Miktar-Grp'!AD:AD,'SU - Miktar-Grp'!$B:$B,'SU TEMİNİ'!$C27)*$M27</f>
        <v>41.998338098470043</v>
      </c>
      <c r="AO27">
        <f>+SUMIFS('SU - Miktar-Grp'!AE:AE,'SU - Miktar-Grp'!$B:$B,'SU TEMİNİ'!$C27)*$M27</f>
        <v>40.753575503770044</v>
      </c>
      <c r="AP27">
        <f>+SUMIFS('SU - Miktar-Grp'!AF:AF,'SU - Miktar-Grp'!$B:$B,'SU TEMİNİ'!$C27)*$M27</f>
        <v>42.885321734616049</v>
      </c>
      <c r="AQ27">
        <f>+SUMIFS('SU - Miktar-Grp'!AG:AG,'SU - Miktar-Grp'!$B:$B,'SU TEMİNİ'!$C27)*$M27</f>
        <v>42.616144833092925</v>
      </c>
      <c r="AR27">
        <f>+SUMIFS('SU - Miktar-Grp'!AH:AH,'SU - Miktar-Grp'!$B:$B,'SU TEMİNİ'!$C27)*$M27</f>
        <v>43.065896579108312</v>
      </c>
      <c r="AS27">
        <f>+SUMIFS('SU - Miktar-Grp'!AI:AI,'SU - Miktar-Grp'!$B:$B,'SU TEMİNİ'!$C27)*$M27</f>
        <v>52.229949553861054</v>
      </c>
      <c r="AT27">
        <f>+SUMIFS('SU - Miktar-Grp'!AJ:AJ,'SU - Miktar-Grp'!$B:$B,'SU TEMİNİ'!$C27)*$M27</f>
        <v>55.621867432803732</v>
      </c>
      <c r="AU27">
        <f>+SUMIFS('SU - Miktar-Grp'!AK:AK,'SU - Miktar-Grp'!$B:$B,'SU TEMİNİ'!$C27)*$M27</f>
        <v>52.922393890874048</v>
      </c>
      <c r="AV27">
        <f>+SUMIFS('SU - Miktar-Grp'!AL:AL,'SU - Miktar-Grp'!$B:$B,'SU TEMİNİ'!$C27)*$M27</f>
        <v>52.922393890874048</v>
      </c>
      <c r="AW27">
        <f>+SUMIFS('SU - Miktar-Grp'!AM:AM,'SU - Miktar-Grp'!$B:$B,'SU TEMİNİ'!$C27)*$M27</f>
        <v>52.332516065532651</v>
      </c>
      <c r="AX27">
        <f>+SUMIFS('SU - Miktar-Grp'!AN:AN,'SU - Miktar-Grp'!$B:$B,'SU TEMİNİ'!$C27)*$M27</f>
        <v>54.124781588733207</v>
      </c>
      <c r="AY27">
        <f>+SUMIFS('SU - Miktar-Grp'!AO:AO,'SU - Miktar-Grp'!$B:$B,'SU TEMİNİ'!$C27)*$M27</f>
        <v>53.011477480823565</v>
      </c>
      <c r="AZ27">
        <f>+SUMIFS('SU - Miktar-Grp'!AP:AP,'SU - Miktar-Grp'!$B:$B,'SU TEMİNİ'!$C27)*$M27</f>
        <v>37.413422413581806</v>
      </c>
      <c r="BA27">
        <f>+SUMIFS('SU - Miktar-Grp'!AQ:AQ,'SU - Miktar-Grp'!$B:$B,'SU TEMİNİ'!$C27)*$M27</f>
        <v>25.837130282871755</v>
      </c>
      <c r="BB27">
        <f>+SUMIFS('SU - Miktar-Grp'!AR:AR,'SU - Miktar-Grp'!$B:$B,'SU TEMİNİ'!$C27)*$M27</f>
        <v>18.23155859931693</v>
      </c>
      <c r="BC27">
        <f>+SUMIFS('SU - Miktar-Grp'!AS:AS,'SU - Miktar-Grp'!$B:$B,'SU TEMİNİ'!$C27)*$M27</f>
        <v>10.456005795480046</v>
      </c>
      <c r="BD27">
        <f>+SUMIFS('SU - Miktar-Grp'!AT:AT,'SU - Miktar-Grp'!$B:$B,'SU TEMİNİ'!$C27)*$M27</f>
        <v>10.456005795480046</v>
      </c>
      <c r="BE27">
        <f>+SUMIFS('SU - Miktar-Grp'!AU:AU,'SU - Miktar-Grp'!$B:$B,'SU TEMİNİ'!$C27)*$M27</f>
        <v>8.0909568655500355</v>
      </c>
      <c r="BF27">
        <f>+SUMIFS('SU - Miktar-Grp'!AV:AV,'SU - Miktar-Grp'!$B:$B,'SU TEMİNİ'!$C27)*$M27</f>
        <v>0</v>
      </c>
      <c r="BG27">
        <f>+SUMIFS('SU - Miktar-Grp'!AW:AW,'SU - Miktar-Grp'!$B:$B,'SU TEMİNİ'!$C27)*$M27</f>
        <v>0</v>
      </c>
      <c r="BH27">
        <f>+SUMIFS('SU - Miktar-Grp'!AX:AX,'SU - Miktar-Grp'!$B:$B,'SU TEMİNİ'!$C27)*$M27</f>
        <v>0</v>
      </c>
      <c r="BI27">
        <f>+SUMIFS('SU - Miktar-Grp'!AY:AY,'SU - Miktar-Grp'!$B:$B,'SU TEMİNİ'!$C27)*$M27</f>
        <v>0</v>
      </c>
      <c r="BJ27">
        <f>+SUMIFS('SU - Miktar-Grp'!AZ:AZ,'SU - Miktar-Grp'!$B:$B,'SU TEMİNİ'!$C27)*$M27</f>
        <v>0</v>
      </c>
      <c r="BK27">
        <f>+SUMIFS('SU - Miktar-Grp'!BA:BA,'SU - Miktar-Grp'!$B:$B,'SU TEMİNİ'!$C27)*$M27</f>
        <v>0</v>
      </c>
      <c r="BL27">
        <f>+SUMIFS('SU - Miktar-Grp'!BB:BB,'SU - Miktar-Grp'!$B:$B,'SU TEMİNİ'!$C27)*$M27</f>
        <v>0</v>
      </c>
      <c r="BM27">
        <f>+SUMIFS('SU - Miktar-Grp'!BC:BC,'SU - Miktar-Grp'!$B:$B,'SU TEMİNİ'!$C27)*$M27</f>
        <v>0</v>
      </c>
      <c r="BN27">
        <f>+SUMIFS('SU - Miktar-Grp'!BD:BD,'SU - Miktar-Grp'!$B:$B,'SU TEMİNİ'!$C27)*$M27</f>
        <v>0</v>
      </c>
      <c r="BO27">
        <f>+SUMIFS('SU - Miktar-Grp'!BE:BE,'SU - Miktar-Grp'!$B:$B,'SU TEMİNİ'!$C27)*$M27</f>
        <v>0</v>
      </c>
      <c r="BP27">
        <f>+SUMIFS('SU - Miktar-Grp'!BF:BF,'SU - Miktar-Grp'!$B:$B,'SU TEMİNİ'!$C27)*$M27</f>
        <v>0</v>
      </c>
      <c r="BQ27">
        <f>+SUMIFS('SU - Miktar-Grp'!BG:BG,'SU - Miktar-Grp'!$B:$B,'SU TEMİNİ'!$C27)*$M27</f>
        <v>0</v>
      </c>
      <c r="BR27">
        <f>+SUMIFS('SU - Miktar-Grp'!BH:BH,'SU - Miktar-Grp'!$B:$B,'SU TEMİNİ'!$C27)*$M27</f>
        <v>0</v>
      </c>
      <c r="BS27">
        <f>+SUMIFS('SU - Miktar-Grp'!BI:BI,'SU - Miktar-Grp'!$B:$B,'SU TEMİNİ'!$C27)*$M27</f>
        <v>0</v>
      </c>
      <c r="BT27">
        <f>+SUMIFS('SU - Miktar-Grp'!BJ:BJ,'SU - Miktar-Grp'!$B:$B,'SU TEMİNİ'!$C27)*$M27</f>
        <v>0</v>
      </c>
      <c r="BU27">
        <f>+SUMIFS('SU - Miktar-Grp'!BK:BK,'SU - Miktar-Grp'!$B:$B,'SU TEMİNİ'!$C27)*$M27</f>
        <v>0</v>
      </c>
      <c r="BV27">
        <f>+SUMIFS('SU - Miktar-Grp'!BL:BL,'SU - Miktar-Grp'!$B:$B,'SU TEMİNİ'!$C27)*$M27</f>
        <v>0</v>
      </c>
      <c r="BW27">
        <f>+SUMIFS('SU - Miktar-Grp'!BM:BM,'SU - Miktar-Grp'!$B:$B,'SU TEMİNİ'!$C27)*$M27</f>
        <v>0</v>
      </c>
      <c r="BX27">
        <f>+SUMIFS('SU - Miktar-Grp'!BN:BN,'SU - Miktar-Grp'!$B:$B,'SU TEMİNİ'!$C27)*$M27</f>
        <v>0</v>
      </c>
    </row>
    <row r="28" spans="1:76">
      <c r="A28" s="3" t="s">
        <v>66</v>
      </c>
      <c r="B28" t="s">
        <v>5272</v>
      </c>
      <c r="C28" t="s">
        <v>2655</v>
      </c>
      <c r="D28" t="s">
        <v>4967</v>
      </c>
      <c r="E28" t="s">
        <v>4968</v>
      </c>
      <c r="F28" t="s">
        <v>4973</v>
      </c>
      <c r="G28" t="s">
        <v>4983</v>
      </c>
      <c r="H28" t="s">
        <v>4984</v>
      </c>
      <c r="L28" s="126">
        <f t="shared" si="1"/>
        <v>28800.765000000014</v>
      </c>
      <c r="M28">
        <v>0.10500000000000001</v>
      </c>
      <c r="N28">
        <f>+SUMIFS('SU - Miktar-Grp'!D:D,'SU - Miktar-Grp'!$B:$B,'SU TEMİNİ'!$C28)*$M28</f>
        <v>0</v>
      </c>
      <c r="O28">
        <f>+SUMIFS('SU - Miktar-Grp'!E:E,'SU - Miktar-Grp'!$B:$B,'SU TEMİNİ'!$C28)*$M28</f>
        <v>0</v>
      </c>
      <c r="P28">
        <f>+SUMIFS('SU - Miktar-Grp'!F:F,'SU - Miktar-Grp'!$B:$B,'SU TEMİNİ'!$C28)*$M28</f>
        <v>0</v>
      </c>
      <c r="Q28">
        <f>+SUMIFS('SU - Miktar-Grp'!G:G,'SU - Miktar-Grp'!$B:$B,'SU TEMİNİ'!$C28)*$M28</f>
        <v>0</v>
      </c>
      <c r="R28">
        <f>+SUMIFS('SU - Miktar-Grp'!H:H,'SU - Miktar-Grp'!$B:$B,'SU TEMİNİ'!$C28)*$M28</f>
        <v>0</v>
      </c>
      <c r="S28">
        <f>+SUMIFS('SU - Miktar-Grp'!I:I,'SU - Miktar-Grp'!$B:$B,'SU TEMİNİ'!$C28)*$M28</f>
        <v>0</v>
      </c>
      <c r="T28">
        <f>+SUMIFS('SU - Miktar-Grp'!J:J,'SU - Miktar-Grp'!$B:$B,'SU TEMİNİ'!$C28)*$M28</f>
        <v>0</v>
      </c>
      <c r="U28">
        <f>+SUMIFS('SU - Miktar-Grp'!K:K,'SU - Miktar-Grp'!$B:$B,'SU TEMİNİ'!$C28)*$M28</f>
        <v>0</v>
      </c>
      <c r="V28">
        <f>+SUMIFS('SU - Miktar-Grp'!L:L,'SU - Miktar-Grp'!$B:$B,'SU TEMİNİ'!$C28)*$M28</f>
        <v>0</v>
      </c>
      <c r="W28">
        <f>+SUMIFS('SU - Miktar-Grp'!M:M,'SU - Miktar-Grp'!$B:$B,'SU TEMİNİ'!$C28)*$M28</f>
        <v>0</v>
      </c>
      <c r="X28">
        <f>+SUMIFS('SU - Miktar-Grp'!N:N,'SU - Miktar-Grp'!$B:$B,'SU TEMİNİ'!$C28)*$M28</f>
        <v>0</v>
      </c>
      <c r="Y28">
        <f>+SUMIFS('SU - Miktar-Grp'!O:O,'SU - Miktar-Grp'!$B:$B,'SU TEMİNİ'!$C28)*$M28</f>
        <v>0</v>
      </c>
      <c r="Z28">
        <f>+SUMIFS('SU - Miktar-Grp'!P:P,'SU - Miktar-Grp'!$B:$B,'SU TEMİNİ'!$C28)*$M28</f>
        <v>0</v>
      </c>
      <c r="AA28">
        <f>+SUMIFS('SU - Miktar-Grp'!Q:Q,'SU - Miktar-Grp'!$B:$B,'SU TEMİNİ'!$C28)*$M28</f>
        <v>0</v>
      </c>
      <c r="AB28">
        <f>+SUMIFS('SU - Miktar-Grp'!R:R,'SU - Miktar-Grp'!$B:$B,'SU TEMİNİ'!$C28)*$M28</f>
        <v>0</v>
      </c>
      <c r="AC28">
        <f>+SUMIFS('SU - Miktar-Grp'!S:S,'SU - Miktar-Grp'!$B:$B,'SU TEMİNİ'!$C28)*$M28</f>
        <v>0</v>
      </c>
      <c r="AD28">
        <f>+SUMIFS('SU - Miktar-Grp'!T:T,'SU - Miktar-Grp'!$B:$B,'SU TEMİNİ'!$C28)*$M28</f>
        <v>0</v>
      </c>
      <c r="AE28">
        <f>+SUMIFS('SU - Miktar-Grp'!U:U,'SU - Miktar-Grp'!$B:$B,'SU TEMİNİ'!$C28)*$M28</f>
        <v>0</v>
      </c>
      <c r="AF28">
        <f>+SUMIFS('SU - Miktar-Grp'!V:V,'SU - Miktar-Grp'!$B:$B,'SU TEMİNİ'!$C28)*$M28</f>
        <v>2057.1975000000002</v>
      </c>
      <c r="AG28">
        <f>+SUMIFS('SU - Miktar-Grp'!W:W,'SU - Miktar-Grp'!$B:$B,'SU TEMİNİ'!$C28)*$M28</f>
        <v>2057.1975000000002</v>
      </c>
      <c r="AH28">
        <f>+SUMIFS('SU - Miktar-Grp'!X:X,'SU - Miktar-Grp'!$B:$B,'SU TEMİNİ'!$C28)*$M28</f>
        <v>2057.1975000000002</v>
      </c>
      <c r="AI28">
        <f>+SUMIFS('SU - Miktar-Grp'!Y:Y,'SU - Miktar-Grp'!$B:$B,'SU TEMİNİ'!$C28)*$M28</f>
        <v>2057.1975000000002</v>
      </c>
      <c r="AJ28">
        <f>+SUMIFS('SU - Miktar-Grp'!Z:Z,'SU - Miktar-Grp'!$B:$B,'SU TEMİNİ'!$C28)*$M28</f>
        <v>2057.1975000000002</v>
      </c>
      <c r="AK28">
        <f>+SUMIFS('SU - Miktar-Grp'!AA:AA,'SU - Miktar-Grp'!$B:$B,'SU TEMİNİ'!$C28)*$M28</f>
        <v>2057.1975000000002</v>
      </c>
      <c r="AL28">
        <f>+SUMIFS('SU - Miktar-Grp'!AB:AB,'SU - Miktar-Grp'!$B:$B,'SU TEMİNİ'!$C28)*$M28</f>
        <v>2057.1975000000002</v>
      </c>
      <c r="AM28">
        <f>+SUMIFS('SU - Miktar-Grp'!AC:AC,'SU - Miktar-Grp'!$B:$B,'SU TEMİNİ'!$C28)*$M28</f>
        <v>0</v>
      </c>
      <c r="AN28">
        <f>+SUMIFS('SU - Miktar-Grp'!AD:AD,'SU - Miktar-Grp'!$B:$B,'SU TEMİNİ'!$C28)*$M28</f>
        <v>0</v>
      </c>
      <c r="AO28">
        <f>+SUMIFS('SU - Miktar-Grp'!AE:AE,'SU - Miktar-Grp'!$B:$B,'SU TEMİNİ'!$C28)*$M28</f>
        <v>0</v>
      </c>
      <c r="AP28">
        <f>+SUMIFS('SU - Miktar-Grp'!AF:AF,'SU - Miktar-Grp'!$B:$B,'SU TEMİNİ'!$C28)*$M28</f>
        <v>0</v>
      </c>
      <c r="AQ28">
        <f>+SUMIFS('SU - Miktar-Grp'!AG:AG,'SU - Miktar-Grp'!$B:$B,'SU TEMİNİ'!$C28)*$M28</f>
        <v>2057.1975000000002</v>
      </c>
      <c r="AR28">
        <f>+SUMIFS('SU - Miktar-Grp'!AH:AH,'SU - Miktar-Grp'!$B:$B,'SU TEMİNİ'!$C28)*$M28</f>
        <v>2057.1975000000002</v>
      </c>
      <c r="AS28">
        <f>+SUMIFS('SU - Miktar-Grp'!AI:AI,'SU - Miktar-Grp'!$B:$B,'SU TEMİNİ'!$C28)*$M28</f>
        <v>2057.1975000000002</v>
      </c>
      <c r="AT28">
        <f>+SUMIFS('SU - Miktar-Grp'!AJ:AJ,'SU - Miktar-Grp'!$B:$B,'SU TEMİNİ'!$C28)*$M28</f>
        <v>2057.1975000000002</v>
      </c>
      <c r="AU28">
        <f>+SUMIFS('SU - Miktar-Grp'!AK:AK,'SU - Miktar-Grp'!$B:$B,'SU TEMİNİ'!$C28)*$M28</f>
        <v>2057.1975000000002</v>
      </c>
      <c r="AV28">
        <f>+SUMIFS('SU - Miktar-Grp'!AL:AL,'SU - Miktar-Grp'!$B:$B,'SU TEMİNİ'!$C28)*$M28</f>
        <v>2057.1975000000002</v>
      </c>
      <c r="AW28">
        <f>+SUMIFS('SU - Miktar-Grp'!AM:AM,'SU - Miktar-Grp'!$B:$B,'SU TEMİNİ'!$C28)*$M28</f>
        <v>2057.1975000000002</v>
      </c>
      <c r="AX28">
        <f>+SUMIFS('SU - Miktar-Grp'!AN:AN,'SU - Miktar-Grp'!$B:$B,'SU TEMİNİ'!$C28)*$M28</f>
        <v>0</v>
      </c>
      <c r="AY28">
        <f>+SUMIFS('SU - Miktar-Grp'!AO:AO,'SU - Miktar-Grp'!$B:$B,'SU TEMİNİ'!$C28)*$M28</f>
        <v>0</v>
      </c>
      <c r="AZ28">
        <f>+SUMIFS('SU - Miktar-Grp'!AP:AP,'SU - Miktar-Grp'!$B:$B,'SU TEMİNİ'!$C28)*$M28</f>
        <v>0</v>
      </c>
      <c r="BA28">
        <f>+SUMIFS('SU - Miktar-Grp'!AQ:AQ,'SU - Miktar-Grp'!$B:$B,'SU TEMİNİ'!$C28)*$M28</f>
        <v>0</v>
      </c>
      <c r="BB28">
        <f>+SUMIFS('SU - Miktar-Grp'!AR:AR,'SU - Miktar-Grp'!$B:$B,'SU TEMİNİ'!$C28)*$M28</f>
        <v>0</v>
      </c>
      <c r="BC28">
        <f>+SUMIFS('SU - Miktar-Grp'!AS:AS,'SU - Miktar-Grp'!$B:$B,'SU TEMİNİ'!$C28)*$M28</f>
        <v>0</v>
      </c>
      <c r="BD28">
        <f>+SUMIFS('SU - Miktar-Grp'!AT:AT,'SU - Miktar-Grp'!$B:$B,'SU TEMİNİ'!$C28)*$M28</f>
        <v>0</v>
      </c>
      <c r="BE28">
        <f>+SUMIFS('SU - Miktar-Grp'!AU:AU,'SU - Miktar-Grp'!$B:$B,'SU TEMİNİ'!$C28)*$M28</f>
        <v>0</v>
      </c>
      <c r="BF28">
        <f>+SUMIFS('SU - Miktar-Grp'!AV:AV,'SU - Miktar-Grp'!$B:$B,'SU TEMİNİ'!$C28)*$M28</f>
        <v>0</v>
      </c>
      <c r="BG28">
        <f>+SUMIFS('SU - Miktar-Grp'!AW:AW,'SU - Miktar-Grp'!$B:$B,'SU TEMİNİ'!$C28)*$M28</f>
        <v>0</v>
      </c>
      <c r="BH28">
        <f>+SUMIFS('SU - Miktar-Grp'!AX:AX,'SU - Miktar-Grp'!$B:$B,'SU TEMİNİ'!$C28)*$M28</f>
        <v>0</v>
      </c>
      <c r="BI28">
        <f>+SUMIFS('SU - Miktar-Grp'!AY:AY,'SU - Miktar-Grp'!$B:$B,'SU TEMİNİ'!$C28)*$M28</f>
        <v>0</v>
      </c>
      <c r="BJ28">
        <f>+SUMIFS('SU - Miktar-Grp'!AZ:AZ,'SU - Miktar-Grp'!$B:$B,'SU TEMİNİ'!$C28)*$M28</f>
        <v>0</v>
      </c>
      <c r="BK28">
        <f>+SUMIFS('SU - Miktar-Grp'!BA:BA,'SU - Miktar-Grp'!$B:$B,'SU TEMİNİ'!$C28)*$M28</f>
        <v>0</v>
      </c>
      <c r="BL28">
        <f>+SUMIFS('SU - Miktar-Grp'!BB:BB,'SU - Miktar-Grp'!$B:$B,'SU TEMİNİ'!$C28)*$M28</f>
        <v>0</v>
      </c>
      <c r="BM28">
        <f>+SUMIFS('SU - Miktar-Grp'!BC:BC,'SU - Miktar-Grp'!$B:$B,'SU TEMİNİ'!$C28)*$M28</f>
        <v>0</v>
      </c>
      <c r="BN28">
        <f>+SUMIFS('SU - Miktar-Grp'!BD:BD,'SU - Miktar-Grp'!$B:$B,'SU TEMİNİ'!$C28)*$M28</f>
        <v>0</v>
      </c>
      <c r="BO28">
        <f>+SUMIFS('SU - Miktar-Grp'!BE:BE,'SU - Miktar-Grp'!$B:$B,'SU TEMİNİ'!$C28)*$M28</f>
        <v>0</v>
      </c>
      <c r="BP28">
        <f>+SUMIFS('SU - Miktar-Grp'!BF:BF,'SU - Miktar-Grp'!$B:$B,'SU TEMİNİ'!$C28)*$M28</f>
        <v>0</v>
      </c>
      <c r="BQ28">
        <f>+SUMIFS('SU - Miktar-Grp'!BG:BG,'SU - Miktar-Grp'!$B:$B,'SU TEMİNİ'!$C28)*$M28</f>
        <v>0</v>
      </c>
      <c r="BR28">
        <f>+SUMIFS('SU - Miktar-Grp'!BH:BH,'SU - Miktar-Grp'!$B:$B,'SU TEMİNİ'!$C28)*$M28</f>
        <v>0</v>
      </c>
      <c r="BS28">
        <f>+SUMIFS('SU - Miktar-Grp'!BI:BI,'SU - Miktar-Grp'!$B:$B,'SU TEMİNİ'!$C28)*$M28</f>
        <v>0</v>
      </c>
      <c r="BT28">
        <f>+SUMIFS('SU - Miktar-Grp'!BJ:BJ,'SU - Miktar-Grp'!$B:$B,'SU TEMİNİ'!$C28)*$M28</f>
        <v>0</v>
      </c>
      <c r="BU28">
        <f>+SUMIFS('SU - Miktar-Grp'!BK:BK,'SU - Miktar-Grp'!$B:$B,'SU TEMİNİ'!$C28)*$M28</f>
        <v>0</v>
      </c>
      <c r="BV28">
        <f>+SUMIFS('SU - Miktar-Grp'!BL:BL,'SU - Miktar-Grp'!$B:$B,'SU TEMİNİ'!$C28)*$M28</f>
        <v>0</v>
      </c>
      <c r="BW28">
        <f>+SUMIFS('SU - Miktar-Grp'!BM:BM,'SU - Miktar-Grp'!$B:$B,'SU TEMİNİ'!$C28)*$M28</f>
        <v>0</v>
      </c>
      <c r="BX28">
        <f>+SUMIFS('SU - Miktar-Grp'!BN:BN,'SU - Miktar-Grp'!$B:$B,'SU TEMİNİ'!$C28)*$M28</f>
        <v>0</v>
      </c>
    </row>
    <row r="30" spans="1:76">
      <c r="A30" t="s">
        <v>66</v>
      </c>
      <c r="B30" t="s">
        <v>5272</v>
      </c>
      <c r="C30" t="s">
        <v>2655</v>
      </c>
      <c r="D30" t="s">
        <v>4967</v>
      </c>
      <c r="E30" t="s">
        <v>4968</v>
      </c>
      <c r="F30" t="s">
        <v>4973</v>
      </c>
      <c r="G30" t="s">
        <v>4983</v>
      </c>
      <c r="H30" t="s">
        <v>4984</v>
      </c>
      <c r="N30">
        <f>+SUM(N2:N28)</f>
        <v>0</v>
      </c>
      <c r="O30" s="126">
        <f t="shared" ref="O30:BX30" si="2">+SUM(O2:O28)</f>
        <v>0</v>
      </c>
      <c r="P30" s="126">
        <f t="shared" si="2"/>
        <v>15729.012752505398</v>
      </c>
      <c r="Q30" s="126">
        <f t="shared" si="2"/>
        <v>23395.977099889933</v>
      </c>
      <c r="R30" s="126">
        <f t="shared" si="2"/>
        <v>32133.654403171669</v>
      </c>
      <c r="S30" s="126">
        <f t="shared" si="2"/>
        <v>48602.124820861485</v>
      </c>
      <c r="T30" s="126">
        <f t="shared" si="2"/>
        <v>44456.735060565778</v>
      </c>
      <c r="U30" s="126">
        <f t="shared" si="2"/>
        <v>43364.563994685341</v>
      </c>
      <c r="V30" s="126">
        <f t="shared" si="2"/>
        <v>43064.739869144352</v>
      </c>
      <c r="W30" s="126">
        <f t="shared" si="2"/>
        <v>38342.549862292341</v>
      </c>
      <c r="X30" s="126">
        <f t="shared" si="2"/>
        <v>62143.601094225727</v>
      </c>
      <c r="Y30" s="126">
        <f t="shared" si="2"/>
        <v>157310.97464066811</v>
      </c>
      <c r="Z30" s="126">
        <f t="shared" si="2"/>
        <v>156521.80758756437</v>
      </c>
      <c r="AA30" s="126">
        <f t="shared" si="2"/>
        <v>145261.27899169459</v>
      </c>
      <c r="AB30" s="126">
        <f t="shared" si="2"/>
        <v>145358.21764806507</v>
      </c>
      <c r="AC30" s="126">
        <f t="shared" si="2"/>
        <v>157313.00295431091</v>
      </c>
      <c r="AD30" s="126">
        <f t="shared" si="2"/>
        <v>204951.09675538837</v>
      </c>
      <c r="AE30" s="126">
        <f t="shared" si="2"/>
        <v>235213.21888185904</v>
      </c>
      <c r="AF30" s="126">
        <f t="shared" si="2"/>
        <v>304519.48037634837</v>
      </c>
      <c r="AG30" s="126">
        <f t="shared" si="2"/>
        <v>320256.52203040797</v>
      </c>
      <c r="AH30" s="126">
        <f t="shared" si="2"/>
        <v>355138.31734687363</v>
      </c>
      <c r="AI30" s="126">
        <f t="shared" si="2"/>
        <v>353235.91563796805</v>
      </c>
      <c r="AJ30" s="126">
        <f t="shared" si="2"/>
        <v>352898.71320275462</v>
      </c>
      <c r="AK30" s="126">
        <f t="shared" si="2"/>
        <v>322613.69128603017</v>
      </c>
      <c r="AL30" s="126">
        <f t="shared" si="2"/>
        <v>319483.36828838027</v>
      </c>
      <c r="AM30" s="126">
        <f t="shared" si="2"/>
        <v>222399.96519195463</v>
      </c>
      <c r="AN30" s="126">
        <f t="shared" si="2"/>
        <v>161868.02230086588</v>
      </c>
      <c r="AO30" s="126">
        <f t="shared" si="2"/>
        <v>161120.24902592626</v>
      </c>
      <c r="AP30" s="126">
        <f t="shared" si="2"/>
        <v>135484.07561353894</v>
      </c>
      <c r="AQ30" s="126">
        <f t="shared" si="2"/>
        <v>188003.73299065049</v>
      </c>
      <c r="AR30" s="126">
        <f t="shared" si="2"/>
        <v>231611.49938141691</v>
      </c>
      <c r="AS30" s="126">
        <f t="shared" si="2"/>
        <v>306840.21528159082</v>
      </c>
      <c r="AT30" s="126">
        <f t="shared" si="2"/>
        <v>305942.48288999876</v>
      </c>
      <c r="AU30" s="126">
        <f t="shared" si="2"/>
        <v>306077.83390067262</v>
      </c>
      <c r="AV30" s="126">
        <f t="shared" si="2"/>
        <v>303198.30046217097</v>
      </c>
      <c r="AW30" s="126">
        <f t="shared" si="2"/>
        <v>299357.78160053329</v>
      </c>
      <c r="AX30" s="126">
        <f t="shared" si="2"/>
        <v>235883.23305806716</v>
      </c>
      <c r="AY30" s="126">
        <f t="shared" si="2"/>
        <v>140861.98745466204</v>
      </c>
      <c r="AZ30" s="126">
        <f t="shared" si="2"/>
        <v>47267.599913317965</v>
      </c>
      <c r="BA30" s="126">
        <f t="shared" si="2"/>
        <v>5890.6994622669299</v>
      </c>
      <c r="BB30" s="126">
        <f t="shared" si="2"/>
        <v>5358.1379546747557</v>
      </c>
      <c r="BC30" s="126">
        <f t="shared" si="2"/>
        <v>6784.6163490569925</v>
      </c>
      <c r="BD30" s="126">
        <f t="shared" si="2"/>
        <v>7399.6629930569925</v>
      </c>
      <c r="BE30" s="126">
        <f t="shared" si="2"/>
        <v>7104.735518151243</v>
      </c>
      <c r="BF30" s="126">
        <f t="shared" si="2"/>
        <v>6307.3555200000001</v>
      </c>
      <c r="BG30" s="126">
        <f t="shared" si="2"/>
        <v>6321.5280000000002</v>
      </c>
      <c r="BH30" s="126">
        <f t="shared" si="2"/>
        <v>6215.0433360000006</v>
      </c>
      <c r="BI30" s="126">
        <f t="shared" si="2"/>
        <v>6140.1175200000007</v>
      </c>
      <c r="BJ30" s="126">
        <f t="shared" si="2"/>
        <v>5047.5807359999999</v>
      </c>
      <c r="BK30" s="126">
        <f t="shared" si="2"/>
        <v>4041.4447800000003</v>
      </c>
      <c r="BL30" s="126">
        <f t="shared" si="2"/>
        <v>1441.4889599999999</v>
      </c>
      <c r="BM30" s="126">
        <f t="shared" si="2"/>
        <v>0</v>
      </c>
      <c r="BN30" s="126">
        <f t="shared" si="2"/>
        <v>0</v>
      </c>
      <c r="BO30" s="126">
        <f t="shared" si="2"/>
        <v>0</v>
      </c>
      <c r="BP30" s="126">
        <f t="shared" si="2"/>
        <v>0</v>
      </c>
      <c r="BQ30" s="126">
        <f t="shared" si="2"/>
        <v>0</v>
      </c>
      <c r="BR30" s="126">
        <f t="shared" si="2"/>
        <v>0</v>
      </c>
      <c r="BS30" s="126">
        <f t="shared" si="2"/>
        <v>0</v>
      </c>
      <c r="BT30" s="126">
        <f t="shared" si="2"/>
        <v>0</v>
      </c>
      <c r="BU30" s="126">
        <f t="shared" si="2"/>
        <v>0</v>
      </c>
      <c r="BV30" s="126">
        <f t="shared" si="2"/>
        <v>0</v>
      </c>
      <c r="BW30" s="126">
        <f t="shared" si="2"/>
        <v>0</v>
      </c>
      <c r="BX30" s="126">
        <f t="shared" si="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19D4-2461-4EB4-8EAD-A7E458203CAB}">
  <sheetPr codeName="Sheet14">
    <tabColor rgb="FF92D050"/>
  </sheetPr>
  <dimension ref="A1:BX6"/>
  <sheetViews>
    <sheetView topLeftCell="L1" workbookViewId="0">
      <selection activeCell="B5" sqref="B5"/>
    </sheetView>
  </sheetViews>
  <sheetFormatPr defaultRowHeight="14.5"/>
  <cols>
    <col min="1" max="1" width="9.26953125" bestFit="1" customWidth="1"/>
    <col min="2" max="2" width="18.7265625" bestFit="1" customWidth="1"/>
    <col min="3" max="3" width="18.54296875" bestFit="1" customWidth="1"/>
    <col min="4" max="5" width="12.54296875" bestFit="1" customWidth="1"/>
    <col min="6" max="6" width="6.7265625" bestFit="1" customWidth="1"/>
    <col min="7" max="7" width="21.81640625" bestFit="1" customWidth="1"/>
    <col min="9" max="9" width="10.26953125" bestFit="1" customWidth="1"/>
    <col min="10" max="10" width="13.36328125" bestFit="1" customWidth="1"/>
    <col min="11" max="11" width="10.26953125" bestFit="1" customWidth="1"/>
    <col min="12" max="12" width="14.7265625" bestFit="1" customWidth="1"/>
    <col min="13" max="13" width="11.81640625" bestFit="1" customWidth="1"/>
  </cols>
  <sheetData>
    <row r="1" spans="1:76">
      <c r="A1" s="1" t="s">
        <v>0</v>
      </c>
      <c r="B1" s="1" t="s">
        <v>1</v>
      </c>
      <c r="C1" s="1" t="s">
        <v>4966</v>
      </c>
      <c r="D1" s="1" t="s">
        <v>3</v>
      </c>
      <c r="E1" s="1" t="s">
        <v>5162</v>
      </c>
      <c r="F1" s="90" t="s">
        <v>4</v>
      </c>
      <c r="G1" s="1" t="s">
        <v>5163</v>
      </c>
      <c r="H1" s="1" t="s">
        <v>31</v>
      </c>
      <c r="I1" s="1" t="s">
        <v>65</v>
      </c>
      <c r="J1" s="5" t="s">
        <v>35</v>
      </c>
      <c r="K1" s="5" t="s">
        <v>36</v>
      </c>
      <c r="L1" s="5" t="s">
        <v>67</v>
      </c>
      <c r="M1" s="5" t="s">
        <v>37</v>
      </c>
      <c r="N1" s="2">
        <v>45200</v>
      </c>
      <c r="O1" s="2">
        <f>+EDATE(N1,1)</f>
        <v>45231</v>
      </c>
      <c r="P1" s="2">
        <f t="shared" ref="P1:BX1" si="0">+EDATE(O1,1)</f>
        <v>45261</v>
      </c>
      <c r="Q1" s="2">
        <f t="shared" si="0"/>
        <v>45292</v>
      </c>
      <c r="R1" s="2">
        <f t="shared" si="0"/>
        <v>45323</v>
      </c>
      <c r="S1" s="2">
        <f t="shared" si="0"/>
        <v>45352</v>
      </c>
      <c r="T1" s="2">
        <f t="shared" si="0"/>
        <v>45383</v>
      </c>
      <c r="U1" s="2">
        <f t="shared" si="0"/>
        <v>45413</v>
      </c>
      <c r="V1" s="2">
        <f t="shared" si="0"/>
        <v>45444</v>
      </c>
      <c r="W1" s="7">
        <v>45474</v>
      </c>
      <c r="X1" s="8">
        <f t="shared" si="0"/>
        <v>45505</v>
      </c>
      <c r="Y1" s="2">
        <f t="shared" si="0"/>
        <v>45536</v>
      </c>
      <c r="Z1" s="2">
        <f t="shared" si="0"/>
        <v>45566</v>
      </c>
      <c r="AA1" s="2">
        <f t="shared" si="0"/>
        <v>45597</v>
      </c>
      <c r="AB1" s="2">
        <f t="shared" si="0"/>
        <v>45627</v>
      </c>
      <c r="AC1" s="2">
        <f t="shared" si="0"/>
        <v>45658</v>
      </c>
      <c r="AD1" s="2">
        <f t="shared" si="0"/>
        <v>45689</v>
      </c>
      <c r="AE1" s="2">
        <f t="shared" si="0"/>
        <v>45717</v>
      </c>
      <c r="AF1" s="2">
        <f t="shared" si="0"/>
        <v>45748</v>
      </c>
      <c r="AG1" s="2">
        <f t="shared" si="0"/>
        <v>45778</v>
      </c>
      <c r="AH1" s="2">
        <f t="shared" si="0"/>
        <v>45809</v>
      </c>
      <c r="AI1" s="2">
        <f t="shared" si="0"/>
        <v>45839</v>
      </c>
      <c r="AJ1" s="2">
        <f t="shared" si="0"/>
        <v>45870</v>
      </c>
      <c r="AK1" s="2">
        <f t="shared" si="0"/>
        <v>45901</v>
      </c>
      <c r="AL1" s="2">
        <f t="shared" si="0"/>
        <v>45931</v>
      </c>
      <c r="AM1" s="2">
        <f t="shared" si="0"/>
        <v>45962</v>
      </c>
      <c r="AN1" s="2">
        <f t="shared" si="0"/>
        <v>45992</v>
      </c>
      <c r="AO1" s="2">
        <f t="shared" si="0"/>
        <v>46023</v>
      </c>
      <c r="AP1" s="2">
        <f t="shared" si="0"/>
        <v>46054</v>
      </c>
      <c r="AQ1" s="2">
        <f t="shared" si="0"/>
        <v>46082</v>
      </c>
      <c r="AR1" s="2">
        <f t="shared" si="0"/>
        <v>46113</v>
      </c>
      <c r="AS1" s="2">
        <f t="shared" si="0"/>
        <v>46143</v>
      </c>
      <c r="AT1" s="2">
        <f t="shared" si="0"/>
        <v>46174</v>
      </c>
      <c r="AU1" s="2">
        <f t="shared" si="0"/>
        <v>46204</v>
      </c>
      <c r="AV1" s="2">
        <f t="shared" si="0"/>
        <v>46235</v>
      </c>
      <c r="AW1" s="2">
        <f t="shared" si="0"/>
        <v>46266</v>
      </c>
      <c r="AX1" s="2">
        <f t="shared" si="0"/>
        <v>46296</v>
      </c>
      <c r="AY1" s="2">
        <f t="shared" si="0"/>
        <v>46327</v>
      </c>
      <c r="AZ1" s="2">
        <f t="shared" si="0"/>
        <v>46357</v>
      </c>
      <c r="BA1" s="2">
        <f t="shared" si="0"/>
        <v>46388</v>
      </c>
      <c r="BB1" s="2">
        <f t="shared" si="0"/>
        <v>46419</v>
      </c>
      <c r="BC1" s="2">
        <f t="shared" si="0"/>
        <v>46447</v>
      </c>
      <c r="BD1" s="2">
        <f t="shared" si="0"/>
        <v>46478</v>
      </c>
      <c r="BE1" s="2">
        <f t="shared" si="0"/>
        <v>46508</v>
      </c>
      <c r="BF1" s="2">
        <f t="shared" si="0"/>
        <v>46539</v>
      </c>
      <c r="BG1" s="2">
        <f t="shared" si="0"/>
        <v>46569</v>
      </c>
      <c r="BH1" s="2">
        <f t="shared" si="0"/>
        <v>46600</v>
      </c>
      <c r="BI1" s="2">
        <f t="shared" si="0"/>
        <v>46631</v>
      </c>
      <c r="BJ1" s="2">
        <f t="shared" si="0"/>
        <v>46661</v>
      </c>
      <c r="BK1" s="2">
        <f t="shared" si="0"/>
        <v>46692</v>
      </c>
      <c r="BL1" s="2">
        <f t="shared" si="0"/>
        <v>46722</v>
      </c>
      <c r="BM1" s="2">
        <f t="shared" si="0"/>
        <v>46753</v>
      </c>
      <c r="BN1" s="2">
        <f t="shared" si="0"/>
        <v>46784</v>
      </c>
      <c r="BO1" s="2">
        <f t="shared" si="0"/>
        <v>46813</v>
      </c>
      <c r="BP1" s="2">
        <f t="shared" si="0"/>
        <v>46844</v>
      </c>
      <c r="BQ1" s="2">
        <f t="shared" si="0"/>
        <v>46874</v>
      </c>
      <c r="BR1" s="2">
        <f t="shared" si="0"/>
        <v>46905</v>
      </c>
      <c r="BS1" s="2">
        <f t="shared" si="0"/>
        <v>46935</v>
      </c>
      <c r="BT1" s="2">
        <f t="shared" si="0"/>
        <v>46966</v>
      </c>
      <c r="BU1" s="2">
        <f t="shared" si="0"/>
        <v>46997</v>
      </c>
      <c r="BV1" s="2">
        <f t="shared" si="0"/>
        <v>47027</v>
      </c>
      <c r="BW1" s="2">
        <f t="shared" si="0"/>
        <v>47058</v>
      </c>
      <c r="BX1" s="2">
        <f t="shared" si="0"/>
        <v>47088</v>
      </c>
    </row>
    <row r="2" spans="1:76">
      <c r="A2" t="s">
        <v>66</v>
      </c>
      <c r="B2" t="s">
        <v>5336</v>
      </c>
      <c r="C2" t="s">
        <v>2617</v>
      </c>
      <c r="D2" t="s">
        <v>4967</v>
      </c>
      <c r="E2" t="s">
        <v>4968</v>
      </c>
      <c r="F2" t="s">
        <v>4973</v>
      </c>
      <c r="G2" t="s">
        <v>4983</v>
      </c>
      <c r="H2" t="s">
        <v>4984</v>
      </c>
      <c r="M2">
        <v>1.05</v>
      </c>
      <c r="N2">
        <v>0</v>
      </c>
      <c r="O2">
        <v>0</v>
      </c>
      <c r="P2">
        <v>0</v>
      </c>
      <c r="Q2">
        <v>0</v>
      </c>
      <c r="R2">
        <v>0</v>
      </c>
      <c r="S2">
        <v>0</v>
      </c>
      <c r="T2">
        <v>0</v>
      </c>
      <c r="U2">
        <v>0</v>
      </c>
      <c r="V2">
        <v>0</v>
      </c>
      <c r="W2">
        <v>0</v>
      </c>
      <c r="X2">
        <v>21020.196390436708</v>
      </c>
      <c r="Y2">
        <v>52550.490976091773</v>
      </c>
      <c r="Z2">
        <v>52550.490976091773</v>
      </c>
      <c r="AA2">
        <v>52550.490976091773</v>
      </c>
      <c r="AB2">
        <v>52550.490976091773</v>
      </c>
      <c r="AC2">
        <v>52550.490976091773</v>
      </c>
      <c r="AD2">
        <v>78825.736464137663</v>
      </c>
      <c r="AE2">
        <v>78825.736464137663</v>
      </c>
      <c r="AF2">
        <v>131376.22744022944</v>
      </c>
      <c r="AG2">
        <v>131376.22744022944</v>
      </c>
      <c r="AH2">
        <v>157651.47292827533</v>
      </c>
      <c r="AI2">
        <v>157651.47292827533</v>
      </c>
      <c r="AJ2">
        <v>157651.47292827533</v>
      </c>
      <c r="AK2">
        <v>131376.22744022944</v>
      </c>
      <c r="AL2">
        <v>131376.22744022944</v>
      </c>
      <c r="AM2">
        <v>78825.736464137663</v>
      </c>
      <c r="AN2">
        <v>52550.490976091773</v>
      </c>
      <c r="AO2">
        <v>63060.58917131013</v>
      </c>
      <c r="AP2">
        <v>63060.58917131013</v>
      </c>
      <c r="AQ2">
        <v>89335.834659356013</v>
      </c>
      <c r="AR2">
        <v>115611.0801474019</v>
      </c>
      <c r="AS2">
        <v>168161.57112349366</v>
      </c>
      <c r="AT2">
        <v>168161.57112349366</v>
      </c>
      <c r="AU2">
        <v>168161.57112349366</v>
      </c>
      <c r="AV2">
        <v>168161.57112349366</v>
      </c>
      <c r="AW2">
        <v>168161.57112349366</v>
      </c>
      <c r="AX2">
        <v>141886.32563544781</v>
      </c>
      <c r="AY2">
        <v>79096.89699757428</v>
      </c>
      <c r="AZ2">
        <v>18314.897114987507</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row>
    <row r="3" spans="1:76">
      <c r="A3" t="s">
        <v>66</v>
      </c>
      <c r="B3" t="s">
        <v>5336</v>
      </c>
      <c r="C3" t="s">
        <v>2623</v>
      </c>
      <c r="D3" t="s">
        <v>4967</v>
      </c>
      <c r="E3" t="s">
        <v>4968</v>
      </c>
      <c r="F3" t="s">
        <v>4973</v>
      </c>
      <c r="G3" t="s">
        <v>4983</v>
      </c>
      <c r="H3" t="s">
        <v>4984</v>
      </c>
      <c r="M3">
        <v>1.1000000000000001</v>
      </c>
      <c r="N3">
        <v>0</v>
      </c>
      <c r="O3">
        <v>0</v>
      </c>
      <c r="P3">
        <v>0</v>
      </c>
      <c r="Q3">
        <v>0</v>
      </c>
      <c r="R3">
        <v>0</v>
      </c>
      <c r="S3">
        <v>0</v>
      </c>
      <c r="T3">
        <v>0</v>
      </c>
      <c r="U3">
        <v>0</v>
      </c>
      <c r="V3">
        <v>0</v>
      </c>
      <c r="W3">
        <v>0</v>
      </c>
      <c r="X3">
        <v>0</v>
      </c>
      <c r="Y3">
        <v>0</v>
      </c>
      <c r="Z3">
        <v>0</v>
      </c>
      <c r="AA3">
        <v>0</v>
      </c>
      <c r="AB3">
        <v>0</v>
      </c>
      <c r="AC3">
        <v>0</v>
      </c>
      <c r="AD3">
        <v>0</v>
      </c>
      <c r="AE3">
        <v>1113.75</v>
      </c>
      <c r="AF3">
        <v>1113.75</v>
      </c>
      <c r="AG3">
        <v>1113.75</v>
      </c>
      <c r="AH3">
        <v>1113.75</v>
      </c>
      <c r="AI3">
        <v>1113.75</v>
      </c>
      <c r="AJ3">
        <v>1113.75</v>
      </c>
      <c r="AK3">
        <v>1113.75</v>
      </c>
      <c r="AL3">
        <v>1113.75</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row>
    <row r="4" spans="1:76">
      <c r="A4" t="s">
        <v>66</v>
      </c>
      <c r="B4" t="s">
        <v>5336</v>
      </c>
      <c r="C4" t="s">
        <v>2629</v>
      </c>
      <c r="D4" t="s">
        <v>4967</v>
      </c>
      <c r="E4" t="s">
        <v>4968</v>
      </c>
      <c r="F4" t="s">
        <v>4973</v>
      </c>
      <c r="G4" t="s">
        <v>4983</v>
      </c>
      <c r="H4" t="s">
        <v>4984</v>
      </c>
      <c r="M4">
        <v>1.05</v>
      </c>
      <c r="N4">
        <v>0</v>
      </c>
      <c r="O4">
        <v>0</v>
      </c>
      <c r="P4">
        <v>0</v>
      </c>
      <c r="Q4">
        <v>0</v>
      </c>
      <c r="R4">
        <v>381.82765360042424</v>
      </c>
      <c r="S4">
        <v>449.48667465143171</v>
      </c>
      <c r="T4">
        <v>511.37632174814394</v>
      </c>
      <c r="U4">
        <v>0</v>
      </c>
      <c r="V4">
        <v>1522.8580500000003</v>
      </c>
      <c r="W4">
        <v>0</v>
      </c>
      <c r="X4">
        <v>2033.7887804347829</v>
      </c>
      <c r="Y4">
        <v>2033.7887804347829</v>
      </c>
      <c r="Z4">
        <v>2033.7887804347829</v>
      </c>
      <c r="AA4">
        <v>2033.7887804347829</v>
      </c>
      <c r="AB4">
        <v>2033.7887804347829</v>
      </c>
      <c r="AC4">
        <v>2033.7887804347829</v>
      </c>
      <c r="AD4">
        <v>2033.7887804347829</v>
      </c>
      <c r="AE4">
        <v>2033.7887804347829</v>
      </c>
      <c r="AF4">
        <v>2033.7887804347829</v>
      </c>
      <c r="AG4">
        <v>2033.7887804347829</v>
      </c>
      <c r="AH4">
        <v>2033.7887804347829</v>
      </c>
      <c r="AI4">
        <v>2033.7887804347829</v>
      </c>
      <c r="AJ4">
        <v>2033.7887804347829</v>
      </c>
      <c r="AK4">
        <v>2033.7887804347829</v>
      </c>
      <c r="AL4">
        <v>2033.7887804347829</v>
      </c>
      <c r="AM4">
        <v>0</v>
      </c>
      <c r="AN4">
        <v>0</v>
      </c>
      <c r="AO4">
        <v>0</v>
      </c>
      <c r="AP4">
        <v>0</v>
      </c>
      <c r="AQ4">
        <v>2033.7887804347829</v>
      </c>
      <c r="AR4">
        <v>2033.7887804347829</v>
      </c>
      <c r="AS4">
        <v>2033.7887804347829</v>
      </c>
      <c r="AT4">
        <v>2033.7887804347829</v>
      </c>
      <c r="AU4">
        <v>2033.7887804347829</v>
      </c>
      <c r="AV4">
        <v>2033.7887804347829</v>
      </c>
      <c r="AW4">
        <v>2033.7887804347829</v>
      </c>
      <c r="AX4">
        <v>2033.7887804347829</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row>
    <row r="6" spans="1:76">
      <c r="A6" t="s">
        <v>66</v>
      </c>
      <c r="B6" t="s">
        <v>5336</v>
      </c>
      <c r="D6" t="s">
        <v>4967</v>
      </c>
      <c r="E6" t="s">
        <v>4968</v>
      </c>
      <c r="F6" t="s">
        <v>4973</v>
      </c>
      <c r="G6" t="s">
        <v>4983</v>
      </c>
      <c r="H6" t="s">
        <v>4984</v>
      </c>
      <c r="N6">
        <f>+SUM(N2:N4)</f>
        <v>0</v>
      </c>
      <c r="O6">
        <f t="shared" ref="O6:BX6" si="1">+SUM(O2:O4)</f>
        <v>0</v>
      </c>
      <c r="P6">
        <f t="shared" si="1"/>
        <v>0</v>
      </c>
      <c r="Q6">
        <f t="shared" si="1"/>
        <v>0</v>
      </c>
      <c r="R6">
        <f t="shared" si="1"/>
        <v>381.82765360042424</v>
      </c>
      <c r="S6">
        <f t="shared" si="1"/>
        <v>449.48667465143171</v>
      </c>
      <c r="T6">
        <f t="shared" si="1"/>
        <v>511.37632174814394</v>
      </c>
      <c r="U6">
        <f t="shared" si="1"/>
        <v>0</v>
      </c>
      <c r="V6">
        <f t="shared" si="1"/>
        <v>1522.8580500000003</v>
      </c>
      <c r="W6">
        <f t="shared" si="1"/>
        <v>0</v>
      </c>
      <c r="X6">
        <f t="shared" si="1"/>
        <v>23053.985170871492</v>
      </c>
      <c r="Y6">
        <f t="shared" si="1"/>
        <v>54584.279756526557</v>
      </c>
      <c r="Z6">
        <f t="shared" si="1"/>
        <v>54584.279756526557</v>
      </c>
      <c r="AA6">
        <f t="shared" si="1"/>
        <v>54584.279756526557</v>
      </c>
      <c r="AB6">
        <f t="shared" si="1"/>
        <v>54584.279756526557</v>
      </c>
      <c r="AC6">
        <f t="shared" si="1"/>
        <v>54584.279756526557</v>
      </c>
      <c r="AD6">
        <f t="shared" si="1"/>
        <v>80859.525244572447</v>
      </c>
      <c r="AE6">
        <f t="shared" si="1"/>
        <v>81973.275244572447</v>
      </c>
      <c r="AF6">
        <f t="shared" si="1"/>
        <v>134523.76622066423</v>
      </c>
      <c r="AG6">
        <f t="shared" si="1"/>
        <v>134523.76622066423</v>
      </c>
      <c r="AH6">
        <f t="shared" si="1"/>
        <v>160799.01170871011</v>
      </c>
      <c r="AI6">
        <f t="shared" si="1"/>
        <v>160799.01170871011</v>
      </c>
      <c r="AJ6">
        <f t="shared" si="1"/>
        <v>160799.01170871011</v>
      </c>
      <c r="AK6">
        <f t="shared" si="1"/>
        <v>134523.76622066423</v>
      </c>
      <c r="AL6">
        <f t="shared" si="1"/>
        <v>134523.76622066423</v>
      </c>
      <c r="AM6">
        <f t="shared" si="1"/>
        <v>78825.736464137663</v>
      </c>
      <c r="AN6">
        <f t="shared" si="1"/>
        <v>52550.490976091773</v>
      </c>
      <c r="AO6">
        <f t="shared" si="1"/>
        <v>63060.58917131013</v>
      </c>
      <c r="AP6">
        <f t="shared" si="1"/>
        <v>63060.58917131013</v>
      </c>
      <c r="AQ6">
        <f t="shared" si="1"/>
        <v>91369.623439790797</v>
      </c>
      <c r="AR6">
        <f t="shared" si="1"/>
        <v>117644.86892783668</v>
      </c>
      <c r="AS6">
        <f t="shared" si="1"/>
        <v>170195.35990392845</v>
      </c>
      <c r="AT6">
        <f t="shared" si="1"/>
        <v>170195.35990392845</v>
      </c>
      <c r="AU6">
        <f t="shared" si="1"/>
        <v>170195.35990392845</v>
      </c>
      <c r="AV6">
        <f t="shared" si="1"/>
        <v>170195.35990392845</v>
      </c>
      <c r="AW6">
        <f t="shared" si="1"/>
        <v>170195.35990392845</v>
      </c>
      <c r="AX6">
        <f t="shared" si="1"/>
        <v>143920.11441588259</v>
      </c>
      <c r="AY6">
        <f t="shared" si="1"/>
        <v>79096.89699757428</v>
      </c>
      <c r="AZ6">
        <f t="shared" si="1"/>
        <v>18314.897114987507</v>
      </c>
      <c r="BA6">
        <f t="shared" si="1"/>
        <v>0</v>
      </c>
      <c r="BB6">
        <f t="shared" si="1"/>
        <v>0</v>
      </c>
      <c r="BC6">
        <f t="shared" si="1"/>
        <v>0</v>
      </c>
      <c r="BD6">
        <f t="shared" si="1"/>
        <v>0</v>
      </c>
      <c r="BE6">
        <f t="shared" si="1"/>
        <v>0</v>
      </c>
      <c r="BF6">
        <f t="shared" si="1"/>
        <v>0</v>
      </c>
      <c r="BG6">
        <f t="shared" si="1"/>
        <v>0</v>
      </c>
      <c r="BH6">
        <f t="shared" si="1"/>
        <v>0</v>
      </c>
      <c r="BI6">
        <f t="shared" si="1"/>
        <v>0</v>
      </c>
      <c r="BJ6">
        <f t="shared" si="1"/>
        <v>0</v>
      </c>
      <c r="BK6">
        <f t="shared" si="1"/>
        <v>0</v>
      </c>
      <c r="BL6">
        <f t="shared" si="1"/>
        <v>0</v>
      </c>
      <c r="BM6">
        <f t="shared" si="1"/>
        <v>0</v>
      </c>
      <c r="BN6">
        <f t="shared" si="1"/>
        <v>0</v>
      </c>
      <c r="BO6">
        <f t="shared" si="1"/>
        <v>0</v>
      </c>
      <c r="BP6">
        <f t="shared" si="1"/>
        <v>0</v>
      </c>
      <c r="BQ6">
        <f t="shared" si="1"/>
        <v>0</v>
      </c>
      <c r="BR6">
        <f t="shared" si="1"/>
        <v>0</v>
      </c>
      <c r="BS6">
        <f t="shared" si="1"/>
        <v>0</v>
      </c>
      <c r="BT6">
        <f t="shared" si="1"/>
        <v>0</v>
      </c>
      <c r="BU6">
        <f t="shared" si="1"/>
        <v>0</v>
      </c>
      <c r="BV6">
        <f t="shared" si="1"/>
        <v>0</v>
      </c>
      <c r="BW6">
        <f t="shared" si="1"/>
        <v>0</v>
      </c>
      <c r="BX6">
        <f t="shared" si="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C1AE-A14E-4915-BA76-0C4DA038946D}">
  <sheetPr codeName="Sheet4"/>
  <dimension ref="A19:BM137"/>
  <sheetViews>
    <sheetView topLeftCell="A93" zoomScale="85" zoomScaleNormal="85" workbookViewId="0">
      <selection activeCell="J84" sqref="J84:N84 P84:AA84 AC84:AN84 AP84:BA84 BC84:BI84"/>
    </sheetView>
  </sheetViews>
  <sheetFormatPr defaultColWidth="8.54296875" defaultRowHeight="14.5" outlineLevelRow="1"/>
  <cols>
    <col min="1" max="1" width="38.54296875" customWidth="1"/>
    <col min="2" max="2" width="14.54296875" bestFit="1" customWidth="1"/>
    <col min="3" max="3" width="13.453125" bestFit="1" customWidth="1"/>
    <col min="4" max="5" width="12.453125" customWidth="1"/>
    <col min="6" max="9" width="13.453125" bestFit="1" customWidth="1"/>
    <col min="10" max="10" width="14.54296875" bestFit="1" customWidth="1"/>
    <col min="11" max="13" width="13.453125" bestFit="1" customWidth="1"/>
    <col min="14" max="14" width="14.54296875" bestFit="1" customWidth="1"/>
    <col min="15" max="15" width="14.54296875" hidden="1" customWidth="1"/>
    <col min="16" max="25" width="13" bestFit="1" customWidth="1"/>
    <col min="26" max="26" width="12.54296875" customWidth="1"/>
    <col min="27" max="27" width="13.81640625" bestFit="1" customWidth="1"/>
    <col min="28" max="28" width="13.453125" hidden="1" customWidth="1"/>
    <col min="29" max="30" width="12.453125" customWidth="1"/>
    <col min="31" max="31" width="13" bestFit="1" customWidth="1"/>
    <col min="32" max="35" width="12.453125" customWidth="1"/>
    <col min="36" max="38" width="13" bestFit="1" customWidth="1"/>
    <col min="39" max="39" width="12.54296875" customWidth="1"/>
    <col min="40" max="40" width="13.81640625" bestFit="1" customWidth="1"/>
    <col min="41" max="41" width="13.453125" hidden="1" customWidth="1"/>
    <col min="42" max="43" width="12.453125" customWidth="1"/>
    <col min="44" max="44" width="13" bestFit="1" customWidth="1"/>
    <col min="45" max="48" width="12.453125" customWidth="1"/>
    <col min="49" max="51" width="13" bestFit="1" customWidth="1"/>
    <col min="52" max="52" width="12.54296875" customWidth="1"/>
    <col min="53" max="53" width="13.81640625" bestFit="1" customWidth="1"/>
    <col min="54" max="54" width="15.54296875" hidden="1" customWidth="1"/>
    <col min="55" max="56" width="12.453125" customWidth="1"/>
    <col min="57" max="57" width="13" bestFit="1" customWidth="1"/>
    <col min="58" max="60" width="12.453125" customWidth="1"/>
    <col min="61" max="61" width="13.81640625" customWidth="1"/>
    <col min="62" max="62" width="16.1796875" customWidth="1"/>
    <col min="63" max="63" width="15.81640625" bestFit="1" customWidth="1"/>
    <col min="64" max="64" width="9.1796875" bestFit="1" customWidth="1"/>
    <col min="65" max="65" width="10.1796875" bestFit="1" customWidth="1"/>
  </cols>
  <sheetData>
    <row r="19" spans="1:65" s="97" customFormat="1" ht="31.4" customHeight="1">
      <c r="A19" s="99" t="s">
        <v>5202</v>
      </c>
      <c r="B19" s="102">
        <v>45505</v>
      </c>
      <c r="C19" s="102">
        <v>45536</v>
      </c>
      <c r="D19" s="102">
        <v>45566</v>
      </c>
      <c r="E19" s="102">
        <v>45597</v>
      </c>
      <c r="F19" s="102">
        <v>45627</v>
      </c>
      <c r="G19" s="102">
        <v>45658</v>
      </c>
      <c r="H19" s="102">
        <v>45689</v>
      </c>
      <c r="I19" s="102">
        <v>45717</v>
      </c>
      <c r="J19" s="102">
        <v>45748</v>
      </c>
      <c r="K19" s="102">
        <v>45778</v>
      </c>
      <c r="L19" s="102">
        <v>45809</v>
      </c>
      <c r="M19" s="102">
        <v>45839</v>
      </c>
      <c r="N19" s="102">
        <v>45870</v>
      </c>
      <c r="O19" s="102">
        <v>45901</v>
      </c>
      <c r="P19" s="102">
        <v>45931</v>
      </c>
      <c r="Q19" s="102">
        <v>45962</v>
      </c>
      <c r="R19" s="102">
        <v>45992</v>
      </c>
      <c r="S19" s="102">
        <v>46023</v>
      </c>
      <c r="T19" s="102">
        <v>46054</v>
      </c>
      <c r="U19" s="102">
        <v>46082</v>
      </c>
      <c r="V19" s="102">
        <v>46113</v>
      </c>
      <c r="W19" s="102">
        <v>46143</v>
      </c>
      <c r="X19" s="102">
        <v>46174</v>
      </c>
      <c r="Y19" s="102">
        <v>46204</v>
      </c>
      <c r="Z19" s="102">
        <v>46235</v>
      </c>
      <c r="AA19" s="102">
        <v>46266</v>
      </c>
      <c r="AB19" s="102">
        <v>46296</v>
      </c>
      <c r="AC19" s="102">
        <v>46327</v>
      </c>
      <c r="AD19" s="102">
        <v>46357</v>
      </c>
      <c r="AE19" s="102">
        <v>46388</v>
      </c>
      <c r="AF19" s="102">
        <v>46419</v>
      </c>
      <c r="AG19" s="102">
        <v>46447</v>
      </c>
      <c r="AH19" s="102">
        <v>46478</v>
      </c>
      <c r="AI19" s="102">
        <v>46508</v>
      </c>
      <c r="AJ19" s="102">
        <v>46539</v>
      </c>
      <c r="AK19" s="102">
        <v>46569</v>
      </c>
      <c r="AL19" s="102">
        <v>46600</v>
      </c>
      <c r="AM19" s="102">
        <v>46631</v>
      </c>
      <c r="AN19" s="102">
        <v>46661</v>
      </c>
      <c r="AO19" s="102">
        <v>46692</v>
      </c>
      <c r="AP19" s="102">
        <v>46722</v>
      </c>
      <c r="AQ19" s="102">
        <v>46753</v>
      </c>
      <c r="AR19" s="102">
        <v>46784</v>
      </c>
      <c r="AS19" s="102">
        <v>46813</v>
      </c>
      <c r="AT19" s="102">
        <v>46844</v>
      </c>
      <c r="AU19" s="102">
        <v>46874</v>
      </c>
      <c r="AV19" s="102">
        <v>46905</v>
      </c>
      <c r="AW19" s="102">
        <v>46935</v>
      </c>
    </row>
    <row r="20" spans="1:65" s="97" customFormat="1" ht="16.399999999999999" customHeight="1">
      <c r="A20" s="92" t="s">
        <v>5201</v>
      </c>
      <c r="B20" s="95">
        <v>3645188.9434607341</v>
      </c>
      <c r="C20" s="95">
        <v>1997068.5332722804</v>
      </c>
      <c r="D20" s="95">
        <v>2174022.5956440093</v>
      </c>
      <c r="E20" s="95">
        <v>1580780.3308949533</v>
      </c>
      <c r="F20" s="95">
        <v>1276578.2880309159</v>
      </c>
      <c r="G20" s="95">
        <v>653281.23675642163</v>
      </c>
      <c r="H20" s="95">
        <v>1827017.0876008461</v>
      </c>
      <c r="I20" s="95">
        <v>2661297.0927553321</v>
      </c>
      <c r="J20" s="95">
        <v>3468509.3136010212</v>
      </c>
      <c r="K20" s="95">
        <v>3556997.734893756</v>
      </c>
      <c r="L20" s="95">
        <v>3468316.8450823752</v>
      </c>
      <c r="M20" s="95">
        <v>3670963.8572417372</v>
      </c>
      <c r="N20" s="95">
        <v>3615457.7635125327</v>
      </c>
      <c r="O20" s="95">
        <v>3576465.6140579348</v>
      </c>
      <c r="P20" s="95">
        <v>3615457.7635125327</v>
      </c>
      <c r="Q20" s="95">
        <v>3225542.4570543882</v>
      </c>
      <c r="R20" s="95">
        <v>2088131.1345994733</v>
      </c>
      <c r="S20" s="95">
        <v>1395842.3310011907</v>
      </c>
      <c r="T20" s="95">
        <v>1395842.3310011907</v>
      </c>
      <c r="U20" s="95">
        <v>2261067.2434300426</v>
      </c>
      <c r="V20" s="95">
        <v>2953356.0470283255</v>
      </c>
      <c r="W20" s="95">
        <v>3220345.2912871055</v>
      </c>
      <c r="X20" s="95">
        <v>3250818.2015985362</v>
      </c>
      <c r="Y20" s="95">
        <v>3250818.2015985362</v>
      </c>
      <c r="Z20" s="95">
        <v>3250818.2015985362</v>
      </c>
      <c r="AA20" s="95">
        <v>3131350.322434362</v>
      </c>
      <c r="AB20" s="95">
        <v>2882580.7826255416</v>
      </c>
      <c r="AC20" s="95">
        <v>41737.634116056171</v>
      </c>
      <c r="AD20" s="95">
        <v>9693914.1535549816</v>
      </c>
      <c r="AE20" s="95">
        <v>0</v>
      </c>
      <c r="AF20" s="95">
        <v>0</v>
      </c>
      <c r="AG20" s="95">
        <v>0</v>
      </c>
      <c r="AH20" s="95">
        <v>0</v>
      </c>
      <c r="AI20" s="95">
        <v>0</v>
      </c>
      <c r="AJ20" s="95">
        <v>0</v>
      </c>
      <c r="AK20" s="95">
        <v>0</v>
      </c>
      <c r="AL20" s="95">
        <v>0</v>
      </c>
      <c r="AM20" s="97">
        <v>0</v>
      </c>
      <c r="AN20" s="98">
        <v>0</v>
      </c>
      <c r="AO20" s="97">
        <v>0</v>
      </c>
      <c r="AP20" s="97">
        <v>0</v>
      </c>
      <c r="AQ20" s="97">
        <v>0</v>
      </c>
      <c r="AR20" s="97">
        <v>0</v>
      </c>
      <c r="AS20" s="97">
        <v>0</v>
      </c>
      <c r="AT20" s="97">
        <v>0</v>
      </c>
      <c r="AU20" s="97">
        <v>0</v>
      </c>
      <c r="AV20" s="97">
        <v>0</v>
      </c>
      <c r="AW20" s="97">
        <v>0</v>
      </c>
      <c r="AX20" s="108">
        <f>+SUM(B20:AW20)</f>
        <v>82829567.333245665</v>
      </c>
      <c r="AY20" s="97">
        <v>35.775399999999998</v>
      </c>
      <c r="AZ20" s="97">
        <f>+AY20*AX20</f>
        <v>2963260903.1737967</v>
      </c>
    </row>
    <row r="21" spans="1:65" s="97" customFormat="1" ht="16.399999999999999" customHeight="1">
      <c r="A21" s="92"/>
      <c r="B21" s="109">
        <f t="shared" ref="B21:AW21" si="0">+B20/SUM($B$20:$AW$20)</f>
        <v>4.4008305980823934E-2</v>
      </c>
      <c r="C21" s="109">
        <f t="shared" si="0"/>
        <v>2.4110575457161759E-2</v>
      </c>
      <c r="D21" s="109">
        <f t="shared" si="0"/>
        <v>2.6246938933018094E-2</v>
      </c>
      <c r="E21" s="109">
        <f t="shared" si="0"/>
        <v>1.9084734857240628E-2</v>
      </c>
      <c r="F21" s="109">
        <f t="shared" si="0"/>
        <v>1.5412108612072033E-2</v>
      </c>
      <c r="G21" s="109">
        <f t="shared" si="0"/>
        <v>7.8870535943776597E-3</v>
      </c>
      <c r="H21" s="109">
        <f t="shared" si="0"/>
        <v>2.2057547158857709E-2</v>
      </c>
      <c r="I21" s="109">
        <f t="shared" si="0"/>
        <v>3.2129795898223359E-2</v>
      </c>
      <c r="J21" s="109">
        <f t="shared" si="0"/>
        <v>4.1875255724157942E-2</v>
      </c>
      <c r="K21" s="109">
        <f t="shared" si="0"/>
        <v>4.2943574974658456E-2</v>
      </c>
      <c r="L21" s="109">
        <f t="shared" si="0"/>
        <v>4.187293205490742E-2</v>
      </c>
      <c r="M21" s="109">
        <f t="shared" si="0"/>
        <v>4.4319486089701043E-2</v>
      </c>
      <c r="N21" s="109">
        <f t="shared" si="0"/>
        <v>4.3649361935775566E-2</v>
      </c>
      <c r="O21" s="109">
        <f t="shared" si="0"/>
        <v>4.3178610358651885E-2</v>
      </c>
      <c r="P21" s="109">
        <f t="shared" si="0"/>
        <v>4.3649361935775566E-2</v>
      </c>
      <c r="Q21" s="109">
        <f t="shared" si="0"/>
        <v>3.8941920873221056E-2</v>
      </c>
      <c r="R21" s="109">
        <f t="shared" si="0"/>
        <v>2.5209972740752817E-2</v>
      </c>
      <c r="S21" s="109">
        <f t="shared" si="0"/>
        <v>1.6851981435389383E-2</v>
      </c>
      <c r="T21" s="109">
        <f t="shared" si="0"/>
        <v>1.6851981435389383E-2</v>
      </c>
      <c r="U21" s="109">
        <f t="shared" si="0"/>
        <v>2.7297827529789695E-2</v>
      </c>
      <c r="V21" s="109">
        <f t="shared" si="0"/>
        <v>3.5655818835153133E-2</v>
      </c>
      <c r="W21" s="109">
        <f t="shared" si="0"/>
        <v>3.8879175576648724E-2</v>
      </c>
      <c r="X21" s="109">
        <f t="shared" si="0"/>
        <v>3.9247074520136253E-2</v>
      </c>
      <c r="Y21" s="109">
        <f t="shared" si="0"/>
        <v>3.9247074520136253E-2</v>
      </c>
      <c r="Z21" s="109">
        <f t="shared" si="0"/>
        <v>3.9247074520136253E-2</v>
      </c>
      <c r="AA21" s="109">
        <f t="shared" si="0"/>
        <v>3.7804740785812585E-2</v>
      </c>
      <c r="AB21" s="109">
        <f t="shared" si="0"/>
        <v>3.4801350235576414E-2</v>
      </c>
      <c r="AC21" s="109">
        <f t="shared" si="0"/>
        <v>5.0389776815004271E-4</v>
      </c>
      <c r="AD21" s="109">
        <f t="shared" si="0"/>
        <v>0.11703446565830476</v>
      </c>
      <c r="AE21" s="109">
        <f t="shared" si="0"/>
        <v>0</v>
      </c>
      <c r="AF21" s="109">
        <f t="shared" si="0"/>
        <v>0</v>
      </c>
      <c r="AG21" s="109">
        <f t="shared" si="0"/>
        <v>0</v>
      </c>
      <c r="AH21" s="109">
        <f t="shared" si="0"/>
        <v>0</v>
      </c>
      <c r="AI21" s="109">
        <f t="shared" si="0"/>
        <v>0</v>
      </c>
      <c r="AJ21" s="109">
        <f t="shared" si="0"/>
        <v>0</v>
      </c>
      <c r="AK21" s="109">
        <f t="shared" si="0"/>
        <v>0</v>
      </c>
      <c r="AL21" s="109">
        <f t="shared" si="0"/>
        <v>0</v>
      </c>
      <c r="AM21" s="110">
        <f t="shared" si="0"/>
        <v>0</v>
      </c>
      <c r="AN21" s="110">
        <f t="shared" si="0"/>
        <v>0</v>
      </c>
      <c r="AO21" s="110">
        <f t="shared" si="0"/>
        <v>0</v>
      </c>
      <c r="AP21" s="110">
        <f t="shared" si="0"/>
        <v>0</v>
      </c>
      <c r="AQ21" s="110">
        <f t="shared" si="0"/>
        <v>0</v>
      </c>
      <c r="AR21" s="110">
        <f t="shared" si="0"/>
        <v>0</v>
      </c>
      <c r="AS21" s="110">
        <f t="shared" si="0"/>
        <v>0</v>
      </c>
      <c r="AT21" s="110">
        <f t="shared" si="0"/>
        <v>0</v>
      </c>
      <c r="AU21" s="110">
        <f t="shared" si="0"/>
        <v>0</v>
      </c>
      <c r="AV21" s="110">
        <f t="shared" si="0"/>
        <v>0</v>
      </c>
      <c r="AW21" s="110">
        <f t="shared" si="0"/>
        <v>0</v>
      </c>
      <c r="AX21" s="108"/>
    </row>
    <row r="23" spans="1:65" s="97" customFormat="1" ht="31.4" customHeight="1">
      <c r="A23" s="99" t="s">
        <v>5202</v>
      </c>
      <c r="B23" s="100" t="s">
        <v>5203</v>
      </c>
      <c r="C23" s="101">
        <v>45292</v>
      </c>
      <c r="D23" s="101">
        <v>45323</v>
      </c>
      <c r="E23" s="101">
        <v>45352</v>
      </c>
      <c r="F23" s="101">
        <v>45383</v>
      </c>
      <c r="G23" s="101">
        <v>45413</v>
      </c>
      <c r="H23" s="101">
        <v>45444</v>
      </c>
      <c r="I23" s="101">
        <v>45474</v>
      </c>
      <c r="J23" s="102">
        <v>45505</v>
      </c>
      <c r="K23" s="102">
        <v>45536</v>
      </c>
      <c r="L23" s="102">
        <v>45566</v>
      </c>
      <c r="M23" s="102">
        <v>45597</v>
      </c>
      <c r="N23" s="102">
        <v>45627</v>
      </c>
      <c r="O23" s="100" t="s">
        <v>5204</v>
      </c>
      <c r="P23" s="102">
        <v>45658</v>
      </c>
      <c r="Q23" s="102">
        <v>45689</v>
      </c>
      <c r="R23" s="102">
        <v>45717</v>
      </c>
      <c r="S23" s="102">
        <v>45748</v>
      </c>
      <c r="T23" s="102">
        <v>45778</v>
      </c>
      <c r="U23" s="102">
        <v>45809</v>
      </c>
      <c r="V23" s="102">
        <v>45839</v>
      </c>
      <c r="W23" s="102">
        <v>45870</v>
      </c>
      <c r="X23" s="102">
        <v>45901</v>
      </c>
      <c r="Y23" s="102">
        <v>45931</v>
      </c>
      <c r="Z23" s="102">
        <v>45962</v>
      </c>
      <c r="AA23" s="102">
        <v>45992</v>
      </c>
      <c r="AB23" s="100" t="s">
        <v>5205</v>
      </c>
      <c r="AC23" s="102">
        <v>46023</v>
      </c>
      <c r="AD23" s="102">
        <v>46054</v>
      </c>
      <c r="AE23" s="102">
        <v>46082</v>
      </c>
      <c r="AF23" s="102">
        <v>46113</v>
      </c>
      <c r="AG23" s="102">
        <v>46143</v>
      </c>
      <c r="AH23" s="102">
        <v>46174</v>
      </c>
      <c r="AI23" s="102">
        <v>46204</v>
      </c>
      <c r="AJ23" s="102">
        <v>46235</v>
      </c>
      <c r="AK23" s="102">
        <v>46266</v>
      </c>
      <c r="AL23" s="102">
        <v>46296</v>
      </c>
      <c r="AM23" s="102">
        <v>46327</v>
      </c>
      <c r="AN23" s="102">
        <v>46357</v>
      </c>
      <c r="AO23" s="100" t="s">
        <v>5206</v>
      </c>
      <c r="AP23" s="102">
        <v>46388</v>
      </c>
      <c r="AQ23" s="102">
        <v>46419</v>
      </c>
      <c r="AR23" s="102">
        <v>46447</v>
      </c>
      <c r="AS23" s="102">
        <v>46478</v>
      </c>
      <c r="AT23" s="102">
        <v>46508</v>
      </c>
      <c r="AU23" s="102">
        <v>46539</v>
      </c>
      <c r="AV23" s="102">
        <v>46569</v>
      </c>
      <c r="AW23" s="102">
        <v>46600</v>
      </c>
      <c r="AX23" s="102">
        <v>46631</v>
      </c>
      <c r="AY23" s="102">
        <v>46661</v>
      </c>
      <c r="AZ23" s="102">
        <v>46692</v>
      </c>
      <c r="BA23" s="102">
        <v>46722</v>
      </c>
      <c r="BB23" s="100" t="s">
        <v>5207</v>
      </c>
      <c r="BC23" s="102">
        <v>46753</v>
      </c>
      <c r="BD23" s="102">
        <v>46784</v>
      </c>
      <c r="BE23" s="102">
        <v>46813</v>
      </c>
      <c r="BF23" s="102">
        <v>46844</v>
      </c>
      <c r="BG23" s="102">
        <v>46874</v>
      </c>
      <c r="BH23" s="102">
        <v>46905</v>
      </c>
      <c r="BI23" s="102">
        <v>46935</v>
      </c>
      <c r="BJ23" s="100" t="s">
        <v>5208</v>
      </c>
      <c r="BK23" s="100" t="s">
        <v>5209</v>
      </c>
    </row>
    <row r="24" spans="1:65" s="97" customFormat="1" ht="16.399999999999999" customHeight="1">
      <c r="A24" s="92" t="s">
        <v>5201</v>
      </c>
      <c r="B24" s="93"/>
      <c r="C24" s="94"/>
      <c r="D24" s="94"/>
      <c r="E24" s="94"/>
      <c r="F24" s="94"/>
      <c r="G24" s="94"/>
      <c r="H24" s="94"/>
      <c r="I24" s="94"/>
      <c r="J24" s="95">
        <v>3645188.9434607341</v>
      </c>
      <c r="K24" s="95">
        <v>1997068.5332722804</v>
      </c>
      <c r="L24" s="95">
        <v>2174022.5956440093</v>
      </c>
      <c r="M24" s="95">
        <v>1580780.3308949533</v>
      </c>
      <c r="N24" s="95">
        <v>1276578.2880309159</v>
      </c>
      <c r="O24" s="96">
        <v>10673638.691302892</v>
      </c>
      <c r="P24" s="95">
        <v>653281.23675642163</v>
      </c>
      <c r="Q24" s="95">
        <v>1827017.0876008461</v>
      </c>
      <c r="R24" s="95">
        <v>2661297.0927553321</v>
      </c>
      <c r="S24" s="95">
        <v>3468509.3136010212</v>
      </c>
      <c r="T24" s="95">
        <v>3556997.734893756</v>
      </c>
      <c r="U24" s="95">
        <v>3468316.8450823752</v>
      </c>
      <c r="V24" s="95">
        <v>3670963.8572417372</v>
      </c>
      <c r="W24" s="95">
        <v>3615457.7635125327</v>
      </c>
      <c r="X24" s="95">
        <v>3576465.6140579348</v>
      </c>
      <c r="Y24" s="95">
        <v>3615457.7635125327</v>
      </c>
      <c r="Z24" s="95">
        <v>3225542.4570543882</v>
      </c>
      <c r="AA24" s="95">
        <v>2088131.1345994733</v>
      </c>
      <c r="AB24" s="96">
        <v>35427437.900668345</v>
      </c>
      <c r="AC24" s="95">
        <v>1395842.3310011907</v>
      </c>
      <c r="AD24" s="95">
        <v>1395842.3310011907</v>
      </c>
      <c r="AE24" s="95">
        <v>2261067.2434300426</v>
      </c>
      <c r="AF24" s="95">
        <v>2953356.0470283255</v>
      </c>
      <c r="AG24" s="95">
        <v>3220345.2912871055</v>
      </c>
      <c r="AH24" s="95">
        <v>3250818.2015985362</v>
      </c>
      <c r="AI24" s="95">
        <v>3250818.2015985362</v>
      </c>
      <c r="AJ24" s="95">
        <v>3250818.2015985362</v>
      </c>
      <c r="AK24" s="95">
        <v>3131350.322434362</v>
      </c>
      <c r="AL24" s="95">
        <v>2882580.7826255416</v>
      </c>
      <c r="AM24" s="95">
        <v>41737.634116056171</v>
      </c>
      <c r="AN24" s="95">
        <v>9693914.1535549816</v>
      </c>
      <c r="AO24" s="96">
        <v>36728490.741274402</v>
      </c>
      <c r="AP24" s="95">
        <v>0</v>
      </c>
      <c r="AQ24" s="95">
        <v>0</v>
      </c>
      <c r="AR24" s="95">
        <v>0</v>
      </c>
      <c r="AS24" s="95">
        <v>0</v>
      </c>
      <c r="AT24" s="95">
        <v>0</v>
      </c>
      <c r="AU24" s="95">
        <v>0</v>
      </c>
      <c r="AV24" s="95">
        <v>0</v>
      </c>
      <c r="AW24" s="95">
        <v>0</v>
      </c>
      <c r="AX24" s="95">
        <v>0</v>
      </c>
      <c r="AY24" s="95">
        <v>0</v>
      </c>
      <c r="AZ24" s="95">
        <v>0</v>
      </c>
      <c r="BA24" s="95">
        <v>0</v>
      </c>
      <c r="BB24" s="96">
        <v>0</v>
      </c>
      <c r="BC24" s="95">
        <v>0</v>
      </c>
      <c r="BD24" s="95">
        <v>0</v>
      </c>
      <c r="BE24" s="95">
        <v>0</v>
      </c>
      <c r="BF24" s="95">
        <v>0</v>
      </c>
      <c r="BG24" s="95">
        <v>0</v>
      </c>
      <c r="BH24" s="95">
        <v>0</v>
      </c>
      <c r="BI24" s="95">
        <v>0</v>
      </c>
      <c r="BJ24" s="96">
        <v>0</v>
      </c>
      <c r="BK24" s="96">
        <v>82829567.333245635</v>
      </c>
      <c r="BM24" s="98"/>
    </row>
    <row r="25" spans="1:65" s="97" customFormat="1" ht="16.399999999999999" customHeight="1" outlineLevel="1">
      <c r="A25" s="103" t="s">
        <v>5210</v>
      </c>
      <c r="B25" s="104"/>
      <c r="C25" s="105"/>
      <c r="D25" s="105"/>
      <c r="E25" s="105"/>
      <c r="F25" s="105"/>
      <c r="G25" s="105"/>
      <c r="H25" s="105"/>
      <c r="I25" s="105"/>
      <c r="J25" s="106">
        <v>37805.853931039208</v>
      </c>
      <c r="K25" s="106">
        <v>32197.059895906124</v>
      </c>
      <c r="L25" s="106">
        <v>30259.163105094565</v>
      </c>
      <c r="M25" s="106">
        <v>51274.646824354168</v>
      </c>
      <c r="N25" s="106">
        <v>84888.026409208571</v>
      </c>
      <c r="O25" s="107">
        <v>236424.75016560263</v>
      </c>
      <c r="P25" s="106"/>
      <c r="Q25" s="106"/>
      <c r="R25" s="106"/>
      <c r="S25" s="106"/>
      <c r="T25" s="106"/>
      <c r="U25" s="106"/>
      <c r="V25" s="106"/>
      <c r="W25" s="106"/>
      <c r="X25" s="106"/>
      <c r="Y25" s="106"/>
      <c r="Z25" s="106"/>
      <c r="AA25" s="106"/>
      <c r="AB25" s="107">
        <v>0</v>
      </c>
      <c r="AC25" s="106"/>
      <c r="AD25" s="106"/>
      <c r="AE25" s="106"/>
      <c r="AF25" s="106"/>
      <c r="AG25" s="106"/>
      <c r="AH25" s="106"/>
      <c r="AI25" s="106"/>
      <c r="AJ25" s="106"/>
      <c r="AK25" s="106"/>
      <c r="AL25" s="106"/>
      <c r="AM25" s="106"/>
      <c r="AN25" s="106"/>
      <c r="AO25" s="107">
        <v>0</v>
      </c>
      <c r="AP25" s="106"/>
      <c r="AQ25" s="106"/>
      <c r="AR25" s="106"/>
      <c r="AS25" s="106"/>
      <c r="AT25" s="106"/>
      <c r="AU25" s="106"/>
      <c r="AV25" s="106"/>
      <c r="AW25" s="106"/>
      <c r="AX25" s="106"/>
      <c r="AY25" s="106"/>
      <c r="AZ25" s="106"/>
      <c r="BA25" s="106"/>
      <c r="BB25" s="107">
        <v>0</v>
      </c>
      <c r="BC25" s="106"/>
      <c r="BD25" s="106"/>
      <c r="BE25" s="106"/>
      <c r="BF25" s="106"/>
      <c r="BG25" s="106"/>
      <c r="BH25" s="106"/>
      <c r="BI25" s="106"/>
      <c r="BJ25" s="107">
        <v>0</v>
      </c>
      <c r="BK25" s="107">
        <v>236424.75016560263</v>
      </c>
      <c r="BM25" s="98"/>
    </row>
    <row r="26" spans="1:65" s="97" customFormat="1" ht="16.399999999999999" customHeight="1" outlineLevel="1">
      <c r="A26" s="103" t="s">
        <v>5211</v>
      </c>
      <c r="B26" s="104"/>
      <c r="C26" s="105"/>
      <c r="D26" s="105"/>
      <c r="E26" s="105"/>
      <c r="F26" s="105"/>
      <c r="G26" s="105"/>
      <c r="H26" s="105"/>
      <c r="I26" s="105"/>
      <c r="J26" s="106"/>
      <c r="K26" s="106"/>
      <c r="L26" s="106"/>
      <c r="M26" s="106"/>
      <c r="N26" s="106"/>
      <c r="O26" s="107">
        <v>0</v>
      </c>
      <c r="P26" s="106"/>
      <c r="Q26" s="106"/>
      <c r="R26" s="106"/>
      <c r="S26" s="106"/>
      <c r="T26" s="106"/>
      <c r="U26" s="106"/>
      <c r="V26" s="106"/>
      <c r="W26" s="106"/>
      <c r="X26" s="106"/>
      <c r="Y26" s="106"/>
      <c r="Z26" s="106"/>
      <c r="AA26" s="106"/>
      <c r="AB26" s="107">
        <v>0</v>
      </c>
      <c r="AC26" s="106"/>
      <c r="AD26" s="106"/>
      <c r="AE26" s="106"/>
      <c r="AF26" s="106"/>
      <c r="AG26" s="106"/>
      <c r="AH26" s="106"/>
      <c r="AI26" s="106"/>
      <c r="AJ26" s="106"/>
      <c r="AK26" s="106"/>
      <c r="AL26" s="106"/>
      <c r="AM26" s="106"/>
      <c r="AN26" s="106"/>
      <c r="AO26" s="107">
        <v>0</v>
      </c>
      <c r="AP26" s="106"/>
      <c r="AQ26" s="106"/>
      <c r="AR26" s="106"/>
      <c r="AS26" s="106"/>
      <c r="AT26" s="106"/>
      <c r="AU26" s="106"/>
      <c r="AV26" s="106"/>
      <c r="AW26" s="106"/>
      <c r="AX26" s="106"/>
      <c r="AY26" s="106"/>
      <c r="AZ26" s="106"/>
      <c r="BA26" s="106"/>
      <c r="BB26" s="107">
        <v>0</v>
      </c>
      <c r="BC26" s="106"/>
      <c r="BD26" s="106"/>
      <c r="BE26" s="106"/>
      <c r="BF26" s="106"/>
      <c r="BG26" s="106"/>
      <c r="BH26" s="106"/>
      <c r="BI26" s="106"/>
      <c r="BJ26" s="107">
        <v>0</v>
      </c>
      <c r="BK26" s="107">
        <v>0</v>
      </c>
      <c r="BM26" s="98"/>
    </row>
    <row r="27" spans="1:65" s="97" customFormat="1" ht="16.399999999999999" customHeight="1" outlineLevel="1">
      <c r="A27" s="103" t="s">
        <v>5212</v>
      </c>
      <c r="B27" s="104"/>
      <c r="C27" s="105"/>
      <c r="D27" s="105"/>
      <c r="E27" s="105"/>
      <c r="F27" s="105"/>
      <c r="G27" s="105"/>
      <c r="H27" s="105"/>
      <c r="I27" s="105"/>
      <c r="J27" s="106">
        <v>50000</v>
      </c>
      <c r="K27" s="106">
        <v>50000</v>
      </c>
      <c r="L27" s="106">
        <v>300000</v>
      </c>
      <c r="M27" s="106">
        <v>50000</v>
      </c>
      <c r="N27" s="106">
        <v>300000</v>
      </c>
      <c r="O27" s="107">
        <v>750000</v>
      </c>
      <c r="P27" s="106">
        <v>50000</v>
      </c>
      <c r="Q27" s="106">
        <v>300000</v>
      </c>
      <c r="R27" s="106">
        <v>50000</v>
      </c>
      <c r="S27" s="106"/>
      <c r="T27" s="106"/>
      <c r="U27" s="106"/>
      <c r="V27" s="106"/>
      <c r="W27" s="106"/>
      <c r="X27" s="106"/>
      <c r="Y27" s="106"/>
      <c r="Z27" s="106"/>
      <c r="AA27" s="106"/>
      <c r="AB27" s="107">
        <v>400000</v>
      </c>
      <c r="AC27" s="106"/>
      <c r="AD27" s="106"/>
      <c r="AE27" s="106"/>
      <c r="AF27" s="106"/>
      <c r="AG27" s="106"/>
      <c r="AH27" s="106"/>
      <c r="AI27" s="106"/>
      <c r="AJ27" s="106"/>
      <c r="AK27" s="106"/>
      <c r="AL27" s="106"/>
      <c r="AM27" s="106"/>
      <c r="AN27" s="106"/>
      <c r="AO27" s="107">
        <v>0</v>
      </c>
      <c r="AP27" s="106"/>
      <c r="AQ27" s="106"/>
      <c r="AR27" s="106"/>
      <c r="AS27" s="106"/>
      <c r="AT27" s="106"/>
      <c r="AU27" s="106"/>
      <c r="AV27" s="106"/>
      <c r="AW27" s="106"/>
      <c r="AX27" s="106"/>
      <c r="AY27" s="106"/>
      <c r="AZ27" s="106"/>
      <c r="BA27" s="106"/>
      <c r="BB27" s="107">
        <v>0</v>
      </c>
      <c r="BC27" s="106"/>
      <c r="BD27" s="106"/>
      <c r="BE27" s="106"/>
      <c r="BF27" s="106"/>
      <c r="BG27" s="106"/>
      <c r="BH27" s="106"/>
      <c r="BI27" s="106"/>
      <c r="BJ27" s="107">
        <v>0</v>
      </c>
      <c r="BK27" s="107">
        <v>1150000</v>
      </c>
      <c r="BM27" s="98"/>
    </row>
    <row r="28" spans="1:65" s="97" customFormat="1" ht="16.399999999999999" customHeight="1" outlineLevel="1">
      <c r="A28" s="103" t="s">
        <v>5213</v>
      </c>
      <c r="B28" s="104"/>
      <c r="C28" s="105"/>
      <c r="D28" s="105">
        <v>7</v>
      </c>
      <c r="E28" s="105"/>
      <c r="F28" s="105"/>
      <c r="G28" s="105"/>
      <c r="H28" s="105"/>
      <c r="I28" s="105"/>
      <c r="J28" s="106">
        <v>100000</v>
      </c>
      <c r="K28" s="106">
        <v>100000</v>
      </c>
      <c r="L28" s="106">
        <v>100000</v>
      </c>
      <c r="M28" s="106">
        <v>100000</v>
      </c>
      <c r="N28" s="106">
        <v>100000</v>
      </c>
      <c r="O28" s="107">
        <v>500000</v>
      </c>
      <c r="P28" s="106"/>
      <c r="Q28" s="106">
        <v>100000</v>
      </c>
      <c r="R28" s="106">
        <v>100000</v>
      </c>
      <c r="S28" s="106"/>
      <c r="T28" s="106">
        <v>100000</v>
      </c>
      <c r="U28" s="106"/>
      <c r="V28" s="106">
        <v>100000</v>
      </c>
      <c r="W28" s="106"/>
      <c r="X28" s="106"/>
      <c r="Y28" s="106"/>
      <c r="Z28" s="106"/>
      <c r="AA28" s="106"/>
      <c r="AB28" s="107">
        <v>400000</v>
      </c>
      <c r="AC28" s="106"/>
      <c r="AD28" s="106"/>
      <c r="AE28" s="106"/>
      <c r="AF28" s="106"/>
      <c r="AG28" s="106"/>
      <c r="AH28" s="106"/>
      <c r="AI28" s="106"/>
      <c r="AJ28" s="106"/>
      <c r="AK28" s="106"/>
      <c r="AL28" s="106"/>
      <c r="AM28" s="106"/>
      <c r="AN28" s="106"/>
      <c r="AO28" s="107">
        <v>0</v>
      </c>
      <c r="AP28" s="106"/>
      <c r="AQ28" s="106"/>
      <c r="AR28" s="106"/>
      <c r="AS28" s="106"/>
      <c r="AT28" s="106"/>
      <c r="AU28" s="106"/>
      <c r="AV28" s="106"/>
      <c r="AW28" s="106"/>
      <c r="AX28" s="106"/>
      <c r="AY28" s="106"/>
      <c r="AZ28" s="106"/>
      <c r="BA28" s="106"/>
      <c r="BB28" s="107">
        <v>0</v>
      </c>
      <c r="BC28" s="106"/>
      <c r="BD28" s="106"/>
      <c r="BE28" s="106"/>
      <c r="BF28" s="106"/>
      <c r="BG28" s="106"/>
      <c r="BH28" s="106"/>
      <c r="BI28" s="106"/>
      <c r="BJ28" s="107">
        <v>0</v>
      </c>
      <c r="BK28" s="107">
        <v>900000</v>
      </c>
      <c r="BM28" s="98"/>
    </row>
    <row r="29" spans="1:65" s="97" customFormat="1" ht="16.399999999999999" customHeight="1" outlineLevel="1">
      <c r="A29" s="103" t="s">
        <v>5214</v>
      </c>
      <c r="B29" s="104"/>
      <c r="C29" s="105"/>
      <c r="D29" s="105"/>
      <c r="E29" s="105"/>
      <c r="F29" s="105"/>
      <c r="G29" s="105"/>
      <c r="H29" s="105"/>
      <c r="I29" s="105"/>
      <c r="J29" s="106">
        <v>9783.2588873918958</v>
      </c>
      <c r="K29" s="106"/>
      <c r="L29" s="106">
        <v>9783.2588873918958</v>
      </c>
      <c r="M29" s="106"/>
      <c r="N29" s="106">
        <v>9783.2588873918958</v>
      </c>
      <c r="O29" s="107">
        <v>29349.776662175689</v>
      </c>
      <c r="P29" s="106"/>
      <c r="Q29" s="106"/>
      <c r="R29" s="106"/>
      <c r="S29" s="106"/>
      <c r="T29" s="106"/>
      <c r="U29" s="106"/>
      <c r="V29" s="106"/>
      <c r="W29" s="106"/>
      <c r="X29" s="106"/>
      <c r="Y29" s="106"/>
      <c r="Z29" s="106"/>
      <c r="AA29" s="106"/>
      <c r="AB29" s="107">
        <v>0</v>
      </c>
      <c r="AC29" s="106"/>
      <c r="AD29" s="106"/>
      <c r="AE29" s="106"/>
      <c r="AF29" s="106"/>
      <c r="AG29" s="106"/>
      <c r="AH29" s="106"/>
      <c r="AI29" s="106"/>
      <c r="AJ29" s="106"/>
      <c r="AK29" s="106"/>
      <c r="AL29" s="106"/>
      <c r="AM29" s="106"/>
      <c r="AN29" s="106"/>
      <c r="AO29" s="107">
        <v>0</v>
      </c>
      <c r="AP29" s="106"/>
      <c r="AQ29" s="106"/>
      <c r="AR29" s="106"/>
      <c r="AS29" s="106"/>
      <c r="AT29" s="106"/>
      <c r="AU29" s="106"/>
      <c r="AV29" s="106"/>
      <c r="AW29" s="106"/>
      <c r="AX29" s="106"/>
      <c r="AY29" s="106"/>
      <c r="AZ29" s="106"/>
      <c r="BA29" s="106"/>
      <c r="BB29" s="107">
        <v>0</v>
      </c>
      <c r="BC29" s="106"/>
      <c r="BD29" s="106"/>
      <c r="BE29" s="106"/>
      <c r="BF29" s="106"/>
      <c r="BG29" s="106"/>
      <c r="BH29" s="106"/>
      <c r="BI29" s="106"/>
      <c r="BJ29" s="107">
        <v>0</v>
      </c>
      <c r="BK29" s="107">
        <v>29349.776662175689</v>
      </c>
      <c r="BM29" s="98"/>
    </row>
    <row r="30" spans="1:65" s="97" customFormat="1" ht="16.399999999999999" customHeight="1" outlineLevel="1">
      <c r="A30" s="103" t="s">
        <v>5215</v>
      </c>
      <c r="B30" s="104"/>
      <c r="C30" s="105"/>
      <c r="D30" s="105"/>
      <c r="E30" s="105"/>
      <c r="F30" s="105"/>
      <c r="G30" s="105"/>
      <c r="H30" s="105"/>
      <c r="I30" s="105"/>
      <c r="J30" s="106"/>
      <c r="K30" s="106"/>
      <c r="L30" s="106"/>
      <c r="M30" s="106"/>
      <c r="N30" s="106"/>
      <c r="O30" s="107">
        <v>0</v>
      </c>
      <c r="P30" s="106"/>
      <c r="Q30" s="106"/>
      <c r="R30" s="106"/>
      <c r="S30" s="106"/>
      <c r="T30" s="106"/>
      <c r="U30" s="106"/>
      <c r="V30" s="106"/>
      <c r="W30" s="106"/>
      <c r="X30" s="106"/>
      <c r="Y30" s="106"/>
      <c r="Z30" s="106"/>
      <c r="AA30" s="106"/>
      <c r="AB30" s="107">
        <v>0</v>
      </c>
      <c r="AC30" s="106"/>
      <c r="AD30" s="106"/>
      <c r="AE30" s="106"/>
      <c r="AF30" s="106"/>
      <c r="AG30" s="106"/>
      <c r="AH30" s="106"/>
      <c r="AI30" s="106"/>
      <c r="AJ30" s="106"/>
      <c r="AK30" s="106"/>
      <c r="AL30" s="106"/>
      <c r="AM30" s="106"/>
      <c r="AN30" s="106"/>
      <c r="AO30" s="107">
        <v>0</v>
      </c>
      <c r="AP30" s="106"/>
      <c r="AQ30" s="106"/>
      <c r="AR30" s="106"/>
      <c r="AS30" s="106"/>
      <c r="AT30" s="106"/>
      <c r="AU30" s="106"/>
      <c r="AV30" s="106"/>
      <c r="AW30" s="106"/>
      <c r="AX30" s="106"/>
      <c r="AY30" s="106"/>
      <c r="AZ30" s="106"/>
      <c r="BA30" s="106"/>
      <c r="BB30" s="107">
        <v>0</v>
      </c>
      <c r="BC30" s="106"/>
      <c r="BD30" s="106"/>
      <c r="BE30" s="106"/>
      <c r="BF30" s="106"/>
      <c r="BG30" s="106"/>
      <c r="BH30" s="106"/>
      <c r="BI30" s="106"/>
      <c r="BJ30" s="107">
        <v>0</v>
      </c>
      <c r="BK30" s="107">
        <v>0</v>
      </c>
      <c r="BM30" s="98"/>
    </row>
    <row r="31" spans="1:65" s="97" customFormat="1" ht="16.399999999999999" customHeight="1" outlineLevel="1">
      <c r="A31" s="103" t="s">
        <v>5216</v>
      </c>
      <c r="B31" s="104"/>
      <c r="C31" s="105"/>
      <c r="D31" s="105"/>
      <c r="E31" s="105"/>
      <c r="F31" s="105"/>
      <c r="G31" s="105"/>
      <c r="H31" s="105"/>
      <c r="I31" s="105"/>
      <c r="J31" s="106"/>
      <c r="K31" s="106"/>
      <c r="L31" s="106"/>
      <c r="M31" s="106"/>
      <c r="N31" s="106">
        <v>9783.2588873918958</v>
      </c>
      <c r="O31" s="107">
        <v>9783.2588873918958</v>
      </c>
      <c r="P31" s="106"/>
      <c r="Q31" s="106"/>
      <c r="R31" s="106"/>
      <c r="S31" s="106"/>
      <c r="T31" s="106"/>
      <c r="U31" s="106"/>
      <c r="V31" s="106"/>
      <c r="W31" s="106"/>
      <c r="X31" s="106"/>
      <c r="Y31" s="106"/>
      <c r="Z31" s="106"/>
      <c r="AA31" s="106"/>
      <c r="AB31" s="107">
        <v>0</v>
      </c>
      <c r="AC31" s="106"/>
      <c r="AD31" s="106"/>
      <c r="AE31" s="106"/>
      <c r="AF31" s="106"/>
      <c r="AG31" s="106"/>
      <c r="AH31" s="106"/>
      <c r="AI31" s="106"/>
      <c r="AJ31" s="106"/>
      <c r="AK31" s="106"/>
      <c r="AL31" s="106"/>
      <c r="AM31" s="106"/>
      <c r="AN31" s="106"/>
      <c r="AO31" s="107">
        <v>0</v>
      </c>
      <c r="AP31" s="106"/>
      <c r="AQ31" s="106"/>
      <c r="AR31" s="106"/>
      <c r="AS31" s="106"/>
      <c r="AT31" s="106"/>
      <c r="AU31" s="106"/>
      <c r="AV31" s="106"/>
      <c r="AW31" s="106"/>
      <c r="AX31" s="106"/>
      <c r="AY31" s="106"/>
      <c r="AZ31" s="106"/>
      <c r="BA31" s="106"/>
      <c r="BB31" s="107">
        <v>0</v>
      </c>
      <c r="BC31" s="106"/>
      <c r="BD31" s="106"/>
      <c r="BE31" s="106"/>
      <c r="BF31" s="106"/>
      <c r="BG31" s="106"/>
      <c r="BH31" s="106"/>
      <c r="BI31" s="106"/>
      <c r="BJ31" s="107">
        <v>0</v>
      </c>
      <c r="BK31" s="107">
        <v>9783.2588873918958</v>
      </c>
      <c r="BM31" s="98"/>
    </row>
    <row r="32" spans="1:65" s="97" customFormat="1" ht="16.399999999999999" customHeight="1" outlineLevel="1">
      <c r="A32" s="103" t="s">
        <v>5217</v>
      </c>
      <c r="B32" s="104"/>
      <c r="C32" s="105"/>
      <c r="D32" s="105"/>
      <c r="E32" s="105"/>
      <c r="F32" s="105"/>
      <c r="G32" s="105"/>
      <c r="H32" s="105"/>
      <c r="I32" s="105"/>
      <c r="J32" s="106">
        <v>25000</v>
      </c>
      <c r="K32" s="106"/>
      <c r="L32" s="106">
        <v>25000</v>
      </c>
      <c r="M32" s="106"/>
      <c r="N32" s="106"/>
      <c r="O32" s="107">
        <v>50000</v>
      </c>
      <c r="P32" s="106"/>
      <c r="Q32" s="106"/>
      <c r="R32" s="106"/>
      <c r="S32" s="106"/>
      <c r="T32" s="106"/>
      <c r="U32" s="106"/>
      <c r="V32" s="106"/>
      <c r="W32" s="106"/>
      <c r="X32" s="106"/>
      <c r="Y32" s="106"/>
      <c r="Z32" s="106"/>
      <c r="AA32" s="106"/>
      <c r="AB32" s="107">
        <v>0</v>
      </c>
      <c r="AC32" s="106"/>
      <c r="AD32" s="106"/>
      <c r="AE32" s="106"/>
      <c r="AF32" s="106"/>
      <c r="AG32" s="106"/>
      <c r="AH32" s="106"/>
      <c r="AI32" s="106"/>
      <c r="AJ32" s="106"/>
      <c r="AK32" s="106"/>
      <c r="AL32" s="106"/>
      <c r="AM32" s="106"/>
      <c r="AN32" s="106"/>
      <c r="AO32" s="107">
        <v>0</v>
      </c>
      <c r="AP32" s="106"/>
      <c r="AQ32" s="106"/>
      <c r="AR32" s="106"/>
      <c r="AS32" s="106"/>
      <c r="AT32" s="106"/>
      <c r="AU32" s="106"/>
      <c r="AV32" s="106"/>
      <c r="AW32" s="106"/>
      <c r="AX32" s="106"/>
      <c r="AY32" s="106"/>
      <c r="AZ32" s="106"/>
      <c r="BA32" s="106"/>
      <c r="BB32" s="107">
        <v>0</v>
      </c>
      <c r="BC32" s="106"/>
      <c r="BD32" s="106"/>
      <c r="BE32" s="106"/>
      <c r="BF32" s="106"/>
      <c r="BG32" s="106"/>
      <c r="BH32" s="106"/>
      <c r="BI32" s="106"/>
      <c r="BJ32" s="107">
        <v>0</v>
      </c>
      <c r="BK32" s="107">
        <v>50000</v>
      </c>
      <c r="BM32" s="98"/>
    </row>
    <row r="33" spans="1:65" s="97" customFormat="1" ht="16.399999999999999" customHeight="1" outlineLevel="1">
      <c r="A33" s="103" t="s">
        <v>5218</v>
      </c>
      <c r="B33" s="104"/>
      <c r="C33" s="105"/>
      <c r="D33" s="105"/>
      <c r="E33" s="105"/>
      <c r="F33" s="105"/>
      <c r="G33" s="105"/>
      <c r="H33" s="105"/>
      <c r="I33" s="105"/>
      <c r="J33" s="106"/>
      <c r="K33" s="106"/>
      <c r="L33" s="106"/>
      <c r="M33" s="106"/>
      <c r="N33" s="106"/>
      <c r="O33" s="107">
        <v>0</v>
      </c>
      <c r="P33" s="106"/>
      <c r="Q33" s="106"/>
      <c r="R33" s="106"/>
      <c r="S33" s="106"/>
      <c r="T33" s="106"/>
      <c r="U33" s="106"/>
      <c r="V33" s="106"/>
      <c r="W33" s="106"/>
      <c r="X33" s="106"/>
      <c r="Y33" s="106"/>
      <c r="Z33" s="106"/>
      <c r="AA33" s="106"/>
      <c r="AB33" s="107">
        <v>0</v>
      </c>
      <c r="AC33" s="106"/>
      <c r="AD33" s="106"/>
      <c r="AE33" s="106"/>
      <c r="AF33" s="106"/>
      <c r="AG33" s="106"/>
      <c r="AH33" s="106"/>
      <c r="AI33" s="106"/>
      <c r="AJ33" s="106"/>
      <c r="AK33" s="106"/>
      <c r="AL33" s="106"/>
      <c r="AM33" s="106"/>
      <c r="AN33" s="106"/>
      <c r="AO33" s="107">
        <v>0</v>
      </c>
      <c r="AP33" s="106"/>
      <c r="AQ33" s="106"/>
      <c r="AR33" s="106"/>
      <c r="AS33" s="106"/>
      <c r="AT33" s="106"/>
      <c r="AU33" s="106"/>
      <c r="AV33" s="106"/>
      <c r="AW33" s="106"/>
      <c r="AX33" s="106"/>
      <c r="AY33" s="106"/>
      <c r="AZ33" s="106"/>
      <c r="BA33" s="106"/>
      <c r="BB33" s="107">
        <v>0</v>
      </c>
      <c r="BC33" s="106"/>
      <c r="BD33" s="106"/>
      <c r="BE33" s="106"/>
      <c r="BF33" s="106"/>
      <c r="BG33" s="106"/>
      <c r="BH33" s="106"/>
      <c r="BI33" s="106"/>
      <c r="BJ33" s="107">
        <v>0</v>
      </c>
      <c r="BK33" s="107">
        <v>0</v>
      </c>
      <c r="BM33" s="98"/>
    </row>
    <row r="34" spans="1:65" s="97" customFormat="1" ht="16.399999999999999" customHeight="1" outlineLevel="1">
      <c r="A34" s="103" t="s">
        <v>5219</v>
      </c>
      <c r="B34" s="104"/>
      <c r="C34" s="105"/>
      <c r="D34" s="105"/>
      <c r="E34" s="105"/>
      <c r="F34" s="105"/>
      <c r="G34" s="105"/>
      <c r="H34" s="105"/>
      <c r="I34" s="105"/>
      <c r="J34" s="106">
        <v>27952.168249691131</v>
      </c>
      <c r="K34" s="106">
        <v>27952.168249691131</v>
      </c>
      <c r="L34" s="106">
        <v>27952.168249691131</v>
      </c>
      <c r="M34" s="106"/>
      <c r="N34" s="106"/>
      <c r="O34" s="107">
        <v>83856.504749073385</v>
      </c>
      <c r="P34" s="106"/>
      <c r="Q34" s="106"/>
      <c r="R34" s="106"/>
      <c r="S34" s="106"/>
      <c r="T34" s="106"/>
      <c r="U34" s="106"/>
      <c r="V34" s="106"/>
      <c r="W34" s="106"/>
      <c r="X34" s="106"/>
      <c r="Y34" s="106"/>
      <c r="Z34" s="106"/>
      <c r="AA34" s="106"/>
      <c r="AB34" s="107">
        <v>0</v>
      </c>
      <c r="AC34" s="106"/>
      <c r="AD34" s="106"/>
      <c r="AE34" s="106"/>
      <c r="AF34" s="106"/>
      <c r="AG34" s="106"/>
      <c r="AH34" s="106"/>
      <c r="AI34" s="106"/>
      <c r="AJ34" s="106"/>
      <c r="AK34" s="106"/>
      <c r="AL34" s="106"/>
      <c r="AM34" s="106"/>
      <c r="AN34" s="106"/>
      <c r="AO34" s="107">
        <v>0</v>
      </c>
      <c r="AP34" s="106"/>
      <c r="AQ34" s="106"/>
      <c r="AR34" s="106"/>
      <c r="AS34" s="106"/>
      <c r="AT34" s="106"/>
      <c r="AU34" s="106"/>
      <c r="AV34" s="106"/>
      <c r="AW34" s="106"/>
      <c r="AX34" s="106"/>
      <c r="AY34" s="106"/>
      <c r="AZ34" s="106"/>
      <c r="BA34" s="106"/>
      <c r="BB34" s="107">
        <v>0</v>
      </c>
      <c r="BC34" s="106"/>
      <c r="BD34" s="106"/>
      <c r="BE34" s="106"/>
      <c r="BF34" s="106"/>
      <c r="BG34" s="106"/>
      <c r="BH34" s="106"/>
      <c r="BI34" s="106"/>
      <c r="BJ34" s="107">
        <v>0</v>
      </c>
      <c r="BK34" s="107">
        <v>83856.504749073385</v>
      </c>
      <c r="BM34" s="98"/>
    </row>
    <row r="35" spans="1:65" s="97" customFormat="1" ht="16.399999999999999" customHeight="1" outlineLevel="1">
      <c r="A35" s="103" t="s">
        <v>5220</v>
      </c>
      <c r="B35" s="104"/>
      <c r="C35" s="105"/>
      <c r="D35" s="105"/>
      <c r="E35" s="105"/>
      <c r="F35" s="105"/>
      <c r="G35" s="105"/>
      <c r="H35" s="105"/>
      <c r="I35" s="105"/>
      <c r="J35" s="106"/>
      <c r="K35" s="106"/>
      <c r="L35" s="106"/>
      <c r="M35" s="106"/>
      <c r="N35" s="106"/>
      <c r="O35" s="107">
        <v>0</v>
      </c>
      <c r="P35" s="106"/>
      <c r="Q35" s="106"/>
      <c r="R35" s="106"/>
      <c r="S35" s="106"/>
      <c r="T35" s="106"/>
      <c r="U35" s="106"/>
      <c r="V35" s="106"/>
      <c r="W35" s="106"/>
      <c r="X35" s="106"/>
      <c r="Y35" s="106"/>
      <c r="Z35" s="106"/>
      <c r="AA35" s="106"/>
      <c r="AB35" s="107">
        <v>0</v>
      </c>
      <c r="AC35" s="106"/>
      <c r="AD35" s="106"/>
      <c r="AE35" s="106"/>
      <c r="AF35" s="106"/>
      <c r="AG35" s="106"/>
      <c r="AH35" s="106"/>
      <c r="AI35" s="106"/>
      <c r="AJ35" s="106"/>
      <c r="AK35" s="106"/>
      <c r="AL35" s="106"/>
      <c r="AM35" s="106"/>
      <c r="AN35" s="106"/>
      <c r="AO35" s="107">
        <v>0</v>
      </c>
      <c r="AP35" s="106"/>
      <c r="AQ35" s="106"/>
      <c r="AR35" s="106"/>
      <c r="AS35" s="106"/>
      <c r="AT35" s="106"/>
      <c r="AU35" s="106"/>
      <c r="AV35" s="106"/>
      <c r="AW35" s="106"/>
      <c r="AX35" s="106"/>
      <c r="AY35" s="106"/>
      <c r="AZ35" s="106"/>
      <c r="BA35" s="106"/>
      <c r="BB35" s="107">
        <v>0</v>
      </c>
      <c r="BC35" s="106"/>
      <c r="BD35" s="106"/>
      <c r="BE35" s="106"/>
      <c r="BF35" s="106"/>
      <c r="BG35" s="106"/>
      <c r="BH35" s="106"/>
      <c r="BI35" s="106"/>
      <c r="BJ35" s="107">
        <v>0</v>
      </c>
      <c r="BK35" s="107">
        <v>0</v>
      </c>
      <c r="BM35" s="98"/>
    </row>
    <row r="36" spans="1:65" s="97" customFormat="1" ht="16.399999999999999" customHeight="1" outlineLevel="1">
      <c r="A36" s="103" t="s">
        <v>5221</v>
      </c>
      <c r="B36" s="104"/>
      <c r="C36" s="105"/>
      <c r="D36" s="105"/>
      <c r="E36" s="105"/>
      <c r="F36" s="105"/>
      <c r="G36" s="105"/>
      <c r="H36" s="105"/>
      <c r="I36" s="105"/>
      <c r="J36" s="106">
        <v>11264.723804625526</v>
      </c>
      <c r="K36" s="106">
        <v>11264.723804625526</v>
      </c>
      <c r="L36" s="106">
        <v>11264.723804625526</v>
      </c>
      <c r="M36" s="106">
        <v>11264.723804625526</v>
      </c>
      <c r="N36" s="106">
        <v>11264.723804625526</v>
      </c>
      <c r="O36" s="107">
        <v>56323.619023127627</v>
      </c>
      <c r="P36" s="106">
        <v>11264.723804625526</v>
      </c>
      <c r="Q36" s="106">
        <v>11264.723804625526</v>
      </c>
      <c r="R36" s="106">
        <v>11264.723804625526</v>
      </c>
      <c r="S36" s="106">
        <v>11264.723804625526</v>
      </c>
      <c r="T36" s="106">
        <v>11264.723804625526</v>
      </c>
      <c r="U36" s="106">
        <v>11264.723804625526</v>
      </c>
      <c r="V36" s="106">
        <v>11264.723804625526</v>
      </c>
      <c r="W36" s="106">
        <v>11264.723804625526</v>
      </c>
      <c r="X36" s="106">
        <v>11264.723804625526</v>
      </c>
      <c r="Y36" s="106">
        <v>11264.723804625526</v>
      </c>
      <c r="Z36" s="106">
        <v>11264.723804625526</v>
      </c>
      <c r="AA36" s="106">
        <v>11264.723804625526</v>
      </c>
      <c r="AB36" s="107">
        <v>135176.6856555063</v>
      </c>
      <c r="AC36" s="106">
        <v>11264.723804625526</v>
      </c>
      <c r="AD36" s="106">
        <v>11264.723804625526</v>
      </c>
      <c r="AE36" s="106">
        <v>11264.723804625526</v>
      </c>
      <c r="AF36" s="106">
        <v>11264.723804625526</v>
      </c>
      <c r="AG36" s="106">
        <v>11264.723804625526</v>
      </c>
      <c r="AH36" s="106">
        <v>11264.723804625526</v>
      </c>
      <c r="AI36" s="106">
        <v>11264.723804625526</v>
      </c>
      <c r="AJ36" s="106">
        <v>11264.723804625526</v>
      </c>
      <c r="AK36" s="106">
        <v>11264.723804625526</v>
      </c>
      <c r="AL36" s="106">
        <v>11264.723804625526</v>
      </c>
      <c r="AM36" s="106">
        <v>11264.723804625526</v>
      </c>
      <c r="AN36" s="106">
        <v>11264.723804625526</v>
      </c>
      <c r="AO36" s="107">
        <v>135176.6856555063</v>
      </c>
      <c r="AP36" s="106"/>
      <c r="AQ36" s="106"/>
      <c r="AR36" s="106"/>
      <c r="AS36" s="106"/>
      <c r="AT36" s="106"/>
      <c r="AU36" s="106"/>
      <c r="AV36" s="106"/>
      <c r="AW36" s="106"/>
      <c r="AX36" s="106"/>
      <c r="AY36" s="106"/>
      <c r="AZ36" s="106"/>
      <c r="BA36" s="106"/>
      <c r="BB36" s="107">
        <v>0</v>
      </c>
      <c r="BC36" s="106"/>
      <c r="BD36" s="106"/>
      <c r="BE36" s="106"/>
      <c r="BF36" s="106"/>
      <c r="BG36" s="106"/>
      <c r="BH36" s="106"/>
      <c r="BI36" s="106"/>
      <c r="BJ36" s="107">
        <v>0</v>
      </c>
      <c r="BK36" s="107">
        <v>326676.99033414025</v>
      </c>
      <c r="BM36" s="98"/>
    </row>
    <row r="37" spans="1:65" s="97" customFormat="1" ht="16.399999999999999" customHeight="1" outlineLevel="1">
      <c r="A37" s="103"/>
      <c r="B37" s="104"/>
      <c r="C37" s="105"/>
      <c r="D37" s="105"/>
      <c r="E37" s="105"/>
      <c r="F37" s="105"/>
      <c r="G37" s="105"/>
      <c r="H37" s="105"/>
      <c r="I37" s="105"/>
      <c r="J37" s="106"/>
      <c r="K37" s="106"/>
      <c r="L37" s="106"/>
      <c r="M37" s="106"/>
      <c r="N37" s="106"/>
      <c r="O37" s="107"/>
      <c r="P37" s="106"/>
      <c r="Q37" s="106"/>
      <c r="R37" s="106"/>
      <c r="S37" s="106"/>
      <c r="T37" s="106"/>
      <c r="U37" s="106"/>
      <c r="V37" s="106"/>
      <c r="W37" s="106"/>
      <c r="X37" s="106"/>
      <c r="Y37" s="106"/>
      <c r="Z37" s="106"/>
      <c r="AA37" s="106"/>
      <c r="AB37" s="107"/>
      <c r="AC37" s="106"/>
      <c r="AD37" s="106"/>
      <c r="AE37" s="106"/>
      <c r="AF37" s="106"/>
      <c r="AG37" s="106"/>
      <c r="AH37" s="106"/>
      <c r="AI37" s="106"/>
      <c r="AJ37" s="106"/>
      <c r="AK37" s="106"/>
      <c r="AL37" s="106"/>
      <c r="AM37" s="106"/>
      <c r="AN37" s="106"/>
      <c r="AO37" s="107"/>
      <c r="AP37" s="106"/>
      <c r="AQ37" s="106"/>
      <c r="AR37" s="106"/>
      <c r="AS37" s="106"/>
      <c r="AT37" s="106"/>
      <c r="AU37" s="106"/>
      <c r="AV37" s="106"/>
      <c r="AW37" s="106"/>
      <c r="AX37" s="106"/>
      <c r="AY37" s="106"/>
      <c r="AZ37" s="106"/>
      <c r="BA37" s="106"/>
      <c r="BB37" s="107"/>
      <c r="BC37" s="106"/>
      <c r="BD37" s="106"/>
      <c r="BE37" s="106"/>
      <c r="BF37" s="106"/>
      <c r="BG37" s="106"/>
      <c r="BH37" s="106"/>
      <c r="BI37" s="106"/>
      <c r="BJ37" s="107"/>
      <c r="BK37" s="107"/>
      <c r="BM37" s="98"/>
    </row>
    <row r="38" spans="1:65" s="97" customFormat="1" ht="16.399999999999999" customHeight="1" outlineLevel="1">
      <c r="A38" s="103" t="s">
        <v>5222</v>
      </c>
      <c r="B38" s="104"/>
      <c r="C38" s="105"/>
      <c r="D38" s="105"/>
      <c r="E38" s="105"/>
      <c r="F38" s="105"/>
      <c r="G38" s="105"/>
      <c r="H38" s="105"/>
      <c r="I38" s="105"/>
      <c r="J38" s="106">
        <v>100000</v>
      </c>
      <c r="K38" s="106">
        <v>100000</v>
      </c>
      <c r="L38" s="106">
        <v>100000</v>
      </c>
      <c r="M38" s="106">
        <v>100000</v>
      </c>
      <c r="N38" s="106">
        <v>100000</v>
      </c>
      <c r="O38" s="107">
        <v>500000</v>
      </c>
      <c r="P38" s="106"/>
      <c r="Q38" s="106"/>
      <c r="R38" s="106"/>
      <c r="S38" s="106"/>
      <c r="T38" s="106"/>
      <c r="U38" s="106"/>
      <c r="V38" s="106"/>
      <c r="W38" s="106"/>
      <c r="X38" s="106"/>
      <c r="Y38" s="106"/>
      <c r="Z38" s="106"/>
      <c r="AA38" s="106"/>
      <c r="AB38" s="107">
        <v>0</v>
      </c>
      <c r="AC38" s="106"/>
      <c r="AD38" s="106"/>
      <c r="AE38" s="106"/>
      <c r="AF38" s="106"/>
      <c r="AG38" s="106"/>
      <c r="AH38" s="106"/>
      <c r="AI38" s="106"/>
      <c r="AJ38" s="106"/>
      <c r="AK38" s="106"/>
      <c r="AL38" s="106"/>
      <c r="AM38" s="106"/>
      <c r="AN38" s="106"/>
      <c r="AO38" s="107">
        <v>0</v>
      </c>
      <c r="AP38" s="106"/>
      <c r="AQ38" s="106"/>
      <c r="AR38" s="106"/>
      <c r="AS38" s="106"/>
      <c r="AT38" s="106"/>
      <c r="AU38" s="106"/>
      <c r="AV38" s="106"/>
      <c r="AW38" s="106"/>
      <c r="AX38" s="106"/>
      <c r="AY38" s="106"/>
      <c r="AZ38" s="106"/>
      <c r="BA38" s="106"/>
      <c r="BB38" s="107">
        <v>0</v>
      </c>
      <c r="BC38" s="106"/>
      <c r="BD38" s="106"/>
      <c r="BE38" s="106"/>
      <c r="BF38" s="106"/>
      <c r="BG38" s="106"/>
      <c r="BH38" s="106"/>
      <c r="BI38" s="106"/>
      <c r="BJ38" s="107">
        <v>0</v>
      </c>
      <c r="BK38" s="107">
        <v>500000</v>
      </c>
      <c r="BM38" s="98"/>
    </row>
    <row r="39" spans="1:65" s="97" customFormat="1" ht="16.399999999999999" customHeight="1" outlineLevel="1">
      <c r="A39" s="103"/>
      <c r="B39" s="104"/>
      <c r="C39" s="105"/>
      <c r="D39" s="105"/>
      <c r="E39" s="105"/>
      <c r="F39" s="105"/>
      <c r="G39" s="105"/>
      <c r="H39" s="105"/>
      <c r="I39" s="105"/>
      <c r="J39" s="106"/>
      <c r="K39" s="106"/>
      <c r="L39" s="106"/>
      <c r="M39" s="106"/>
      <c r="N39" s="106"/>
      <c r="O39" s="107"/>
      <c r="P39" s="106"/>
      <c r="Q39" s="106"/>
      <c r="R39" s="106"/>
      <c r="S39" s="106"/>
      <c r="T39" s="106"/>
      <c r="U39" s="106"/>
      <c r="V39" s="106"/>
      <c r="W39" s="106"/>
      <c r="X39" s="106"/>
      <c r="Y39" s="106"/>
      <c r="Z39" s="106"/>
      <c r="AA39" s="106"/>
      <c r="AB39" s="107"/>
      <c r="AC39" s="106"/>
      <c r="AD39" s="106"/>
      <c r="AE39" s="106"/>
      <c r="AF39" s="106"/>
      <c r="AG39" s="106"/>
      <c r="AH39" s="106"/>
      <c r="AI39" s="106"/>
      <c r="AJ39" s="106"/>
      <c r="AK39" s="106"/>
      <c r="AL39" s="106"/>
      <c r="AM39" s="106"/>
      <c r="AN39" s="106"/>
      <c r="AO39" s="107"/>
      <c r="AP39" s="106"/>
      <c r="AQ39" s="106"/>
      <c r="AR39" s="106"/>
      <c r="AS39" s="106"/>
      <c r="AT39" s="106"/>
      <c r="AU39" s="106"/>
      <c r="AV39" s="106"/>
      <c r="AW39" s="106"/>
      <c r="AX39" s="106"/>
      <c r="AY39" s="106"/>
      <c r="AZ39" s="106"/>
      <c r="BA39" s="106"/>
      <c r="BB39" s="107"/>
      <c r="BC39" s="106"/>
      <c r="BD39" s="106"/>
      <c r="BE39" s="106"/>
      <c r="BF39" s="106"/>
      <c r="BG39" s="106"/>
      <c r="BH39" s="106"/>
      <c r="BI39" s="106"/>
      <c r="BJ39" s="107"/>
      <c r="BK39" s="107"/>
      <c r="BM39" s="98"/>
    </row>
    <row r="40" spans="1:65" s="97" customFormat="1" ht="16.399999999999999" customHeight="1" outlineLevel="1">
      <c r="A40" s="103"/>
      <c r="B40" s="104"/>
      <c r="C40" s="105"/>
      <c r="D40" s="105"/>
      <c r="E40" s="105"/>
      <c r="F40" s="105"/>
      <c r="G40" s="105"/>
      <c r="H40" s="105"/>
      <c r="I40" s="105"/>
      <c r="J40" s="106"/>
      <c r="K40" s="106"/>
      <c r="L40" s="106"/>
      <c r="M40" s="106"/>
      <c r="N40" s="106"/>
      <c r="O40" s="107"/>
      <c r="P40" s="106"/>
      <c r="Q40" s="106"/>
      <c r="R40" s="106"/>
      <c r="S40" s="106"/>
      <c r="T40" s="106"/>
      <c r="U40" s="106"/>
      <c r="V40" s="106"/>
      <c r="W40" s="106"/>
      <c r="X40" s="106"/>
      <c r="Y40" s="106"/>
      <c r="Z40" s="106"/>
      <c r="AA40" s="106"/>
      <c r="AB40" s="107"/>
      <c r="AC40" s="106"/>
      <c r="AD40" s="106"/>
      <c r="AE40" s="106"/>
      <c r="AF40" s="106"/>
      <c r="AG40" s="106"/>
      <c r="AH40" s="106"/>
      <c r="AI40" s="106"/>
      <c r="AJ40" s="106"/>
      <c r="AK40" s="106"/>
      <c r="AL40" s="106"/>
      <c r="AM40" s="106"/>
      <c r="AN40" s="106"/>
      <c r="AO40" s="107"/>
      <c r="AP40" s="106"/>
      <c r="AQ40" s="106"/>
      <c r="AR40" s="106"/>
      <c r="AS40" s="106"/>
      <c r="AT40" s="106"/>
      <c r="AU40" s="106"/>
      <c r="AV40" s="106"/>
      <c r="AW40" s="106"/>
      <c r="AX40" s="106"/>
      <c r="AY40" s="106"/>
      <c r="AZ40" s="106"/>
      <c r="BA40" s="106"/>
      <c r="BB40" s="107"/>
      <c r="BC40" s="106"/>
      <c r="BD40" s="106"/>
      <c r="BE40" s="106"/>
      <c r="BF40" s="106"/>
      <c r="BG40" s="106"/>
      <c r="BH40" s="106"/>
      <c r="BI40" s="106"/>
      <c r="BJ40" s="107"/>
      <c r="BK40" s="107"/>
      <c r="BM40" s="98"/>
    </row>
    <row r="41" spans="1:65" s="97" customFormat="1" ht="16.399999999999999" customHeight="1" outlineLevel="1">
      <c r="A41" s="103"/>
      <c r="B41" s="104"/>
      <c r="C41" s="105"/>
      <c r="D41" s="105"/>
      <c r="E41" s="105"/>
      <c r="F41" s="105"/>
      <c r="G41" s="105"/>
      <c r="H41" s="105"/>
      <c r="I41" s="105"/>
      <c r="J41" s="106"/>
      <c r="K41" s="106"/>
      <c r="L41" s="106"/>
      <c r="M41" s="106"/>
      <c r="N41" s="106"/>
      <c r="O41" s="107"/>
      <c r="P41" s="106"/>
      <c r="Q41" s="106"/>
      <c r="R41" s="106"/>
      <c r="S41" s="106"/>
      <c r="T41" s="106"/>
      <c r="U41" s="106"/>
      <c r="V41" s="106"/>
      <c r="W41" s="106"/>
      <c r="X41" s="106"/>
      <c r="Y41" s="106"/>
      <c r="Z41" s="106"/>
      <c r="AA41" s="106"/>
      <c r="AB41" s="107"/>
      <c r="AC41" s="106"/>
      <c r="AD41" s="106"/>
      <c r="AE41" s="106"/>
      <c r="AF41" s="106"/>
      <c r="AG41" s="106"/>
      <c r="AH41" s="106"/>
      <c r="AI41" s="106"/>
      <c r="AJ41" s="106"/>
      <c r="AK41" s="106"/>
      <c r="AL41" s="106"/>
      <c r="AM41" s="106"/>
      <c r="AN41" s="106"/>
      <c r="AO41" s="107"/>
      <c r="AP41" s="106"/>
      <c r="AQ41" s="106"/>
      <c r="AR41" s="106"/>
      <c r="AS41" s="106"/>
      <c r="AT41" s="106"/>
      <c r="AU41" s="106"/>
      <c r="AV41" s="106"/>
      <c r="AW41" s="106"/>
      <c r="AX41" s="106"/>
      <c r="AY41" s="106"/>
      <c r="AZ41" s="106"/>
      <c r="BA41" s="106"/>
      <c r="BB41" s="107"/>
      <c r="BC41" s="106"/>
      <c r="BD41" s="106"/>
      <c r="BE41" s="106"/>
      <c r="BF41" s="106"/>
      <c r="BG41" s="106"/>
      <c r="BH41" s="106"/>
      <c r="BI41" s="106"/>
      <c r="BJ41" s="107"/>
      <c r="BK41" s="107"/>
      <c r="BM41" s="98"/>
    </row>
    <row r="42" spans="1:65" s="97" customFormat="1" ht="16.399999999999999" customHeight="1" outlineLevel="1">
      <c r="A42" s="103"/>
      <c r="B42" s="104"/>
      <c r="C42" s="105"/>
      <c r="D42" s="105"/>
      <c r="E42" s="105"/>
      <c r="F42" s="105"/>
      <c r="G42" s="105"/>
      <c r="H42" s="105"/>
      <c r="I42" s="105"/>
      <c r="J42" s="106"/>
      <c r="K42" s="106"/>
      <c r="L42" s="106"/>
      <c r="M42" s="106"/>
      <c r="N42" s="106"/>
      <c r="O42" s="107"/>
      <c r="P42" s="106"/>
      <c r="Q42" s="106"/>
      <c r="R42" s="106"/>
      <c r="S42" s="106"/>
      <c r="T42" s="106"/>
      <c r="U42" s="106"/>
      <c r="V42" s="106"/>
      <c r="W42" s="106"/>
      <c r="X42" s="106"/>
      <c r="Y42" s="106"/>
      <c r="Z42" s="106"/>
      <c r="AA42" s="106"/>
      <c r="AB42" s="107"/>
      <c r="AC42" s="106"/>
      <c r="AD42" s="106"/>
      <c r="AE42" s="106"/>
      <c r="AF42" s="106"/>
      <c r="AG42" s="106"/>
      <c r="AH42" s="106"/>
      <c r="AI42" s="106"/>
      <c r="AJ42" s="106"/>
      <c r="AK42" s="106"/>
      <c r="AL42" s="106"/>
      <c r="AM42" s="106"/>
      <c r="AN42" s="106"/>
      <c r="AO42" s="107"/>
      <c r="AP42" s="106"/>
      <c r="AQ42" s="106"/>
      <c r="AR42" s="106"/>
      <c r="AS42" s="106"/>
      <c r="AT42" s="106"/>
      <c r="AU42" s="106"/>
      <c r="AV42" s="106"/>
      <c r="AW42" s="106"/>
      <c r="AX42" s="106"/>
      <c r="AY42" s="106"/>
      <c r="AZ42" s="106"/>
      <c r="BA42" s="106"/>
      <c r="BB42" s="107"/>
      <c r="BC42" s="106"/>
      <c r="BD42" s="106"/>
      <c r="BE42" s="106"/>
      <c r="BF42" s="106"/>
      <c r="BG42" s="106"/>
      <c r="BH42" s="106"/>
      <c r="BI42" s="106"/>
      <c r="BJ42" s="107"/>
      <c r="BK42" s="107"/>
      <c r="BM42" s="98"/>
    </row>
    <row r="43" spans="1:65" s="97" customFormat="1" ht="16.399999999999999" customHeight="1" outlineLevel="1">
      <c r="A43" s="103"/>
      <c r="B43" s="104"/>
      <c r="C43" s="105"/>
      <c r="D43" s="105"/>
      <c r="E43" s="105"/>
      <c r="F43" s="105"/>
      <c r="G43" s="105"/>
      <c r="H43" s="105"/>
      <c r="I43" s="105"/>
      <c r="J43" s="106"/>
      <c r="K43" s="106"/>
      <c r="L43" s="106"/>
      <c r="M43" s="106"/>
      <c r="N43" s="106"/>
      <c r="O43" s="107"/>
      <c r="P43" s="106"/>
      <c r="Q43" s="106"/>
      <c r="R43" s="106"/>
      <c r="S43" s="106"/>
      <c r="T43" s="106"/>
      <c r="U43" s="106"/>
      <c r="V43" s="106"/>
      <c r="W43" s="106"/>
      <c r="X43" s="106"/>
      <c r="Y43" s="106"/>
      <c r="Z43" s="106"/>
      <c r="AA43" s="106"/>
      <c r="AB43" s="107"/>
      <c r="AC43" s="106"/>
      <c r="AD43" s="106"/>
      <c r="AE43" s="106"/>
      <c r="AF43" s="106"/>
      <c r="AG43" s="106"/>
      <c r="AH43" s="106"/>
      <c r="AI43" s="106"/>
      <c r="AJ43" s="106"/>
      <c r="AK43" s="106"/>
      <c r="AL43" s="106"/>
      <c r="AM43" s="106"/>
      <c r="AN43" s="106"/>
      <c r="AO43" s="107"/>
      <c r="AP43" s="106"/>
      <c r="AQ43" s="106"/>
      <c r="AR43" s="106"/>
      <c r="AS43" s="106"/>
      <c r="AT43" s="106"/>
      <c r="AU43" s="106"/>
      <c r="AV43" s="106"/>
      <c r="AW43" s="106"/>
      <c r="AX43" s="106"/>
      <c r="AY43" s="106"/>
      <c r="AZ43" s="106"/>
      <c r="BA43" s="106"/>
      <c r="BB43" s="107"/>
      <c r="BC43" s="106"/>
      <c r="BD43" s="106"/>
      <c r="BE43" s="106"/>
      <c r="BF43" s="106"/>
      <c r="BG43" s="106"/>
      <c r="BH43" s="106"/>
      <c r="BI43" s="106"/>
      <c r="BJ43" s="107"/>
      <c r="BK43" s="107"/>
      <c r="BM43" s="98"/>
    </row>
    <row r="44" spans="1:65" s="97" customFormat="1" ht="16.399999999999999" customHeight="1" outlineLevel="1">
      <c r="A44" s="103"/>
      <c r="B44" s="104"/>
      <c r="C44" s="105"/>
      <c r="D44" s="105"/>
      <c r="E44" s="105"/>
      <c r="F44" s="105"/>
      <c r="G44" s="105"/>
      <c r="H44" s="105"/>
      <c r="I44" s="105"/>
      <c r="J44" s="106"/>
      <c r="K44" s="106"/>
      <c r="L44" s="106"/>
      <c r="M44" s="106"/>
      <c r="N44" s="106"/>
      <c r="O44" s="107"/>
      <c r="P44" s="106"/>
      <c r="Q44" s="106"/>
      <c r="R44" s="106"/>
      <c r="S44" s="106"/>
      <c r="T44" s="106"/>
      <c r="U44" s="106"/>
      <c r="V44" s="106"/>
      <c r="W44" s="106"/>
      <c r="X44" s="106"/>
      <c r="Y44" s="106"/>
      <c r="Z44" s="106"/>
      <c r="AA44" s="106"/>
      <c r="AB44" s="107"/>
      <c r="AC44" s="106"/>
      <c r="AD44" s="106"/>
      <c r="AE44" s="106"/>
      <c r="AF44" s="106"/>
      <c r="AG44" s="106"/>
      <c r="AH44" s="106"/>
      <c r="AI44" s="106"/>
      <c r="AJ44" s="106"/>
      <c r="AK44" s="106"/>
      <c r="AL44" s="106"/>
      <c r="AM44" s="106"/>
      <c r="AN44" s="106"/>
      <c r="AO44" s="107"/>
      <c r="AP44" s="106"/>
      <c r="AQ44" s="106"/>
      <c r="AR44" s="106"/>
      <c r="AS44" s="106"/>
      <c r="AT44" s="106"/>
      <c r="AU44" s="106"/>
      <c r="AV44" s="106"/>
      <c r="AW44" s="106"/>
      <c r="AX44" s="106"/>
      <c r="AY44" s="106"/>
      <c r="AZ44" s="106"/>
      <c r="BA44" s="106"/>
      <c r="BB44" s="107"/>
      <c r="BC44" s="106"/>
      <c r="BD44" s="106"/>
      <c r="BE44" s="106"/>
      <c r="BF44" s="106"/>
      <c r="BG44" s="106"/>
      <c r="BH44" s="106"/>
      <c r="BI44" s="106"/>
      <c r="BJ44" s="107"/>
      <c r="BK44" s="107"/>
      <c r="BM44" s="98"/>
    </row>
    <row r="45" spans="1:65" s="97" customFormat="1" ht="16.399999999999999" customHeight="1" outlineLevel="1">
      <c r="A45" s="103" t="s">
        <v>5223</v>
      </c>
      <c r="B45" s="104"/>
      <c r="C45" s="105"/>
      <c r="D45" s="105"/>
      <c r="E45" s="105"/>
      <c r="F45" s="105"/>
      <c r="G45" s="105"/>
      <c r="H45" s="105"/>
      <c r="I45" s="105"/>
      <c r="J45" s="106"/>
      <c r="K45" s="106"/>
      <c r="L45" s="106"/>
      <c r="M45" s="106"/>
      <c r="N45" s="106"/>
      <c r="O45" s="107">
        <v>0</v>
      </c>
      <c r="P45" s="106"/>
      <c r="Q45" s="106"/>
      <c r="R45" s="106"/>
      <c r="S45" s="106">
        <v>145455.53808323198</v>
      </c>
      <c r="T45" s="106">
        <v>172936.10883056914</v>
      </c>
      <c r="U45" s="106">
        <v>172936.10883056914</v>
      </c>
      <c r="V45" s="106">
        <v>172936.10883056914</v>
      </c>
      <c r="W45" s="106">
        <v>172936.10883056914</v>
      </c>
      <c r="X45" s="106">
        <v>172936.10883056914</v>
      </c>
      <c r="Y45" s="106">
        <v>172936.10883056914</v>
      </c>
      <c r="Z45" s="106">
        <v>27480.570747337162</v>
      </c>
      <c r="AA45" s="106">
        <v>0</v>
      </c>
      <c r="AB45" s="107">
        <v>1210552.7618139838</v>
      </c>
      <c r="AC45" s="106">
        <v>0</v>
      </c>
      <c r="AD45" s="106">
        <v>0</v>
      </c>
      <c r="AE45" s="106">
        <v>172936.10883056914</v>
      </c>
      <c r="AF45" s="106">
        <v>172936.10883056914</v>
      </c>
      <c r="AG45" s="106">
        <v>200989.59476100057</v>
      </c>
      <c r="AH45" s="106">
        <v>231462.50507243117</v>
      </c>
      <c r="AI45" s="106">
        <v>231462.50507243117</v>
      </c>
      <c r="AJ45" s="106">
        <v>231462.50507243117</v>
      </c>
      <c r="AK45" s="106">
        <v>231462.50507243117</v>
      </c>
      <c r="AL45" s="106">
        <v>58526.396241862036</v>
      </c>
      <c r="AM45" s="106">
        <v>30472.910311430642</v>
      </c>
      <c r="AN45" s="106">
        <v>0</v>
      </c>
      <c r="AO45" s="107">
        <v>1561711.1392651564</v>
      </c>
      <c r="AP45" s="106"/>
      <c r="AQ45" s="106"/>
      <c r="AR45" s="106"/>
      <c r="AS45" s="106"/>
      <c r="AT45" s="106"/>
      <c r="AU45" s="106"/>
      <c r="AV45" s="106"/>
      <c r="AW45" s="106"/>
      <c r="AX45" s="106"/>
      <c r="AY45" s="106"/>
      <c r="AZ45" s="106"/>
      <c r="BA45" s="106"/>
      <c r="BB45" s="107">
        <v>0</v>
      </c>
      <c r="BC45" s="106"/>
      <c r="BD45" s="106"/>
      <c r="BE45" s="106"/>
      <c r="BF45" s="106"/>
      <c r="BG45" s="106"/>
      <c r="BH45" s="106"/>
      <c r="BI45" s="106"/>
      <c r="BJ45" s="107">
        <v>0</v>
      </c>
      <c r="BK45" s="107">
        <v>2772263.9010791401</v>
      </c>
      <c r="BM45" s="98"/>
    </row>
    <row r="46" spans="1:65" s="97" customFormat="1" ht="16.399999999999999" customHeight="1" outlineLevel="1">
      <c r="A46" s="103" t="s">
        <v>5224</v>
      </c>
      <c r="B46" s="104"/>
      <c r="C46" s="105"/>
      <c r="D46" s="105"/>
      <c r="E46" s="105"/>
      <c r="F46" s="105"/>
      <c r="G46" s="105"/>
      <c r="H46" s="105"/>
      <c r="I46" s="105"/>
      <c r="J46" s="106"/>
      <c r="K46" s="106"/>
      <c r="L46" s="106"/>
      <c r="M46" s="106"/>
      <c r="N46" s="106"/>
      <c r="O46" s="107">
        <v>0</v>
      </c>
      <c r="P46" s="106">
        <v>184230.19982750973</v>
      </c>
      <c r="Q46" s="106">
        <v>184230.19982750973</v>
      </c>
      <c r="R46" s="106">
        <v>184230.19982750973</v>
      </c>
      <c r="S46" s="106">
        <v>184230.19982750973</v>
      </c>
      <c r="T46" s="106">
        <v>184230.19982750973</v>
      </c>
      <c r="U46" s="106">
        <v>184230.19982750973</v>
      </c>
      <c r="V46" s="106">
        <v>184230.19982750973</v>
      </c>
      <c r="W46" s="106">
        <v>184230.19982750973</v>
      </c>
      <c r="X46" s="106">
        <v>184230.19982750973</v>
      </c>
      <c r="Y46" s="106">
        <v>184230.19982750973</v>
      </c>
      <c r="Z46" s="106">
        <v>0</v>
      </c>
      <c r="AA46" s="106">
        <v>0</v>
      </c>
      <c r="AB46" s="107">
        <v>1842301.9982750972</v>
      </c>
      <c r="AC46" s="106"/>
      <c r="AD46" s="106"/>
      <c r="AE46" s="106"/>
      <c r="AF46" s="106"/>
      <c r="AG46" s="106"/>
      <c r="AH46" s="106"/>
      <c r="AI46" s="106"/>
      <c r="AJ46" s="106"/>
      <c r="AK46" s="106"/>
      <c r="AL46" s="106"/>
      <c r="AM46" s="106"/>
      <c r="AN46" s="106"/>
      <c r="AO46" s="107">
        <v>0</v>
      </c>
      <c r="AP46" s="106"/>
      <c r="AQ46" s="106"/>
      <c r="AR46" s="106"/>
      <c r="AS46" s="106"/>
      <c r="AT46" s="106"/>
      <c r="AU46" s="106"/>
      <c r="AV46" s="106"/>
      <c r="AW46" s="106"/>
      <c r="AX46" s="106"/>
      <c r="AY46" s="106"/>
      <c r="AZ46" s="106"/>
      <c r="BA46" s="106"/>
      <c r="BB46" s="107">
        <v>0</v>
      </c>
      <c r="BC46" s="106"/>
      <c r="BD46" s="106"/>
      <c r="BE46" s="106"/>
      <c r="BF46" s="106"/>
      <c r="BG46" s="106"/>
      <c r="BH46" s="106"/>
      <c r="BI46" s="106"/>
      <c r="BJ46" s="107">
        <v>0</v>
      </c>
      <c r="BK46" s="107">
        <v>1842301.9982750972</v>
      </c>
      <c r="BM46" s="98"/>
    </row>
    <row r="47" spans="1:65" s="97" customFormat="1" ht="16.399999999999999" customHeight="1" outlineLevel="1">
      <c r="A47" s="103" t="s">
        <v>5225</v>
      </c>
      <c r="B47" s="104"/>
      <c r="C47" s="105"/>
      <c r="D47" s="105"/>
      <c r="E47" s="105"/>
      <c r="F47" s="105"/>
      <c r="G47" s="105"/>
      <c r="H47" s="105"/>
      <c r="I47" s="105"/>
      <c r="J47" s="106"/>
      <c r="K47" s="106"/>
      <c r="L47" s="106"/>
      <c r="M47" s="106"/>
      <c r="N47" s="106"/>
      <c r="O47" s="107">
        <v>0</v>
      </c>
      <c r="P47" s="106"/>
      <c r="Q47" s="106"/>
      <c r="R47" s="106"/>
      <c r="S47" s="106"/>
      <c r="T47" s="106"/>
      <c r="U47" s="106"/>
      <c r="V47" s="106"/>
      <c r="W47" s="106"/>
      <c r="X47" s="106"/>
      <c r="Y47" s="106"/>
      <c r="Z47" s="106"/>
      <c r="AA47" s="106"/>
      <c r="AB47" s="107">
        <v>0</v>
      </c>
      <c r="AC47" s="106"/>
      <c r="AD47" s="106"/>
      <c r="AE47" s="106"/>
      <c r="AF47" s="106"/>
      <c r="AG47" s="106"/>
      <c r="AH47" s="106"/>
      <c r="AI47" s="106"/>
      <c r="AJ47" s="106"/>
      <c r="AK47" s="106"/>
      <c r="AL47" s="106"/>
      <c r="AM47" s="106"/>
      <c r="AN47" s="106">
        <v>9682649.4297503568</v>
      </c>
      <c r="AO47" s="107">
        <v>9682649.4297503568</v>
      </c>
      <c r="AP47" s="106"/>
      <c r="AQ47" s="106"/>
      <c r="AR47" s="106"/>
      <c r="AS47" s="106"/>
      <c r="AT47" s="106"/>
      <c r="AU47" s="106"/>
      <c r="AV47" s="106"/>
      <c r="AW47" s="106"/>
      <c r="AX47" s="106"/>
      <c r="AY47" s="106"/>
      <c r="AZ47" s="106"/>
      <c r="BA47" s="106"/>
      <c r="BB47" s="107">
        <v>0</v>
      </c>
      <c r="BC47" s="106"/>
      <c r="BD47" s="106"/>
      <c r="BE47" s="106"/>
      <c r="BF47" s="106"/>
      <c r="BG47" s="106"/>
      <c r="BH47" s="106"/>
      <c r="BI47" s="106"/>
      <c r="BJ47" s="107">
        <v>0</v>
      </c>
      <c r="BK47" s="107">
        <v>9682649.4297503568</v>
      </c>
      <c r="BM47" s="98"/>
    </row>
    <row r="48" spans="1:65" s="97" customFormat="1" ht="16.399999999999999" customHeight="1" outlineLevel="1">
      <c r="A48" s="103" t="s">
        <v>5226</v>
      </c>
      <c r="B48" s="104"/>
      <c r="C48" s="105"/>
      <c r="D48" s="105"/>
      <c r="E48" s="105"/>
      <c r="F48" s="105"/>
      <c r="G48" s="105"/>
      <c r="H48" s="105"/>
      <c r="I48" s="105"/>
      <c r="J48" s="106"/>
      <c r="K48" s="106"/>
      <c r="L48" s="106"/>
      <c r="M48" s="106"/>
      <c r="N48" s="106"/>
      <c r="O48" s="107">
        <v>0</v>
      </c>
      <c r="P48" s="106"/>
      <c r="Q48" s="106"/>
      <c r="R48" s="106"/>
      <c r="S48" s="106"/>
      <c r="T48" s="106"/>
      <c r="U48" s="106"/>
      <c r="V48" s="106"/>
      <c r="W48" s="106"/>
      <c r="X48" s="106"/>
      <c r="Y48" s="106"/>
      <c r="Z48" s="106"/>
      <c r="AA48" s="106"/>
      <c r="AB48" s="107">
        <v>0</v>
      </c>
      <c r="AC48" s="106"/>
      <c r="AD48" s="106"/>
      <c r="AE48" s="106"/>
      <c r="AF48" s="106"/>
      <c r="AG48" s="106"/>
      <c r="AH48" s="106"/>
      <c r="AI48" s="106"/>
      <c r="AJ48" s="106"/>
      <c r="AK48" s="106"/>
      <c r="AL48" s="106"/>
      <c r="AM48" s="106"/>
      <c r="AN48" s="106"/>
      <c r="AO48" s="107">
        <v>0</v>
      </c>
      <c r="AP48" s="106"/>
      <c r="AQ48" s="106"/>
      <c r="AR48" s="106"/>
      <c r="AS48" s="106"/>
      <c r="AT48" s="106"/>
      <c r="AU48" s="106"/>
      <c r="AV48" s="106"/>
      <c r="AW48" s="106"/>
      <c r="AX48" s="106"/>
      <c r="AY48" s="106"/>
      <c r="AZ48" s="106"/>
      <c r="BA48" s="106"/>
      <c r="BB48" s="107">
        <v>0</v>
      </c>
      <c r="BC48" s="106"/>
      <c r="BD48" s="106"/>
      <c r="BE48" s="106"/>
      <c r="BF48" s="106"/>
      <c r="BG48" s="106"/>
      <c r="BH48" s="106"/>
      <c r="BI48" s="106"/>
      <c r="BJ48" s="107">
        <v>0</v>
      </c>
      <c r="BK48" s="107">
        <v>0</v>
      </c>
      <c r="BM48" s="98"/>
    </row>
    <row r="53" spans="1:65" s="97" customFormat="1" ht="16.399999999999999" customHeight="1" outlineLevel="1">
      <c r="A53" s="111" t="s">
        <v>5227</v>
      </c>
      <c r="B53" s="104"/>
      <c r="C53" s="105"/>
      <c r="D53" s="105"/>
      <c r="E53" s="105"/>
      <c r="F53" s="105"/>
      <c r="G53" s="105"/>
      <c r="H53" s="105"/>
      <c r="I53" s="105"/>
      <c r="J53" s="106">
        <v>55160.808823940475</v>
      </c>
      <c r="K53" s="106">
        <v>67336.773313505939</v>
      </c>
      <c r="L53" s="106">
        <v>76376.504525456039</v>
      </c>
      <c r="M53" s="106">
        <v>88183.500394125571</v>
      </c>
      <c r="N53" s="106">
        <v>93349.061086668502</v>
      </c>
      <c r="O53" s="107"/>
      <c r="P53" s="106">
        <v>80669.957568608603</v>
      </c>
      <c r="Q53" s="106">
        <v>84527.356787065975</v>
      </c>
      <c r="R53" s="106">
        <v>88049.329986527067</v>
      </c>
      <c r="S53" s="106">
        <v>92074.44221448258</v>
      </c>
      <c r="T53" s="106">
        <v>93919.285318962196</v>
      </c>
      <c r="U53" s="106">
        <v>94254.711337958492</v>
      </c>
      <c r="V53" s="106">
        <v>93080.720271471466</v>
      </c>
      <c r="W53" s="106">
        <v>91068.164157493709</v>
      </c>
      <c r="X53" s="106">
        <v>89391.034062512234</v>
      </c>
      <c r="Y53" s="106">
        <v>88720.182024519643</v>
      </c>
      <c r="Z53" s="106">
        <v>86372.199891545592</v>
      </c>
      <c r="AA53" s="106">
        <v>86372.199891545592</v>
      </c>
      <c r="AB53" s="107"/>
      <c r="AC53" s="106">
        <v>90397.312119501119</v>
      </c>
      <c r="AD53" s="106">
        <v>90212.827809053153</v>
      </c>
      <c r="AE53" s="106">
        <v>90212.827809053153</v>
      </c>
      <c r="AF53" s="106">
        <v>90212.827809053153</v>
      </c>
      <c r="AG53" s="106">
        <v>90581.79642994907</v>
      </c>
      <c r="AH53" s="106">
        <v>90581.79642994907</v>
      </c>
      <c r="AI53" s="106">
        <v>90212.827809053153</v>
      </c>
      <c r="AJ53" s="106">
        <v>85600.72004785412</v>
      </c>
      <c r="AK53" s="106">
        <v>77114.441767247888</v>
      </c>
      <c r="AL53" s="106">
        <v>56821.167617972133</v>
      </c>
      <c r="AM53" s="106">
        <v>42984.844334375019</v>
      </c>
      <c r="AN53" s="106">
        <v>24351.928979130913</v>
      </c>
      <c r="AO53" s="107"/>
      <c r="AP53" s="106"/>
      <c r="AQ53" s="106"/>
      <c r="AR53" s="106"/>
      <c r="AS53" s="106"/>
      <c r="AT53" s="106"/>
      <c r="AU53" s="106"/>
      <c r="AV53" s="106"/>
      <c r="AW53" s="106"/>
      <c r="AX53" s="106"/>
      <c r="AY53" s="106"/>
      <c r="AZ53" s="106"/>
      <c r="BA53" s="106"/>
      <c r="BB53" s="107"/>
      <c r="BC53" s="106"/>
      <c r="BD53" s="106"/>
      <c r="BE53" s="106"/>
      <c r="BF53" s="106"/>
      <c r="BG53" s="106"/>
      <c r="BH53" s="106"/>
      <c r="BI53" s="106"/>
      <c r="BJ53" s="107">
        <f>+SUM(J53:BI53)</f>
        <v>2368191.5506185819</v>
      </c>
      <c r="BK53" s="107"/>
      <c r="BM53" s="98"/>
    </row>
    <row r="54" spans="1:65">
      <c r="J54">
        <f>+J53/SUM($J$53:$AN$53)</f>
        <v>2.3292376332282847E-2</v>
      </c>
      <c r="K54">
        <f t="shared" ref="K54:BE54" si="1">+K53/SUM($J$53:$AN$53)</f>
        <v>2.8433837328706489E-2</v>
      </c>
      <c r="L54">
        <f t="shared" si="1"/>
        <v>3.2250982613930092E-2</v>
      </c>
      <c r="M54">
        <f t="shared" si="1"/>
        <v>3.723664176197726E-2</v>
      </c>
      <c r="N54">
        <f t="shared" si="1"/>
        <v>3.94178676392479E-2</v>
      </c>
      <c r="O54">
        <f t="shared" si="1"/>
        <v>0</v>
      </c>
      <c r="P54">
        <f t="shared" si="1"/>
        <v>3.4063949576856337E-2</v>
      </c>
      <c r="Q54">
        <f t="shared" si="1"/>
        <v>3.569278708261038E-2</v>
      </c>
      <c r="R54">
        <f t="shared" si="1"/>
        <v>3.7179986544385819E-2</v>
      </c>
      <c r="S54">
        <f t="shared" si="1"/>
        <v>3.8879643072129169E-2</v>
      </c>
      <c r="T54">
        <f t="shared" si="1"/>
        <v>3.9658652314011535E-2</v>
      </c>
      <c r="U54">
        <f t="shared" si="1"/>
        <v>3.9800290357990153E-2</v>
      </c>
      <c r="V54">
        <f t="shared" si="1"/>
        <v>3.9304557204065005E-2</v>
      </c>
      <c r="W54">
        <f t="shared" si="1"/>
        <v>3.8454728940193333E-2</v>
      </c>
      <c r="X54">
        <f t="shared" si="1"/>
        <v>3.7746538720300267E-2</v>
      </c>
      <c r="Y54">
        <f t="shared" si="1"/>
        <v>3.7463262632343043E-2</v>
      </c>
      <c r="Z54">
        <f t="shared" si="1"/>
        <v>3.6471796324492753E-2</v>
      </c>
      <c r="AA54">
        <f t="shared" si="1"/>
        <v>3.6471796324492753E-2</v>
      </c>
      <c r="AB54">
        <f t="shared" si="1"/>
        <v>0</v>
      </c>
      <c r="AC54">
        <f t="shared" si="1"/>
        <v>3.817145285223611E-2</v>
      </c>
      <c r="AD54">
        <f t="shared" si="1"/>
        <v>3.8093551928047871E-2</v>
      </c>
      <c r="AE54">
        <f t="shared" si="1"/>
        <v>3.8093551928047871E-2</v>
      </c>
      <c r="AF54">
        <f t="shared" si="1"/>
        <v>3.8093551928047871E-2</v>
      </c>
      <c r="AG54">
        <f t="shared" si="1"/>
        <v>3.8249353776424341E-2</v>
      </c>
      <c r="AH54">
        <f t="shared" si="1"/>
        <v>3.8249353776424341E-2</v>
      </c>
      <c r="AI54">
        <f t="shared" si="1"/>
        <v>3.8093551928047871E-2</v>
      </c>
      <c r="AJ54">
        <f t="shared" si="1"/>
        <v>3.6146028823341947E-2</v>
      </c>
      <c r="AK54">
        <f t="shared" si="1"/>
        <v>3.2562586310683046E-2</v>
      </c>
      <c r="AL54">
        <f t="shared" si="1"/>
        <v>2.3993484649976981E-2</v>
      </c>
      <c r="AM54">
        <f t="shared" si="1"/>
        <v>1.8150915335859209E-2</v>
      </c>
      <c r="AN54">
        <f t="shared" si="1"/>
        <v>1.0282921992847277E-2</v>
      </c>
      <c r="AO54">
        <f t="shared" si="1"/>
        <v>0</v>
      </c>
      <c r="AP54">
        <f t="shared" si="1"/>
        <v>0</v>
      </c>
      <c r="AQ54">
        <f t="shared" si="1"/>
        <v>0</v>
      </c>
      <c r="AR54">
        <f t="shared" si="1"/>
        <v>0</v>
      </c>
      <c r="AS54">
        <f t="shared" si="1"/>
        <v>0</v>
      </c>
      <c r="AT54">
        <f t="shared" si="1"/>
        <v>0</v>
      </c>
      <c r="AU54">
        <f t="shared" si="1"/>
        <v>0</v>
      </c>
      <c r="AV54">
        <f t="shared" si="1"/>
        <v>0</v>
      </c>
      <c r="AW54">
        <f t="shared" si="1"/>
        <v>0</v>
      </c>
      <c r="AX54">
        <f t="shared" si="1"/>
        <v>0</v>
      </c>
      <c r="AY54">
        <f t="shared" si="1"/>
        <v>0</v>
      </c>
      <c r="AZ54">
        <f t="shared" si="1"/>
        <v>0</v>
      </c>
      <c r="BA54">
        <f t="shared" si="1"/>
        <v>0</v>
      </c>
      <c r="BB54">
        <f t="shared" si="1"/>
        <v>0</v>
      </c>
      <c r="BC54">
        <f t="shared" si="1"/>
        <v>0</v>
      </c>
      <c r="BD54">
        <f t="shared" si="1"/>
        <v>0</v>
      </c>
      <c r="BE54">
        <f t="shared" si="1"/>
        <v>0</v>
      </c>
    </row>
    <row r="58" spans="1:65">
      <c r="P58" s="112">
        <f>+SUM(J59:P59)</f>
        <v>3705723.5139229745</v>
      </c>
    </row>
    <row r="59" spans="1:65" s="97" customFormat="1" ht="16.399999999999999" customHeight="1">
      <c r="A59" s="92" t="s">
        <v>5228</v>
      </c>
      <c r="B59" s="93"/>
      <c r="C59" s="94"/>
      <c r="D59" s="94"/>
      <c r="E59" s="94"/>
      <c r="F59" s="94"/>
      <c r="G59" s="94"/>
      <c r="H59" s="94"/>
      <c r="I59" s="94"/>
      <c r="J59" s="95">
        <v>2087225.7473012181</v>
      </c>
      <c r="K59" s="95">
        <v>822593.43012237467</v>
      </c>
      <c r="L59" s="95">
        <v>280000</v>
      </c>
      <c r="M59" s="95">
        <v>257952.16824969114</v>
      </c>
      <c r="N59" s="95">
        <v>70000</v>
      </c>
      <c r="O59" s="96"/>
      <c r="P59" s="95">
        <v>187952.16824969114</v>
      </c>
      <c r="Q59" s="95">
        <v>0</v>
      </c>
      <c r="R59" s="95">
        <v>0</v>
      </c>
      <c r="S59" s="95">
        <v>0</v>
      </c>
      <c r="T59" s="95">
        <v>0</v>
      </c>
      <c r="U59" s="95">
        <v>0</v>
      </c>
      <c r="V59" s="95">
        <v>0</v>
      </c>
      <c r="W59" s="95">
        <v>0</v>
      </c>
      <c r="X59" s="95">
        <v>0</v>
      </c>
      <c r="Y59" s="95">
        <v>0</v>
      </c>
      <c r="Z59" s="95">
        <v>0</v>
      </c>
      <c r="AA59" s="95">
        <v>0</v>
      </c>
      <c r="AB59" s="96"/>
      <c r="AC59" s="95">
        <v>0</v>
      </c>
      <c r="AD59" s="95">
        <v>0</v>
      </c>
      <c r="AE59" s="95">
        <v>0</v>
      </c>
      <c r="AF59" s="95">
        <v>0</v>
      </c>
      <c r="AG59" s="95">
        <v>0</v>
      </c>
      <c r="AH59" s="95">
        <v>0</v>
      </c>
      <c r="AI59" s="95">
        <v>0</v>
      </c>
      <c r="AJ59" s="95">
        <v>0</v>
      </c>
      <c r="AK59" s="95">
        <v>0</v>
      </c>
      <c r="AL59" s="95">
        <v>0</v>
      </c>
      <c r="AM59" s="95">
        <v>0</v>
      </c>
      <c r="AN59" s="95">
        <v>0</v>
      </c>
      <c r="AO59" s="96">
        <v>0</v>
      </c>
      <c r="AP59" s="95">
        <v>0</v>
      </c>
      <c r="AQ59" s="95">
        <v>0</v>
      </c>
      <c r="AR59" s="95">
        <v>0</v>
      </c>
      <c r="AS59" s="95">
        <v>0</v>
      </c>
      <c r="AT59" s="95">
        <v>0</v>
      </c>
      <c r="AU59" s="95">
        <v>0</v>
      </c>
      <c r="AV59" s="95">
        <v>0</v>
      </c>
      <c r="AW59" s="95">
        <v>0</v>
      </c>
      <c r="AX59" s="95">
        <v>0</v>
      </c>
      <c r="AY59" s="95">
        <v>0</v>
      </c>
      <c r="AZ59" s="95">
        <v>0</v>
      </c>
      <c r="BA59" s="95">
        <v>0</v>
      </c>
      <c r="BB59" s="96">
        <v>0</v>
      </c>
      <c r="BC59" s="95">
        <v>0</v>
      </c>
      <c r="BD59" s="95">
        <v>0</v>
      </c>
      <c r="BE59" s="95">
        <v>0</v>
      </c>
      <c r="BF59" s="95">
        <v>0</v>
      </c>
      <c r="BG59" s="95">
        <v>0</v>
      </c>
      <c r="BH59" s="95">
        <v>0</v>
      </c>
      <c r="BI59" s="95">
        <v>0</v>
      </c>
      <c r="BJ59" s="96">
        <v>0</v>
      </c>
      <c r="BK59" s="96">
        <v>3705723.5139229754</v>
      </c>
      <c r="BM59" s="98"/>
    </row>
    <row r="60" spans="1:65">
      <c r="J60">
        <f>+J59/SUM($J$59:$AN$59)</f>
        <v>0.56324378747070292</v>
      </c>
      <c r="K60">
        <f t="shared" ref="K60:R60" si="2">+K59/SUM($J$59:$AN$59)</f>
        <v>0.2219791700680756</v>
      </c>
      <c r="L60">
        <f t="shared" si="2"/>
        <v>7.5558794105387739E-2</v>
      </c>
      <c r="M60">
        <f t="shared" si="2"/>
        <v>6.9609124177916967E-2</v>
      </c>
      <c r="N60">
        <f t="shared" si="2"/>
        <v>1.8889698526346935E-2</v>
      </c>
      <c r="O60">
        <f t="shared" si="2"/>
        <v>0</v>
      </c>
      <c r="P60">
        <f t="shared" si="2"/>
        <v>5.0719425651570033E-2</v>
      </c>
      <c r="Q60">
        <f t="shared" si="2"/>
        <v>0</v>
      </c>
      <c r="R60">
        <f t="shared" si="2"/>
        <v>0</v>
      </c>
    </row>
    <row r="63" spans="1:65" s="97" customFormat="1" ht="16.399999999999999" customHeight="1">
      <c r="A63" s="92" t="s">
        <v>5229</v>
      </c>
      <c r="B63" s="93"/>
      <c r="C63" s="94"/>
      <c r="D63" s="94"/>
      <c r="E63" s="94"/>
      <c r="F63" s="94"/>
      <c r="G63" s="94"/>
      <c r="H63" s="94"/>
      <c r="I63" s="94"/>
      <c r="J63" s="95">
        <v>120194.32347367186</v>
      </c>
      <c r="K63" s="95">
        <v>120194.32347367186</v>
      </c>
      <c r="L63" s="95">
        <v>120194.32347367186</v>
      </c>
      <c r="M63" s="95">
        <v>120194.32347367186</v>
      </c>
      <c r="N63" s="95">
        <v>120194.32347367186</v>
      </c>
      <c r="O63" s="96"/>
      <c r="P63" s="95">
        <v>120194.32347367186</v>
      </c>
      <c r="Q63" s="95">
        <v>120194.32347367186</v>
      </c>
      <c r="R63" s="95">
        <v>120194.32347367186</v>
      </c>
      <c r="S63" s="95">
        <v>120194.32347367186</v>
      </c>
      <c r="T63" s="95">
        <v>120194.32347367186</v>
      </c>
      <c r="U63" s="95">
        <v>120194.32347367186</v>
      </c>
      <c r="V63" s="95">
        <v>120194.32347367186</v>
      </c>
      <c r="W63" s="95">
        <v>120194.32347367186</v>
      </c>
      <c r="X63" s="95">
        <v>120194.32347367186</v>
      </c>
      <c r="Y63" s="95">
        <v>120194.32347367186</v>
      </c>
      <c r="Z63" s="95">
        <v>120194.32347367186</v>
      </c>
      <c r="AA63" s="95">
        <v>120194.32347367186</v>
      </c>
      <c r="AB63" s="96"/>
      <c r="AC63" s="95">
        <v>120194.32347367186</v>
      </c>
      <c r="AD63" s="95">
        <v>120194.32347367186</v>
      </c>
      <c r="AE63" s="95">
        <v>120194.32347367186</v>
      </c>
      <c r="AF63" s="95">
        <v>120194.32347367186</v>
      </c>
      <c r="AG63" s="95">
        <v>120194.32347367186</v>
      </c>
      <c r="AH63" s="95">
        <v>120194.32347367186</v>
      </c>
      <c r="AI63" s="95">
        <v>120194.32347367186</v>
      </c>
      <c r="AJ63" s="95">
        <v>120194.32347367186</v>
      </c>
      <c r="AK63" s="95">
        <v>120194.32347367186</v>
      </c>
      <c r="AL63" s="95">
        <v>120194.32347367186</v>
      </c>
      <c r="AM63" s="95">
        <v>120194.32347367186</v>
      </c>
      <c r="AN63" s="95">
        <v>120194.32347367186</v>
      </c>
      <c r="AO63" s="96"/>
      <c r="AP63" s="95">
        <v>120194.32347367186</v>
      </c>
      <c r="AQ63" s="95">
        <v>120194.32347367186</v>
      </c>
      <c r="AR63" s="95">
        <v>120194.32347367186</v>
      </c>
      <c r="AS63" s="95">
        <v>120194.32347367186</v>
      </c>
      <c r="AT63" s="95">
        <v>120194.32347367186</v>
      </c>
      <c r="AU63" s="95">
        <v>120194.32347367186</v>
      </c>
      <c r="AV63" s="95">
        <v>120194.32347367186</v>
      </c>
      <c r="AW63" s="95">
        <v>120194.32347367186</v>
      </c>
      <c r="AX63" s="95">
        <v>120194.32347367186</v>
      </c>
      <c r="AY63" s="95">
        <v>120194.32347367186</v>
      </c>
      <c r="AZ63" s="95">
        <v>120194.32347367186</v>
      </c>
      <c r="BA63" s="95">
        <v>120194.32347367186</v>
      </c>
      <c r="BB63" s="96"/>
      <c r="BC63" s="95">
        <v>120194.32347367186</v>
      </c>
      <c r="BD63" s="95">
        <v>120194.32347367186</v>
      </c>
      <c r="BE63" s="95">
        <v>120194.32347367186</v>
      </c>
      <c r="BF63" s="95">
        <v>120194.32347367186</v>
      </c>
      <c r="BG63" s="95">
        <v>120194.32347367186</v>
      </c>
      <c r="BH63" s="95">
        <v>120194.32347367186</v>
      </c>
      <c r="BI63" s="95">
        <v>120194.32347367186</v>
      </c>
      <c r="BJ63" s="96"/>
      <c r="BK63" s="96">
        <v>5769327.5267362492</v>
      </c>
      <c r="BM63" s="98"/>
    </row>
    <row r="64" spans="1:65" s="97" customFormat="1" ht="16.399999999999999" customHeight="1" outlineLevel="1">
      <c r="A64" s="103" t="s">
        <v>5230</v>
      </c>
      <c r="B64" s="113"/>
      <c r="C64" s="114"/>
      <c r="D64" s="114"/>
      <c r="E64" s="114"/>
      <c r="F64" s="114"/>
      <c r="G64" s="114"/>
      <c r="H64" s="114"/>
      <c r="I64" s="114"/>
      <c r="J64" s="115">
        <v>33542.601899629357</v>
      </c>
      <c r="K64" s="115">
        <v>33542.601899629357</v>
      </c>
      <c r="L64" s="115">
        <v>33542.601899629357</v>
      </c>
      <c r="M64" s="115">
        <v>33542.601899629357</v>
      </c>
      <c r="N64" s="115">
        <v>33542.601899629357</v>
      </c>
      <c r="O64" s="116"/>
      <c r="P64" s="115">
        <v>33542.601899629357</v>
      </c>
      <c r="Q64" s="115">
        <v>33542.601899629357</v>
      </c>
      <c r="R64" s="115">
        <v>33542.601899629357</v>
      </c>
      <c r="S64" s="115">
        <v>33542.601899629357</v>
      </c>
      <c r="T64" s="115">
        <v>33542.601899629357</v>
      </c>
      <c r="U64" s="115">
        <v>33542.601899629357</v>
      </c>
      <c r="V64" s="115">
        <v>33542.601899629357</v>
      </c>
      <c r="W64" s="115">
        <v>33542.601899629357</v>
      </c>
      <c r="X64" s="115">
        <v>33542.601899629357</v>
      </c>
      <c r="Y64" s="115">
        <v>33542.601899629357</v>
      </c>
      <c r="Z64" s="115">
        <v>33542.601899629357</v>
      </c>
      <c r="AA64" s="115">
        <v>33542.601899629357</v>
      </c>
      <c r="AB64" s="116"/>
      <c r="AC64" s="115">
        <v>33542.601899629357</v>
      </c>
      <c r="AD64" s="115">
        <v>33542.601899629357</v>
      </c>
      <c r="AE64" s="115">
        <v>33542.601899629357</v>
      </c>
      <c r="AF64" s="115">
        <v>33542.601899629357</v>
      </c>
      <c r="AG64" s="115">
        <v>33542.601899629357</v>
      </c>
      <c r="AH64" s="115">
        <v>33542.601899629357</v>
      </c>
      <c r="AI64" s="115">
        <v>33542.601899629357</v>
      </c>
      <c r="AJ64" s="115">
        <v>33542.601899629357</v>
      </c>
      <c r="AK64" s="115">
        <v>33542.601899629357</v>
      </c>
      <c r="AL64" s="115">
        <v>33542.601899629357</v>
      </c>
      <c r="AM64" s="115">
        <v>33542.601899629357</v>
      </c>
      <c r="AN64" s="115">
        <v>33542.601899629357</v>
      </c>
      <c r="AO64" s="116"/>
      <c r="AP64" s="115">
        <v>33542.601899629357</v>
      </c>
      <c r="AQ64" s="115">
        <v>33542.601899629357</v>
      </c>
      <c r="AR64" s="115">
        <v>33542.601899629357</v>
      </c>
      <c r="AS64" s="115">
        <v>33542.601899629357</v>
      </c>
      <c r="AT64" s="115">
        <v>33542.601899629357</v>
      </c>
      <c r="AU64" s="115">
        <v>33542.601899629357</v>
      </c>
      <c r="AV64" s="115">
        <v>33542.601899629357</v>
      </c>
      <c r="AW64" s="115">
        <v>33542.601899629357</v>
      </c>
      <c r="AX64" s="115">
        <v>33542.601899629357</v>
      </c>
      <c r="AY64" s="115">
        <v>33542.601899629357</v>
      </c>
      <c r="AZ64" s="115">
        <v>33542.601899629357</v>
      </c>
      <c r="BA64" s="115">
        <v>33542.601899629357</v>
      </c>
      <c r="BB64" s="116"/>
      <c r="BC64" s="115">
        <v>33542.601899629357</v>
      </c>
      <c r="BD64" s="115">
        <v>33542.601899629357</v>
      </c>
      <c r="BE64" s="115">
        <v>33542.601899629357</v>
      </c>
      <c r="BF64" s="115">
        <v>33542.601899629357</v>
      </c>
      <c r="BG64" s="115">
        <v>33542.601899629357</v>
      </c>
      <c r="BH64" s="115">
        <v>33542.601899629357</v>
      </c>
      <c r="BI64" s="115">
        <v>33542.601899629357</v>
      </c>
      <c r="BJ64" s="116"/>
      <c r="BK64" s="116">
        <v>1610044.8911822087</v>
      </c>
      <c r="BM64" s="98"/>
    </row>
    <row r="65" spans="1:65" s="97" customFormat="1" ht="16.399999999999999" customHeight="1" outlineLevel="1">
      <c r="A65" s="103"/>
      <c r="B65" s="113"/>
      <c r="C65" s="114"/>
      <c r="D65" s="114"/>
      <c r="E65" s="114"/>
      <c r="F65" s="114"/>
      <c r="G65" s="114"/>
      <c r="H65" s="114"/>
      <c r="I65" s="114"/>
      <c r="J65">
        <f>+J64/SUM($J$64:$BI$64)</f>
        <v>2.0833333333333315E-2</v>
      </c>
      <c r="K65">
        <f t="shared" ref="K65:BI65" si="3">+K64/SUM($J$64:$BI$64)</f>
        <v>2.0833333333333315E-2</v>
      </c>
      <c r="L65">
        <f t="shared" si="3"/>
        <v>2.0833333333333315E-2</v>
      </c>
      <c r="M65">
        <f t="shared" si="3"/>
        <v>2.0833333333333315E-2</v>
      </c>
      <c r="N65">
        <f t="shared" si="3"/>
        <v>2.0833333333333315E-2</v>
      </c>
      <c r="O65">
        <f t="shared" si="3"/>
        <v>0</v>
      </c>
      <c r="P65">
        <f t="shared" si="3"/>
        <v>2.0833333333333315E-2</v>
      </c>
      <c r="Q65">
        <f t="shared" si="3"/>
        <v>2.0833333333333315E-2</v>
      </c>
      <c r="R65">
        <f t="shared" si="3"/>
        <v>2.0833333333333315E-2</v>
      </c>
      <c r="S65">
        <f t="shared" si="3"/>
        <v>2.0833333333333315E-2</v>
      </c>
      <c r="T65">
        <f t="shared" si="3"/>
        <v>2.0833333333333315E-2</v>
      </c>
      <c r="U65">
        <f t="shared" si="3"/>
        <v>2.0833333333333315E-2</v>
      </c>
      <c r="V65">
        <f t="shared" si="3"/>
        <v>2.0833333333333315E-2</v>
      </c>
      <c r="W65">
        <f t="shared" si="3"/>
        <v>2.0833333333333315E-2</v>
      </c>
      <c r="X65">
        <f t="shared" si="3"/>
        <v>2.0833333333333315E-2</v>
      </c>
      <c r="Y65">
        <f t="shared" si="3"/>
        <v>2.0833333333333315E-2</v>
      </c>
      <c r="Z65">
        <f t="shared" si="3"/>
        <v>2.0833333333333315E-2</v>
      </c>
      <c r="AA65">
        <f t="shared" si="3"/>
        <v>2.0833333333333315E-2</v>
      </c>
      <c r="AB65">
        <f t="shared" si="3"/>
        <v>0</v>
      </c>
      <c r="AC65">
        <f t="shared" si="3"/>
        <v>2.0833333333333315E-2</v>
      </c>
      <c r="AD65">
        <f t="shared" si="3"/>
        <v>2.0833333333333315E-2</v>
      </c>
      <c r="AE65">
        <f t="shared" si="3"/>
        <v>2.0833333333333315E-2</v>
      </c>
      <c r="AF65">
        <f t="shared" si="3"/>
        <v>2.0833333333333315E-2</v>
      </c>
      <c r="AG65">
        <f t="shared" si="3"/>
        <v>2.0833333333333315E-2</v>
      </c>
      <c r="AH65">
        <f t="shared" si="3"/>
        <v>2.0833333333333315E-2</v>
      </c>
      <c r="AI65">
        <f t="shared" si="3"/>
        <v>2.0833333333333315E-2</v>
      </c>
      <c r="AJ65">
        <f t="shared" si="3"/>
        <v>2.0833333333333315E-2</v>
      </c>
      <c r="AK65">
        <f t="shared" si="3"/>
        <v>2.0833333333333315E-2</v>
      </c>
      <c r="AL65">
        <f t="shared" si="3"/>
        <v>2.0833333333333315E-2</v>
      </c>
      <c r="AM65">
        <f t="shared" si="3"/>
        <v>2.0833333333333315E-2</v>
      </c>
      <c r="AN65">
        <f t="shared" si="3"/>
        <v>2.0833333333333315E-2</v>
      </c>
      <c r="AO65">
        <f t="shared" si="3"/>
        <v>0</v>
      </c>
      <c r="AP65">
        <f t="shared" si="3"/>
        <v>2.0833333333333315E-2</v>
      </c>
      <c r="AQ65">
        <f t="shared" si="3"/>
        <v>2.0833333333333315E-2</v>
      </c>
      <c r="AR65">
        <f t="shared" si="3"/>
        <v>2.0833333333333315E-2</v>
      </c>
      <c r="AS65">
        <f t="shared" si="3"/>
        <v>2.0833333333333315E-2</v>
      </c>
      <c r="AT65">
        <f t="shared" si="3"/>
        <v>2.0833333333333315E-2</v>
      </c>
      <c r="AU65">
        <f t="shared" si="3"/>
        <v>2.0833333333333315E-2</v>
      </c>
      <c r="AV65">
        <f t="shared" si="3"/>
        <v>2.0833333333333315E-2</v>
      </c>
      <c r="AW65">
        <f t="shared" si="3"/>
        <v>2.0833333333333315E-2</v>
      </c>
      <c r="AX65">
        <f t="shared" si="3"/>
        <v>2.0833333333333315E-2</v>
      </c>
      <c r="AY65">
        <f t="shared" si="3"/>
        <v>2.0833333333333315E-2</v>
      </c>
      <c r="AZ65">
        <f t="shared" si="3"/>
        <v>2.0833333333333315E-2</v>
      </c>
      <c r="BA65">
        <f t="shared" si="3"/>
        <v>2.0833333333333315E-2</v>
      </c>
      <c r="BB65">
        <f t="shared" si="3"/>
        <v>0</v>
      </c>
      <c r="BC65">
        <f t="shared" si="3"/>
        <v>2.0833333333333315E-2</v>
      </c>
      <c r="BD65">
        <f t="shared" si="3"/>
        <v>2.0833333333333315E-2</v>
      </c>
      <c r="BE65">
        <f t="shared" si="3"/>
        <v>2.0833333333333315E-2</v>
      </c>
      <c r="BF65">
        <f t="shared" si="3"/>
        <v>2.0833333333333315E-2</v>
      </c>
      <c r="BG65">
        <f t="shared" si="3"/>
        <v>2.0833333333333315E-2</v>
      </c>
      <c r="BH65">
        <f t="shared" si="3"/>
        <v>2.0833333333333315E-2</v>
      </c>
      <c r="BI65">
        <f t="shared" si="3"/>
        <v>2.0833333333333315E-2</v>
      </c>
      <c r="BJ65" s="116"/>
      <c r="BK65" s="116"/>
      <c r="BM65" s="98"/>
    </row>
    <row r="66" spans="1:65" s="97" customFormat="1" ht="16.399999999999999" customHeight="1" outlineLevel="1">
      <c r="A66" s="103" t="s">
        <v>5231</v>
      </c>
      <c r="B66" s="113"/>
      <c r="C66" s="114"/>
      <c r="D66" s="114"/>
      <c r="E66" s="114"/>
      <c r="F66" s="114"/>
      <c r="G66" s="114"/>
      <c r="H66" s="114"/>
      <c r="I66" s="114"/>
      <c r="J66" s="115">
        <v>16771.300949814678</v>
      </c>
      <c r="K66" s="115">
        <v>16771.300949814678</v>
      </c>
      <c r="L66" s="115">
        <v>16771.300949814678</v>
      </c>
      <c r="M66" s="115">
        <v>16771.300949814678</v>
      </c>
      <c r="N66" s="115">
        <v>16771.300949814678</v>
      </c>
      <c r="O66" s="116"/>
      <c r="P66" s="115">
        <v>16771.300949814678</v>
      </c>
      <c r="Q66" s="115">
        <v>16771.300949814678</v>
      </c>
      <c r="R66" s="115">
        <v>16771.300949814678</v>
      </c>
      <c r="S66" s="115">
        <v>16771.300949814678</v>
      </c>
      <c r="T66" s="115">
        <v>16771.300949814678</v>
      </c>
      <c r="U66" s="115">
        <v>16771.300949814678</v>
      </c>
      <c r="V66" s="115">
        <v>16771.300949814678</v>
      </c>
      <c r="W66" s="115">
        <v>16771.300949814678</v>
      </c>
      <c r="X66" s="115">
        <v>16771.300949814678</v>
      </c>
      <c r="Y66" s="115">
        <v>16771.300949814678</v>
      </c>
      <c r="Z66" s="115">
        <v>16771.300949814678</v>
      </c>
      <c r="AA66" s="115">
        <v>16771.300949814678</v>
      </c>
      <c r="AB66" s="116"/>
      <c r="AC66" s="115">
        <v>16771.300949814678</v>
      </c>
      <c r="AD66" s="115">
        <v>16771.300949814678</v>
      </c>
      <c r="AE66" s="115">
        <v>16771.300949814678</v>
      </c>
      <c r="AF66" s="115">
        <v>16771.300949814678</v>
      </c>
      <c r="AG66" s="115">
        <v>16771.300949814678</v>
      </c>
      <c r="AH66" s="115">
        <v>16771.300949814678</v>
      </c>
      <c r="AI66" s="115">
        <v>16771.300949814678</v>
      </c>
      <c r="AJ66" s="115">
        <v>16771.300949814678</v>
      </c>
      <c r="AK66" s="115">
        <v>16771.300949814678</v>
      </c>
      <c r="AL66" s="115">
        <v>16771.300949814678</v>
      </c>
      <c r="AM66" s="115">
        <v>16771.300949814678</v>
      </c>
      <c r="AN66" s="115">
        <v>16771.300949814678</v>
      </c>
      <c r="AO66" s="116"/>
      <c r="AP66" s="115">
        <v>16771.300949814678</v>
      </c>
      <c r="AQ66" s="115">
        <v>16771.300949814678</v>
      </c>
      <c r="AR66" s="115">
        <v>16771.300949814678</v>
      </c>
      <c r="AS66" s="115">
        <v>16771.300949814678</v>
      </c>
      <c r="AT66" s="115">
        <v>16771.300949814678</v>
      </c>
      <c r="AU66" s="115">
        <v>16771.300949814678</v>
      </c>
      <c r="AV66" s="115">
        <v>16771.300949814678</v>
      </c>
      <c r="AW66" s="115">
        <v>16771.300949814678</v>
      </c>
      <c r="AX66" s="115">
        <v>16771.300949814678</v>
      </c>
      <c r="AY66" s="115">
        <v>16771.300949814678</v>
      </c>
      <c r="AZ66" s="115">
        <v>16771.300949814678</v>
      </c>
      <c r="BA66" s="115">
        <v>16771.300949814678</v>
      </c>
      <c r="BB66" s="116"/>
      <c r="BC66" s="115">
        <v>16771.300949814678</v>
      </c>
      <c r="BD66" s="115">
        <v>16771.300949814678</v>
      </c>
      <c r="BE66" s="115">
        <v>16771.300949814678</v>
      </c>
      <c r="BF66" s="115">
        <v>16771.300949814678</v>
      </c>
      <c r="BG66" s="115">
        <v>16771.300949814678</v>
      </c>
      <c r="BH66" s="115">
        <v>16771.300949814678</v>
      </c>
      <c r="BI66" s="115">
        <v>16771.300949814678</v>
      </c>
      <c r="BJ66" s="116"/>
      <c r="BK66" s="116">
        <v>805022.44559110433</v>
      </c>
      <c r="BM66" s="98"/>
    </row>
    <row r="67" spans="1:65" s="97" customFormat="1" ht="16.399999999999999" customHeight="1" outlineLevel="1">
      <c r="A67" s="103"/>
      <c r="B67" s="113"/>
      <c r="C67" s="114"/>
      <c r="D67" s="114"/>
      <c r="E67" s="114"/>
      <c r="F67" s="114"/>
      <c r="G67" s="114"/>
      <c r="H67" s="114"/>
      <c r="I67" s="114"/>
      <c r="J67">
        <v>2.0833333333333315E-2</v>
      </c>
      <c r="K67">
        <v>2.0833333333333315E-2</v>
      </c>
      <c r="L67">
        <v>2.0833333333333315E-2</v>
      </c>
      <c r="M67">
        <v>2.0833333333333315E-2</v>
      </c>
      <c r="N67">
        <v>2.0833333333333315E-2</v>
      </c>
      <c r="O67">
        <v>2.0833333333333315E-2</v>
      </c>
      <c r="P67">
        <v>2.0833333333333315E-2</v>
      </c>
      <c r="Q67">
        <v>2.0833333333333315E-2</v>
      </c>
      <c r="R67">
        <v>2.0833333333333315E-2</v>
      </c>
      <c r="S67">
        <v>2.0833333333333315E-2</v>
      </c>
      <c r="T67">
        <v>2.0833333333333315E-2</v>
      </c>
      <c r="U67">
        <v>2.0833333333333315E-2</v>
      </c>
      <c r="V67">
        <v>2.0833333333333315E-2</v>
      </c>
      <c r="W67">
        <v>2.0833333333333315E-2</v>
      </c>
      <c r="X67">
        <v>2.0833333333333315E-2</v>
      </c>
      <c r="Y67">
        <v>2.0833333333333315E-2</v>
      </c>
      <c r="Z67">
        <v>2.0833333333333315E-2</v>
      </c>
      <c r="AA67">
        <v>2.0833333333333315E-2</v>
      </c>
      <c r="AB67">
        <v>2.0833333333333315E-2</v>
      </c>
      <c r="AC67">
        <v>2.0833333333333315E-2</v>
      </c>
      <c r="AD67">
        <v>2.0833333333333315E-2</v>
      </c>
      <c r="AE67">
        <v>2.0833333333333315E-2</v>
      </c>
      <c r="AF67">
        <v>2.0833333333333315E-2</v>
      </c>
      <c r="AG67">
        <v>2.0833333333333315E-2</v>
      </c>
      <c r="AH67">
        <v>2.0833333333333315E-2</v>
      </c>
      <c r="AI67">
        <v>2.0833333333333315E-2</v>
      </c>
      <c r="AJ67">
        <v>2.0833333333333315E-2</v>
      </c>
      <c r="AK67">
        <v>2.0833333333333315E-2</v>
      </c>
      <c r="AL67">
        <v>2.0833333333333315E-2</v>
      </c>
      <c r="AM67">
        <v>2.0833333333333315E-2</v>
      </c>
      <c r="AN67">
        <v>2.0833333333333315E-2</v>
      </c>
      <c r="AO67">
        <v>2.0833333333333315E-2</v>
      </c>
      <c r="AP67">
        <v>2.0833333333333315E-2</v>
      </c>
      <c r="AQ67">
        <v>2.0833333333333315E-2</v>
      </c>
      <c r="AR67">
        <v>2.0833333333333315E-2</v>
      </c>
      <c r="AS67">
        <v>2.0833333333333315E-2</v>
      </c>
      <c r="AT67">
        <v>2.0833333333333315E-2</v>
      </c>
      <c r="AU67">
        <v>2.0833333333333315E-2</v>
      </c>
      <c r="AV67">
        <v>2.0833333333333315E-2</v>
      </c>
      <c r="AW67">
        <v>2.0833333333333315E-2</v>
      </c>
      <c r="AX67">
        <v>2.0833333333333315E-2</v>
      </c>
      <c r="AY67">
        <v>2.0833333333333315E-2</v>
      </c>
      <c r="AZ67">
        <v>2.0833333333333315E-2</v>
      </c>
      <c r="BA67">
        <v>2.0833333333333315E-2</v>
      </c>
      <c r="BB67">
        <v>2.0833333333333315E-2</v>
      </c>
      <c r="BC67">
        <v>2.0833333333333315E-2</v>
      </c>
      <c r="BD67">
        <v>2.0833333333333315E-2</v>
      </c>
      <c r="BE67">
        <v>2.0833333333333315E-2</v>
      </c>
      <c r="BF67">
        <f t="shared" ref="BF67:BI67" si="4">+BF66/SUM($J$66:$AN$66)</f>
        <v>3.4482758620689669E-2</v>
      </c>
      <c r="BG67">
        <f t="shared" si="4"/>
        <v>3.4482758620689669E-2</v>
      </c>
      <c r="BH67">
        <f t="shared" si="4"/>
        <v>3.4482758620689669E-2</v>
      </c>
      <c r="BI67">
        <f t="shared" si="4"/>
        <v>3.4482758620689669E-2</v>
      </c>
      <c r="BJ67" s="116"/>
      <c r="BK67" s="116"/>
      <c r="BM67" s="98"/>
    </row>
    <row r="68" spans="1:65" s="97" customFormat="1" ht="16.399999999999999" customHeight="1" outlineLevel="1">
      <c r="A68" s="103" t="s">
        <v>5232</v>
      </c>
      <c r="B68" s="113"/>
      <c r="C68" s="114"/>
      <c r="D68" s="114"/>
      <c r="E68" s="114"/>
      <c r="F68" s="114"/>
      <c r="G68" s="114"/>
      <c r="H68" s="114"/>
      <c r="I68" s="114"/>
      <c r="J68" s="115">
        <v>41928.252374536693</v>
      </c>
      <c r="K68" s="115">
        <v>41928.252374536693</v>
      </c>
      <c r="L68" s="115">
        <v>41928.252374536693</v>
      </c>
      <c r="M68" s="115">
        <v>41928.252374536693</v>
      </c>
      <c r="N68" s="115">
        <v>41928.252374536693</v>
      </c>
      <c r="O68" s="116"/>
      <c r="P68" s="115">
        <v>41928.252374536693</v>
      </c>
      <c r="Q68" s="115">
        <v>41928.252374536693</v>
      </c>
      <c r="R68" s="115">
        <v>41928.252374536693</v>
      </c>
      <c r="S68" s="115">
        <v>41928.252374536693</v>
      </c>
      <c r="T68" s="115">
        <v>41928.252374536693</v>
      </c>
      <c r="U68" s="115">
        <v>41928.252374536693</v>
      </c>
      <c r="V68" s="115">
        <v>41928.252374536693</v>
      </c>
      <c r="W68" s="115">
        <v>41928.252374536693</v>
      </c>
      <c r="X68" s="115">
        <v>41928.252374536693</v>
      </c>
      <c r="Y68" s="115">
        <v>41928.252374536693</v>
      </c>
      <c r="Z68" s="115">
        <v>41928.252374536693</v>
      </c>
      <c r="AA68" s="115">
        <v>41928.252374536693</v>
      </c>
      <c r="AB68" s="116"/>
      <c r="AC68" s="115">
        <v>41928.252374536693</v>
      </c>
      <c r="AD68" s="115">
        <v>41928.252374536693</v>
      </c>
      <c r="AE68" s="115">
        <v>41928.252374536693</v>
      </c>
      <c r="AF68" s="115">
        <v>41928.252374536693</v>
      </c>
      <c r="AG68" s="115">
        <v>41928.252374536693</v>
      </c>
      <c r="AH68" s="115">
        <v>41928.252374536693</v>
      </c>
      <c r="AI68" s="115">
        <v>41928.252374536693</v>
      </c>
      <c r="AJ68" s="115">
        <v>41928.252374536693</v>
      </c>
      <c r="AK68" s="115">
        <v>41928.252374536693</v>
      </c>
      <c r="AL68" s="115">
        <v>41928.252374536693</v>
      </c>
      <c r="AM68" s="115">
        <v>41928.252374536693</v>
      </c>
      <c r="AN68" s="115">
        <v>41928.252374536693</v>
      </c>
      <c r="AO68" s="116"/>
      <c r="AP68" s="115">
        <v>41928.252374536693</v>
      </c>
      <c r="AQ68" s="115">
        <v>41928.252374536693</v>
      </c>
      <c r="AR68" s="115">
        <v>41928.252374536693</v>
      </c>
      <c r="AS68" s="115">
        <v>41928.252374536693</v>
      </c>
      <c r="AT68" s="115">
        <v>41928.252374536693</v>
      </c>
      <c r="AU68" s="115">
        <v>41928.252374536693</v>
      </c>
      <c r="AV68" s="115">
        <v>41928.252374536693</v>
      </c>
      <c r="AW68" s="115">
        <v>41928.252374536693</v>
      </c>
      <c r="AX68" s="115">
        <v>41928.252374536693</v>
      </c>
      <c r="AY68" s="115">
        <v>41928.252374536693</v>
      </c>
      <c r="AZ68" s="115">
        <v>41928.252374536693</v>
      </c>
      <c r="BA68" s="115">
        <v>41928.252374536693</v>
      </c>
      <c r="BB68" s="116"/>
      <c r="BC68" s="115">
        <v>41928.252374536693</v>
      </c>
      <c r="BD68" s="115">
        <v>41928.252374536693</v>
      </c>
      <c r="BE68" s="115">
        <v>41928.252374536693</v>
      </c>
      <c r="BF68" s="115">
        <v>41928.252374536693</v>
      </c>
      <c r="BG68" s="115">
        <v>41928.252374536693</v>
      </c>
      <c r="BH68" s="115">
        <v>41928.252374536693</v>
      </c>
      <c r="BI68" s="115">
        <v>41928.252374536693</v>
      </c>
      <c r="BJ68" s="116"/>
      <c r="BK68" s="116">
        <v>2012556.1139777617</v>
      </c>
      <c r="BM68" s="98"/>
    </row>
    <row r="69" spans="1:65" s="97" customFormat="1" ht="16.399999999999999" customHeight="1" outlineLevel="1">
      <c r="A69" s="103"/>
      <c r="B69" s="113"/>
      <c r="C69" s="114"/>
      <c r="D69" s="114"/>
      <c r="E69" s="114"/>
      <c r="F69" s="114"/>
      <c r="G69" s="114"/>
      <c r="H69" s="114"/>
      <c r="I69" s="114"/>
      <c r="J69">
        <v>2.0833333333333315E-2</v>
      </c>
      <c r="K69">
        <v>2.0833333333333315E-2</v>
      </c>
      <c r="L69">
        <v>2.0833333333333315E-2</v>
      </c>
      <c r="M69">
        <v>2.0833333333333315E-2</v>
      </c>
      <c r="N69">
        <v>2.0833333333333315E-2</v>
      </c>
      <c r="O69">
        <v>2.0833333333333315E-2</v>
      </c>
      <c r="P69">
        <v>2.0833333333333315E-2</v>
      </c>
      <c r="Q69">
        <v>2.0833333333333315E-2</v>
      </c>
      <c r="R69">
        <v>2.0833333333333315E-2</v>
      </c>
      <c r="S69">
        <v>2.0833333333333315E-2</v>
      </c>
      <c r="T69">
        <v>2.0833333333333315E-2</v>
      </c>
      <c r="U69">
        <v>2.0833333333333315E-2</v>
      </c>
      <c r="V69">
        <v>2.0833333333333315E-2</v>
      </c>
      <c r="W69">
        <v>2.0833333333333315E-2</v>
      </c>
      <c r="X69">
        <v>2.0833333333333315E-2</v>
      </c>
      <c r="Y69">
        <v>2.0833333333333315E-2</v>
      </c>
      <c r="Z69">
        <v>2.0833333333333315E-2</v>
      </c>
      <c r="AA69">
        <v>2.0833333333333315E-2</v>
      </c>
      <c r="AB69">
        <v>2.0833333333333315E-2</v>
      </c>
      <c r="AC69">
        <v>2.0833333333333315E-2</v>
      </c>
      <c r="AD69">
        <v>2.0833333333333315E-2</v>
      </c>
      <c r="AE69">
        <v>2.0833333333333315E-2</v>
      </c>
      <c r="AF69">
        <v>2.0833333333333315E-2</v>
      </c>
      <c r="AG69">
        <v>2.0833333333333315E-2</v>
      </c>
      <c r="AH69">
        <v>2.0833333333333315E-2</v>
      </c>
      <c r="AI69">
        <v>2.0833333333333315E-2</v>
      </c>
      <c r="AJ69">
        <v>2.0833333333333315E-2</v>
      </c>
      <c r="AK69">
        <v>2.0833333333333315E-2</v>
      </c>
      <c r="AL69">
        <v>2.0833333333333315E-2</v>
      </c>
      <c r="AM69">
        <v>2.0833333333333315E-2</v>
      </c>
      <c r="AN69">
        <v>2.0833333333333315E-2</v>
      </c>
      <c r="AO69">
        <v>2.0833333333333315E-2</v>
      </c>
      <c r="AP69">
        <v>2.0833333333333315E-2</v>
      </c>
      <c r="AQ69">
        <v>2.0833333333333315E-2</v>
      </c>
      <c r="AR69">
        <v>2.0833333333333315E-2</v>
      </c>
      <c r="AS69">
        <v>2.0833333333333315E-2</v>
      </c>
      <c r="AT69">
        <v>2.0833333333333315E-2</v>
      </c>
      <c r="AU69">
        <v>2.0833333333333315E-2</v>
      </c>
      <c r="AV69">
        <v>2.0833333333333315E-2</v>
      </c>
      <c r="AW69">
        <v>2.0833333333333315E-2</v>
      </c>
      <c r="AX69">
        <v>2.0833333333333315E-2</v>
      </c>
      <c r="AY69">
        <v>2.0833333333333315E-2</v>
      </c>
      <c r="AZ69">
        <v>2.0833333333333315E-2</v>
      </c>
      <c r="BA69">
        <v>2.0833333333333315E-2</v>
      </c>
      <c r="BB69">
        <v>2.0833333333333315E-2</v>
      </c>
      <c r="BC69">
        <v>2.0833333333333315E-2</v>
      </c>
      <c r="BD69">
        <v>2.0833333333333315E-2</v>
      </c>
      <c r="BE69">
        <v>2.0833333333333315E-2</v>
      </c>
      <c r="BF69">
        <f t="shared" ref="BF69:BI69" si="5">+BF68/SUM($J$68:$AN$68)</f>
        <v>3.4482758620689662E-2</v>
      </c>
      <c r="BG69">
        <f t="shared" si="5"/>
        <v>3.4482758620689662E-2</v>
      </c>
      <c r="BH69">
        <f t="shared" si="5"/>
        <v>3.4482758620689662E-2</v>
      </c>
      <c r="BI69">
        <f t="shared" si="5"/>
        <v>3.4482758620689662E-2</v>
      </c>
      <c r="BJ69" s="116"/>
      <c r="BK69" s="116"/>
      <c r="BM69" s="98"/>
    </row>
    <row r="70" spans="1:65" s="97" customFormat="1" ht="16.399999999999999" customHeight="1" outlineLevel="1">
      <c r="A70" s="103" t="s">
        <v>5226</v>
      </c>
      <c r="B70" s="104"/>
      <c r="C70" s="105"/>
      <c r="D70" s="105"/>
      <c r="E70" s="105"/>
      <c r="F70" s="105"/>
      <c r="G70" s="105"/>
      <c r="H70" s="105"/>
      <c r="I70" s="105"/>
      <c r="J70" s="106">
        <v>27952.168249691131</v>
      </c>
      <c r="K70" s="106">
        <v>27952.168249691131</v>
      </c>
      <c r="L70" s="106">
        <v>27952.168249691131</v>
      </c>
      <c r="M70" s="106">
        <v>27952.168249691131</v>
      </c>
      <c r="N70" s="106">
        <v>27952.168249691131</v>
      </c>
      <c r="O70" s="107"/>
      <c r="P70" s="106">
        <v>27952.168249691131</v>
      </c>
      <c r="Q70" s="106">
        <v>27952.168249691131</v>
      </c>
      <c r="R70" s="106">
        <v>27952.168249691131</v>
      </c>
      <c r="S70" s="106">
        <v>27952.168249691131</v>
      </c>
      <c r="T70" s="106">
        <v>27952.168249691131</v>
      </c>
      <c r="U70" s="106">
        <v>27952.168249691131</v>
      </c>
      <c r="V70" s="106">
        <v>27952.168249691131</v>
      </c>
      <c r="W70" s="106">
        <v>27952.168249691131</v>
      </c>
      <c r="X70" s="106">
        <v>27952.168249691131</v>
      </c>
      <c r="Y70" s="106">
        <v>27952.168249691131</v>
      </c>
      <c r="Z70" s="106">
        <v>27952.168249691131</v>
      </c>
      <c r="AA70" s="106">
        <v>27952.168249691131</v>
      </c>
      <c r="AB70" s="107"/>
      <c r="AC70" s="106">
        <v>27952.168249691131</v>
      </c>
      <c r="AD70" s="106">
        <v>27952.168249691131</v>
      </c>
      <c r="AE70" s="106">
        <v>27952.168249691131</v>
      </c>
      <c r="AF70" s="106">
        <v>27952.168249691131</v>
      </c>
      <c r="AG70" s="106">
        <v>27952.168249691131</v>
      </c>
      <c r="AH70" s="106">
        <v>27952.168249691131</v>
      </c>
      <c r="AI70" s="106">
        <v>27952.168249691131</v>
      </c>
      <c r="AJ70" s="106">
        <v>27952.168249691131</v>
      </c>
      <c r="AK70" s="106">
        <v>27952.168249691131</v>
      </c>
      <c r="AL70" s="106">
        <v>27952.168249691131</v>
      </c>
      <c r="AM70" s="106">
        <v>27952.168249691131</v>
      </c>
      <c r="AN70" s="106">
        <v>27952.168249691131</v>
      </c>
      <c r="AO70" s="107"/>
      <c r="AP70" s="106">
        <v>27952.168249691131</v>
      </c>
      <c r="AQ70" s="106">
        <v>27952.168249691131</v>
      </c>
      <c r="AR70" s="106">
        <v>27952.168249691131</v>
      </c>
      <c r="AS70" s="106">
        <v>27952.168249691131</v>
      </c>
      <c r="AT70" s="106">
        <v>27952.168249691131</v>
      </c>
      <c r="AU70" s="106">
        <v>27952.168249691131</v>
      </c>
      <c r="AV70" s="106">
        <v>27952.168249691131</v>
      </c>
      <c r="AW70" s="106">
        <v>27952.168249691131</v>
      </c>
      <c r="AX70" s="106">
        <v>27952.168249691131</v>
      </c>
      <c r="AY70" s="106">
        <v>27952.168249691131</v>
      </c>
      <c r="AZ70" s="106">
        <v>27952.168249691131</v>
      </c>
      <c r="BA70" s="106">
        <v>27952.168249691131</v>
      </c>
      <c r="BB70" s="107"/>
      <c r="BC70" s="106">
        <v>27952.168249691131</v>
      </c>
      <c r="BD70" s="106">
        <v>27952.168249691131</v>
      </c>
      <c r="BE70" s="106">
        <v>27952.168249691131</v>
      </c>
      <c r="BF70" s="106">
        <v>27952.168249691131</v>
      </c>
      <c r="BG70" s="106">
        <v>27952.168249691131</v>
      </c>
      <c r="BH70" s="106">
        <v>27952.168249691131</v>
      </c>
      <c r="BI70" s="106">
        <v>27952.168249691131</v>
      </c>
      <c r="BJ70" s="107"/>
      <c r="BK70" s="107">
        <v>1341704.0759851744</v>
      </c>
      <c r="BM70" s="98"/>
    </row>
    <row r="71" spans="1:65" s="97" customFormat="1" ht="16.399999999999999" customHeight="1" outlineLevel="1">
      <c r="A71" s="117"/>
      <c r="B71" s="118"/>
      <c r="C71" s="119"/>
      <c r="D71" s="119"/>
      <c r="E71" s="119"/>
      <c r="F71" s="119"/>
      <c r="G71" s="119"/>
      <c r="H71" s="119"/>
      <c r="I71" s="119"/>
      <c r="J71">
        <v>2.0833333333333315E-2</v>
      </c>
      <c r="K71">
        <v>2.0833333333333315E-2</v>
      </c>
      <c r="L71">
        <v>2.0833333333333315E-2</v>
      </c>
      <c r="M71">
        <v>2.0833333333333315E-2</v>
      </c>
      <c r="N71">
        <v>2.0833333333333315E-2</v>
      </c>
      <c r="O71">
        <v>2.0833333333333315E-2</v>
      </c>
      <c r="P71">
        <v>2.0833333333333315E-2</v>
      </c>
      <c r="Q71">
        <v>2.0833333333333315E-2</v>
      </c>
      <c r="R71">
        <v>2.0833333333333315E-2</v>
      </c>
      <c r="S71">
        <v>2.0833333333333315E-2</v>
      </c>
      <c r="T71">
        <v>2.0833333333333315E-2</v>
      </c>
      <c r="U71">
        <v>2.0833333333333315E-2</v>
      </c>
      <c r="V71">
        <v>2.0833333333333315E-2</v>
      </c>
      <c r="W71">
        <v>2.0833333333333315E-2</v>
      </c>
      <c r="X71">
        <v>2.0833333333333315E-2</v>
      </c>
      <c r="Y71">
        <v>2.0833333333333315E-2</v>
      </c>
      <c r="Z71">
        <v>2.0833333333333315E-2</v>
      </c>
      <c r="AA71">
        <v>2.0833333333333315E-2</v>
      </c>
      <c r="AB71">
        <v>2.0833333333333315E-2</v>
      </c>
      <c r="AC71">
        <v>2.0833333333333315E-2</v>
      </c>
      <c r="AD71">
        <v>2.0833333333333315E-2</v>
      </c>
      <c r="AE71">
        <v>2.0833333333333315E-2</v>
      </c>
      <c r="AF71">
        <v>2.0833333333333315E-2</v>
      </c>
      <c r="AG71">
        <v>2.0833333333333315E-2</v>
      </c>
      <c r="AH71">
        <v>2.0833333333333315E-2</v>
      </c>
      <c r="AI71">
        <v>2.0833333333333315E-2</v>
      </c>
      <c r="AJ71">
        <v>2.0833333333333315E-2</v>
      </c>
      <c r="AK71">
        <v>2.0833333333333315E-2</v>
      </c>
      <c r="AL71">
        <v>2.0833333333333315E-2</v>
      </c>
      <c r="AM71">
        <v>2.0833333333333315E-2</v>
      </c>
      <c r="AN71">
        <v>2.0833333333333315E-2</v>
      </c>
      <c r="AO71">
        <v>2.0833333333333315E-2</v>
      </c>
      <c r="AP71">
        <v>2.0833333333333315E-2</v>
      </c>
      <c r="AQ71">
        <v>2.0833333333333315E-2</v>
      </c>
      <c r="AR71">
        <v>2.0833333333333315E-2</v>
      </c>
      <c r="AS71">
        <v>2.0833333333333315E-2</v>
      </c>
      <c r="AT71">
        <v>2.0833333333333315E-2</v>
      </c>
      <c r="AU71">
        <v>2.0833333333333315E-2</v>
      </c>
      <c r="AV71">
        <v>2.0833333333333315E-2</v>
      </c>
      <c r="AW71">
        <v>2.0833333333333315E-2</v>
      </c>
      <c r="AX71">
        <v>2.0833333333333315E-2</v>
      </c>
      <c r="AY71">
        <v>2.0833333333333315E-2</v>
      </c>
      <c r="AZ71">
        <v>2.0833333333333315E-2</v>
      </c>
      <c r="BA71">
        <v>2.0833333333333315E-2</v>
      </c>
      <c r="BB71">
        <v>2.0833333333333315E-2</v>
      </c>
      <c r="BC71">
        <v>2.0833333333333315E-2</v>
      </c>
      <c r="BD71">
        <v>2.0833333333333315E-2</v>
      </c>
      <c r="BE71">
        <v>2.0833333333333315E-2</v>
      </c>
      <c r="BF71">
        <f t="shared" ref="BF71:BI71" si="6">+BF70/SUM($J$70:$AN$70)</f>
        <v>3.4482758620689648E-2</v>
      </c>
      <c r="BG71">
        <f t="shared" si="6"/>
        <v>3.4482758620689648E-2</v>
      </c>
      <c r="BH71">
        <f t="shared" si="6"/>
        <v>3.4482758620689648E-2</v>
      </c>
      <c r="BI71">
        <f t="shared" si="6"/>
        <v>3.4482758620689648E-2</v>
      </c>
      <c r="BJ71" s="120"/>
      <c r="BK71" s="120"/>
      <c r="BM71" s="98"/>
    </row>
    <row r="74" spans="1:65" s="97" customFormat="1" ht="16.399999999999999" customHeight="1">
      <c r="A74" s="92" t="s">
        <v>5233</v>
      </c>
      <c r="B74" s="93"/>
      <c r="C74" s="94"/>
      <c r="D74" s="94"/>
      <c r="E74" s="94"/>
      <c r="F74" s="94"/>
      <c r="G74" s="94"/>
      <c r="H74" s="94"/>
      <c r="I74" s="94"/>
      <c r="J74" s="95">
        <v>10342.302252385718</v>
      </c>
      <c r="K74" s="95">
        <v>10342.302252385718</v>
      </c>
      <c r="L74" s="95">
        <v>10342.302252385718</v>
      </c>
      <c r="M74" s="95">
        <v>10342.302252385718</v>
      </c>
      <c r="N74" s="95">
        <v>10342.302252385718</v>
      </c>
      <c r="O74" s="96"/>
      <c r="P74" s="95">
        <v>10342.302252385718</v>
      </c>
      <c r="Q74" s="95">
        <v>10342.302252385718</v>
      </c>
      <c r="R74" s="95">
        <v>10342.302252385718</v>
      </c>
      <c r="S74" s="95">
        <v>10342.302252385718</v>
      </c>
      <c r="T74" s="95">
        <v>10342.302252385718</v>
      </c>
      <c r="U74" s="95">
        <v>10342.302252385718</v>
      </c>
      <c r="V74" s="95">
        <v>10342.302252385718</v>
      </c>
      <c r="W74" s="95">
        <v>10342.302252385718</v>
      </c>
      <c r="X74" s="95">
        <v>10342.302252385718</v>
      </c>
      <c r="Y74" s="95">
        <v>10342.302252385718</v>
      </c>
      <c r="Z74" s="95">
        <v>10342.302252385718</v>
      </c>
      <c r="AA74" s="95">
        <v>10342.302252385718</v>
      </c>
      <c r="AB74" s="96"/>
      <c r="AC74" s="95">
        <v>10342.302252385718</v>
      </c>
      <c r="AD74" s="95">
        <v>10342.302252385718</v>
      </c>
      <c r="AE74" s="95">
        <v>10342.302252385718</v>
      </c>
      <c r="AF74" s="95">
        <v>10342.302252385718</v>
      </c>
      <c r="AG74" s="95">
        <v>10342.302252385718</v>
      </c>
      <c r="AH74" s="95">
        <v>10342.302252385718</v>
      </c>
      <c r="AI74" s="95">
        <v>10342.302252385718</v>
      </c>
      <c r="AJ74" s="95">
        <v>10342.302252385718</v>
      </c>
      <c r="AK74" s="95">
        <v>10342.302252385718</v>
      </c>
      <c r="AL74" s="95">
        <v>10342.302252385718</v>
      </c>
      <c r="AM74" s="95">
        <v>10342.302252385718</v>
      </c>
      <c r="AN74" s="95">
        <v>10342.302252385718</v>
      </c>
      <c r="AO74" s="96"/>
      <c r="AP74" s="95">
        <v>10342.302252385718</v>
      </c>
      <c r="AQ74" s="95">
        <v>10342.302252385718</v>
      </c>
      <c r="AR74" s="95">
        <v>10342.302252385718</v>
      </c>
      <c r="AS74" s="95">
        <v>10342.302252385718</v>
      </c>
      <c r="AT74" s="95">
        <v>10342.302252385718</v>
      </c>
      <c r="AU74" s="95">
        <v>10342.302252385718</v>
      </c>
      <c r="AV74" s="95">
        <v>10342.302252385718</v>
      </c>
      <c r="AW74" s="95">
        <v>10342.302252385718</v>
      </c>
      <c r="AX74" s="95">
        <v>10342.302252385718</v>
      </c>
      <c r="AY74" s="95">
        <v>10342.302252385718</v>
      </c>
      <c r="AZ74" s="95">
        <v>10342.302252385718</v>
      </c>
      <c r="BA74" s="95">
        <v>10342.302252385718</v>
      </c>
      <c r="BB74" s="96"/>
      <c r="BC74" s="95">
        <v>10342.302252385718</v>
      </c>
      <c r="BD74" s="95">
        <v>10342.302252385718</v>
      </c>
      <c r="BE74" s="95">
        <v>10342.302252385718</v>
      </c>
      <c r="BF74" s="95">
        <v>10342.302252385718</v>
      </c>
      <c r="BG74" s="95">
        <v>10342.302252385718</v>
      </c>
      <c r="BH74" s="95">
        <v>10342.302252385718</v>
      </c>
      <c r="BI74" s="95">
        <v>10342.302252385718</v>
      </c>
      <c r="BJ74" s="96"/>
      <c r="BK74" s="96">
        <v>496430.50811451441</v>
      </c>
      <c r="BM74" s="98"/>
    </row>
    <row r="75" spans="1:65">
      <c r="J75">
        <f>+J74/SUM($J$74:$BI$74)</f>
        <v>2.083333333333335E-2</v>
      </c>
      <c r="K75">
        <f t="shared" ref="K75:BI75" si="7">+K74/SUM($J$74:$BI$74)</f>
        <v>2.083333333333335E-2</v>
      </c>
      <c r="L75">
        <f t="shared" si="7"/>
        <v>2.083333333333335E-2</v>
      </c>
      <c r="M75">
        <f t="shared" si="7"/>
        <v>2.083333333333335E-2</v>
      </c>
      <c r="N75">
        <f t="shared" si="7"/>
        <v>2.083333333333335E-2</v>
      </c>
      <c r="O75">
        <f t="shared" si="7"/>
        <v>0</v>
      </c>
      <c r="P75">
        <f t="shared" si="7"/>
        <v>2.083333333333335E-2</v>
      </c>
      <c r="Q75">
        <f t="shared" si="7"/>
        <v>2.083333333333335E-2</v>
      </c>
      <c r="R75">
        <f t="shared" si="7"/>
        <v>2.083333333333335E-2</v>
      </c>
      <c r="S75">
        <f t="shared" si="7"/>
        <v>2.083333333333335E-2</v>
      </c>
      <c r="T75">
        <f t="shared" si="7"/>
        <v>2.083333333333335E-2</v>
      </c>
      <c r="U75">
        <f t="shared" si="7"/>
        <v>2.083333333333335E-2</v>
      </c>
      <c r="V75">
        <f t="shared" si="7"/>
        <v>2.083333333333335E-2</v>
      </c>
      <c r="W75">
        <f t="shared" si="7"/>
        <v>2.083333333333335E-2</v>
      </c>
      <c r="X75">
        <f t="shared" si="7"/>
        <v>2.083333333333335E-2</v>
      </c>
      <c r="Y75">
        <f t="shared" si="7"/>
        <v>2.083333333333335E-2</v>
      </c>
      <c r="Z75">
        <f t="shared" si="7"/>
        <v>2.083333333333335E-2</v>
      </c>
      <c r="AA75">
        <f t="shared" si="7"/>
        <v>2.083333333333335E-2</v>
      </c>
      <c r="AB75">
        <f t="shared" si="7"/>
        <v>0</v>
      </c>
      <c r="AC75">
        <f t="shared" si="7"/>
        <v>2.083333333333335E-2</v>
      </c>
      <c r="AD75">
        <f t="shared" si="7"/>
        <v>2.083333333333335E-2</v>
      </c>
      <c r="AE75">
        <f t="shared" si="7"/>
        <v>2.083333333333335E-2</v>
      </c>
      <c r="AF75">
        <f t="shared" si="7"/>
        <v>2.083333333333335E-2</v>
      </c>
      <c r="AG75">
        <f t="shared" si="7"/>
        <v>2.083333333333335E-2</v>
      </c>
      <c r="AH75">
        <f t="shared" si="7"/>
        <v>2.083333333333335E-2</v>
      </c>
      <c r="AI75">
        <f t="shared" si="7"/>
        <v>2.083333333333335E-2</v>
      </c>
      <c r="AJ75">
        <f t="shared" si="7"/>
        <v>2.083333333333335E-2</v>
      </c>
      <c r="AK75">
        <f t="shared" si="7"/>
        <v>2.083333333333335E-2</v>
      </c>
      <c r="AL75">
        <f t="shared" si="7"/>
        <v>2.083333333333335E-2</v>
      </c>
      <c r="AM75">
        <f t="shared" si="7"/>
        <v>2.083333333333335E-2</v>
      </c>
      <c r="AN75">
        <f t="shared" si="7"/>
        <v>2.083333333333335E-2</v>
      </c>
      <c r="AO75">
        <f t="shared" si="7"/>
        <v>0</v>
      </c>
      <c r="AP75">
        <f t="shared" si="7"/>
        <v>2.083333333333335E-2</v>
      </c>
      <c r="AQ75">
        <f t="shared" si="7"/>
        <v>2.083333333333335E-2</v>
      </c>
      <c r="AR75">
        <f t="shared" si="7"/>
        <v>2.083333333333335E-2</v>
      </c>
      <c r="AS75">
        <f t="shared" si="7"/>
        <v>2.083333333333335E-2</v>
      </c>
      <c r="AT75">
        <f t="shared" si="7"/>
        <v>2.083333333333335E-2</v>
      </c>
      <c r="AU75">
        <f t="shared" si="7"/>
        <v>2.083333333333335E-2</v>
      </c>
      <c r="AV75">
        <f t="shared" si="7"/>
        <v>2.083333333333335E-2</v>
      </c>
      <c r="AW75">
        <f t="shared" si="7"/>
        <v>2.083333333333335E-2</v>
      </c>
      <c r="AX75">
        <f t="shared" si="7"/>
        <v>2.083333333333335E-2</v>
      </c>
      <c r="AY75">
        <f t="shared" si="7"/>
        <v>2.083333333333335E-2</v>
      </c>
      <c r="AZ75">
        <f t="shared" si="7"/>
        <v>2.083333333333335E-2</v>
      </c>
      <c r="BA75">
        <f t="shared" si="7"/>
        <v>2.083333333333335E-2</v>
      </c>
      <c r="BB75">
        <f t="shared" si="7"/>
        <v>0</v>
      </c>
      <c r="BC75">
        <f t="shared" si="7"/>
        <v>2.083333333333335E-2</v>
      </c>
      <c r="BD75">
        <f t="shared" si="7"/>
        <v>2.083333333333335E-2</v>
      </c>
      <c r="BE75">
        <f t="shared" si="7"/>
        <v>2.083333333333335E-2</v>
      </c>
      <c r="BF75">
        <f t="shared" si="7"/>
        <v>2.083333333333335E-2</v>
      </c>
      <c r="BG75">
        <f t="shared" si="7"/>
        <v>2.083333333333335E-2</v>
      </c>
      <c r="BH75">
        <f t="shared" si="7"/>
        <v>2.083333333333335E-2</v>
      </c>
      <c r="BI75">
        <f t="shared" si="7"/>
        <v>2.083333333333335E-2</v>
      </c>
    </row>
    <row r="82" spans="1:65" s="97" customFormat="1" ht="31" customHeight="1">
      <c r="A82" s="99" t="s">
        <v>5202</v>
      </c>
      <c r="B82" s="100" t="s">
        <v>5203</v>
      </c>
      <c r="C82" s="101">
        <v>45292</v>
      </c>
      <c r="D82" s="101">
        <v>45323</v>
      </c>
      <c r="E82" s="101">
        <v>45352</v>
      </c>
      <c r="F82" s="101">
        <v>45383</v>
      </c>
      <c r="G82" s="101">
        <v>45413</v>
      </c>
      <c r="H82" s="101">
        <v>45444</v>
      </c>
      <c r="I82" s="101">
        <v>45474</v>
      </c>
      <c r="J82" s="102">
        <v>45505</v>
      </c>
      <c r="K82" s="102">
        <v>45536</v>
      </c>
      <c r="L82" s="102">
        <v>45566</v>
      </c>
      <c r="M82" s="102">
        <v>45597</v>
      </c>
      <c r="N82" s="102">
        <v>45627</v>
      </c>
      <c r="O82" s="100" t="s">
        <v>5204</v>
      </c>
      <c r="P82" s="102">
        <v>45658</v>
      </c>
      <c r="Q82" s="102">
        <v>45689</v>
      </c>
      <c r="R82" s="102">
        <v>45717</v>
      </c>
      <c r="S82" s="102">
        <v>45748</v>
      </c>
      <c r="T82" s="102">
        <v>45778</v>
      </c>
      <c r="U82" s="102">
        <v>45809</v>
      </c>
      <c r="V82" s="102">
        <v>45839</v>
      </c>
      <c r="W82" s="102">
        <v>45870</v>
      </c>
      <c r="X82" s="102">
        <v>45901</v>
      </c>
      <c r="Y82" s="102">
        <v>45931</v>
      </c>
      <c r="Z82" s="102">
        <v>45962</v>
      </c>
      <c r="AA82" s="102">
        <v>45992</v>
      </c>
      <c r="AB82" s="100" t="s">
        <v>5205</v>
      </c>
      <c r="AC82" s="102">
        <v>46023</v>
      </c>
      <c r="AD82" s="102">
        <v>46054</v>
      </c>
      <c r="AE82" s="102">
        <v>46082</v>
      </c>
      <c r="AF82" s="102">
        <v>46113</v>
      </c>
      <c r="AG82" s="102">
        <v>46143</v>
      </c>
      <c r="AH82" s="102">
        <v>46174</v>
      </c>
      <c r="AI82" s="102">
        <v>46204</v>
      </c>
      <c r="AJ82" s="102">
        <v>46235</v>
      </c>
      <c r="AK82" s="102">
        <v>46266</v>
      </c>
      <c r="AL82" s="102">
        <v>46296</v>
      </c>
      <c r="AM82" s="102">
        <v>46327</v>
      </c>
      <c r="AN82" s="102">
        <v>46357</v>
      </c>
      <c r="AO82" s="100" t="s">
        <v>5206</v>
      </c>
      <c r="AP82" s="102">
        <v>46388</v>
      </c>
      <c r="AQ82" s="102">
        <v>46419</v>
      </c>
      <c r="AR82" s="102">
        <v>46447</v>
      </c>
      <c r="AS82" s="102">
        <v>46478</v>
      </c>
      <c r="AT82" s="102">
        <v>46508</v>
      </c>
      <c r="AU82" s="102">
        <v>46539</v>
      </c>
      <c r="AV82" s="102">
        <v>46569</v>
      </c>
      <c r="AW82" s="102">
        <v>46600</v>
      </c>
      <c r="AX82" s="102">
        <v>46631</v>
      </c>
      <c r="AY82" s="102">
        <v>46661</v>
      </c>
      <c r="AZ82" s="102">
        <v>46692</v>
      </c>
      <c r="BA82" s="102">
        <v>46722</v>
      </c>
      <c r="BB82" s="100" t="s">
        <v>5207</v>
      </c>
      <c r="BC82" s="102">
        <v>46753</v>
      </c>
      <c r="BD82" s="102">
        <v>46784</v>
      </c>
      <c r="BE82" s="102">
        <v>46813</v>
      </c>
      <c r="BF82" s="102">
        <v>46844</v>
      </c>
      <c r="BG82" s="102">
        <v>46874</v>
      </c>
      <c r="BH82" s="102">
        <v>46905</v>
      </c>
      <c r="BI82" s="102">
        <v>46935</v>
      </c>
      <c r="BJ82" s="100" t="s">
        <v>5208</v>
      </c>
      <c r="BK82" s="100" t="s">
        <v>5209</v>
      </c>
    </row>
    <row r="83" spans="1:65" s="97" customFormat="1" ht="16.399999999999999" customHeight="1" collapsed="1">
      <c r="A83" s="92" t="s">
        <v>5234</v>
      </c>
      <c r="B83" s="93"/>
      <c r="C83" s="94"/>
      <c r="D83" s="94"/>
      <c r="E83" s="94"/>
      <c r="F83" s="94"/>
      <c r="G83" s="94"/>
      <c r="H83" s="94"/>
      <c r="I83" s="94"/>
      <c r="J83" s="95">
        <v>503139.02849444037</v>
      </c>
      <c r="K83" s="95">
        <v>603766.8341933284</v>
      </c>
      <c r="L83" s="95">
        <v>603766.8341933284</v>
      </c>
      <c r="M83" s="95">
        <v>603766.8341933284</v>
      </c>
      <c r="N83" s="95">
        <v>603766.8341933284</v>
      </c>
      <c r="O83" s="96"/>
      <c r="P83" s="95">
        <v>603766.8341933284</v>
      </c>
      <c r="Q83" s="95">
        <v>603766.8341933284</v>
      </c>
      <c r="R83" s="95">
        <v>603766.8341933284</v>
      </c>
      <c r="S83" s="95">
        <v>603766.8341933284</v>
      </c>
      <c r="T83" s="95">
        <v>603766.8341933284</v>
      </c>
      <c r="U83" s="95">
        <v>603766.8341933284</v>
      </c>
      <c r="V83" s="95">
        <v>603766.8341933284</v>
      </c>
      <c r="W83" s="95">
        <v>603766.8341933284</v>
      </c>
      <c r="X83" s="95">
        <v>603766.8341933284</v>
      </c>
      <c r="Y83" s="95">
        <v>603766.8341933284</v>
      </c>
      <c r="Z83" s="95">
        <v>603766.8341933284</v>
      </c>
      <c r="AA83" s="95">
        <v>603766.8341933284</v>
      </c>
      <c r="AB83" s="96"/>
      <c r="AC83" s="95">
        <v>603766.8341933284</v>
      </c>
      <c r="AD83" s="95">
        <v>603766.8341933284</v>
      </c>
      <c r="AE83" s="95">
        <v>603766.8341933284</v>
      </c>
      <c r="AF83" s="95">
        <v>603766.8341933284</v>
      </c>
      <c r="AG83" s="95">
        <v>603766.8341933284</v>
      </c>
      <c r="AH83" s="95">
        <v>603766.8341933284</v>
      </c>
      <c r="AI83" s="95">
        <v>603766.8341933284</v>
      </c>
      <c r="AJ83" s="95">
        <v>603766.8341933284</v>
      </c>
      <c r="AK83" s="95">
        <v>603766.8341933284</v>
      </c>
      <c r="AL83" s="95">
        <v>603766.8341933284</v>
      </c>
      <c r="AM83" s="95">
        <v>603766.8341933284</v>
      </c>
      <c r="AN83" s="95">
        <v>603766.8341933284</v>
      </c>
      <c r="AO83" s="96"/>
      <c r="AP83" s="95">
        <v>500000</v>
      </c>
      <c r="AQ83" s="95">
        <v>500000</v>
      </c>
      <c r="AR83" s="95">
        <v>500000</v>
      </c>
      <c r="AS83" s="95">
        <v>500000</v>
      </c>
      <c r="AT83" s="95">
        <v>500000</v>
      </c>
      <c r="AU83" s="95">
        <v>500000</v>
      </c>
      <c r="AV83" s="95">
        <v>500000</v>
      </c>
      <c r="AW83" s="95">
        <v>500000</v>
      </c>
      <c r="AX83" s="95">
        <v>500000</v>
      </c>
      <c r="AY83" s="95">
        <v>500000</v>
      </c>
      <c r="AZ83" s="95">
        <v>500000</v>
      </c>
      <c r="BA83" s="95">
        <v>500000</v>
      </c>
      <c r="BB83" s="96"/>
      <c r="BC83" s="95">
        <v>500000</v>
      </c>
      <c r="BD83" s="95">
        <v>500000</v>
      </c>
      <c r="BE83" s="95">
        <v>500000</v>
      </c>
      <c r="BF83" s="95">
        <v>500000</v>
      </c>
      <c r="BG83" s="95">
        <v>500000</v>
      </c>
      <c r="BH83" s="95">
        <v>500000</v>
      </c>
      <c r="BI83" s="95">
        <v>500000</v>
      </c>
      <c r="BJ83" s="96"/>
      <c r="BK83" s="96">
        <f>+SUM(J83:BI83)</f>
        <v>26908610.385907635</v>
      </c>
      <c r="BM83" s="98"/>
    </row>
    <row r="84" spans="1:65">
      <c r="J84">
        <f>+J83/SUM($J$83:$BI$83)</f>
        <v>1.8698068063668586E-2</v>
      </c>
      <c r="K84">
        <f t="shared" ref="K84:BI84" si="8">+K83/SUM($J$83:$BI$83)</f>
        <v>2.24376816764023E-2</v>
      </c>
      <c r="L84">
        <f t="shared" si="8"/>
        <v>2.24376816764023E-2</v>
      </c>
      <c r="M84">
        <f t="shared" si="8"/>
        <v>2.24376816764023E-2</v>
      </c>
      <c r="N84">
        <f t="shared" si="8"/>
        <v>2.24376816764023E-2</v>
      </c>
      <c r="O84">
        <f t="shared" si="8"/>
        <v>0</v>
      </c>
      <c r="P84">
        <f t="shared" si="8"/>
        <v>2.24376816764023E-2</v>
      </c>
      <c r="Q84">
        <f t="shared" si="8"/>
        <v>2.24376816764023E-2</v>
      </c>
      <c r="R84">
        <f t="shared" si="8"/>
        <v>2.24376816764023E-2</v>
      </c>
      <c r="S84">
        <f t="shared" si="8"/>
        <v>2.24376816764023E-2</v>
      </c>
      <c r="T84">
        <f t="shared" si="8"/>
        <v>2.24376816764023E-2</v>
      </c>
      <c r="U84">
        <f t="shared" si="8"/>
        <v>2.24376816764023E-2</v>
      </c>
      <c r="V84">
        <f t="shared" si="8"/>
        <v>2.24376816764023E-2</v>
      </c>
      <c r="W84">
        <f t="shared" si="8"/>
        <v>2.24376816764023E-2</v>
      </c>
      <c r="X84">
        <f t="shared" si="8"/>
        <v>2.24376816764023E-2</v>
      </c>
      <c r="Y84">
        <f t="shared" si="8"/>
        <v>2.24376816764023E-2</v>
      </c>
      <c r="Z84">
        <f t="shared" si="8"/>
        <v>2.24376816764023E-2</v>
      </c>
      <c r="AA84">
        <f t="shared" si="8"/>
        <v>2.24376816764023E-2</v>
      </c>
      <c r="AB84">
        <f t="shared" si="8"/>
        <v>0</v>
      </c>
      <c r="AC84">
        <f t="shared" si="8"/>
        <v>2.24376816764023E-2</v>
      </c>
      <c r="AD84">
        <f t="shared" si="8"/>
        <v>2.24376816764023E-2</v>
      </c>
      <c r="AE84">
        <f t="shared" si="8"/>
        <v>2.24376816764023E-2</v>
      </c>
      <c r="AF84">
        <f t="shared" si="8"/>
        <v>2.24376816764023E-2</v>
      </c>
      <c r="AG84">
        <f t="shared" si="8"/>
        <v>2.24376816764023E-2</v>
      </c>
      <c r="AH84">
        <f t="shared" si="8"/>
        <v>2.24376816764023E-2</v>
      </c>
      <c r="AI84">
        <f t="shared" si="8"/>
        <v>2.24376816764023E-2</v>
      </c>
      <c r="AJ84">
        <f t="shared" si="8"/>
        <v>2.24376816764023E-2</v>
      </c>
      <c r="AK84">
        <f t="shared" si="8"/>
        <v>2.24376816764023E-2</v>
      </c>
      <c r="AL84">
        <f t="shared" si="8"/>
        <v>2.24376816764023E-2</v>
      </c>
      <c r="AM84">
        <f t="shared" si="8"/>
        <v>2.24376816764023E-2</v>
      </c>
      <c r="AN84">
        <f t="shared" si="8"/>
        <v>2.24376816764023E-2</v>
      </c>
      <c r="AO84">
        <f t="shared" si="8"/>
        <v>0</v>
      </c>
      <c r="AP84">
        <f t="shared" si="8"/>
        <v>1.8581412894582473E-2</v>
      </c>
      <c r="AQ84">
        <f t="shared" si="8"/>
        <v>1.8581412894582473E-2</v>
      </c>
      <c r="AR84">
        <f t="shared" si="8"/>
        <v>1.8581412894582473E-2</v>
      </c>
      <c r="AS84">
        <f t="shared" si="8"/>
        <v>1.8581412894582473E-2</v>
      </c>
      <c r="AT84">
        <f t="shared" si="8"/>
        <v>1.8581412894582473E-2</v>
      </c>
      <c r="AU84">
        <f t="shared" si="8"/>
        <v>1.8581412894582473E-2</v>
      </c>
      <c r="AV84">
        <f t="shared" si="8"/>
        <v>1.8581412894582473E-2</v>
      </c>
      <c r="AW84">
        <f t="shared" si="8"/>
        <v>1.8581412894582473E-2</v>
      </c>
      <c r="AX84">
        <f t="shared" si="8"/>
        <v>1.8581412894582473E-2</v>
      </c>
      <c r="AY84">
        <f t="shared" si="8"/>
        <v>1.8581412894582473E-2</v>
      </c>
      <c r="AZ84">
        <f t="shared" si="8"/>
        <v>1.8581412894582473E-2</v>
      </c>
      <c r="BA84">
        <f t="shared" si="8"/>
        <v>1.8581412894582473E-2</v>
      </c>
      <c r="BB84">
        <f t="shared" si="8"/>
        <v>0</v>
      </c>
      <c r="BC84">
        <f t="shared" si="8"/>
        <v>1.8581412894582473E-2</v>
      </c>
      <c r="BD84">
        <f t="shared" si="8"/>
        <v>1.8581412894582473E-2</v>
      </c>
      <c r="BE84">
        <f t="shared" si="8"/>
        <v>1.8581412894582473E-2</v>
      </c>
      <c r="BF84">
        <f t="shared" si="8"/>
        <v>1.8581412894582473E-2</v>
      </c>
      <c r="BG84">
        <f t="shared" si="8"/>
        <v>1.8581412894582473E-2</v>
      </c>
      <c r="BH84">
        <f t="shared" si="8"/>
        <v>1.8581412894582473E-2</v>
      </c>
      <c r="BI84">
        <f t="shared" si="8"/>
        <v>1.8581412894582473E-2</v>
      </c>
    </row>
    <row r="88" spans="1:65" s="97" customFormat="1" ht="31" customHeight="1">
      <c r="A88" s="99" t="s">
        <v>5202</v>
      </c>
      <c r="B88" s="100" t="s">
        <v>5203</v>
      </c>
      <c r="C88" s="101">
        <v>45292</v>
      </c>
      <c r="D88" s="101">
        <v>45323</v>
      </c>
      <c r="E88" s="101">
        <v>45352</v>
      </c>
      <c r="F88" s="101">
        <v>45383</v>
      </c>
      <c r="G88" s="101">
        <v>45413</v>
      </c>
      <c r="H88" s="101">
        <v>45444</v>
      </c>
      <c r="I88" s="101">
        <v>45474</v>
      </c>
      <c r="J88" s="102">
        <v>45505</v>
      </c>
      <c r="K88" s="102">
        <v>45536</v>
      </c>
      <c r="L88" s="102">
        <v>45566</v>
      </c>
      <c r="M88" s="102">
        <v>45597</v>
      </c>
      <c r="N88" s="102">
        <v>45627</v>
      </c>
      <c r="O88" s="100" t="s">
        <v>5204</v>
      </c>
      <c r="P88" s="102">
        <v>45658</v>
      </c>
      <c r="Q88" s="102">
        <v>45689</v>
      </c>
      <c r="R88" s="102">
        <v>45717</v>
      </c>
      <c r="S88" s="102">
        <v>45748</v>
      </c>
      <c r="T88" s="102">
        <v>45778</v>
      </c>
      <c r="U88" s="102">
        <v>45809</v>
      </c>
      <c r="V88" s="102">
        <v>45839</v>
      </c>
      <c r="W88" s="102">
        <v>45870</v>
      </c>
      <c r="X88" s="102">
        <v>45901</v>
      </c>
      <c r="Y88" s="102">
        <v>45931</v>
      </c>
      <c r="Z88" s="102">
        <v>45962</v>
      </c>
      <c r="AA88" s="102">
        <v>45992</v>
      </c>
      <c r="AB88" s="100" t="s">
        <v>5205</v>
      </c>
      <c r="AC88" s="102">
        <v>46023</v>
      </c>
      <c r="AD88" s="102">
        <v>46054</v>
      </c>
      <c r="AE88" s="102">
        <v>46082</v>
      </c>
      <c r="AF88" s="102">
        <v>46113</v>
      </c>
      <c r="AG88" s="102">
        <v>46143</v>
      </c>
      <c r="AH88" s="102">
        <v>46174</v>
      </c>
      <c r="AI88" s="102">
        <v>46204</v>
      </c>
      <c r="AJ88" s="102">
        <v>46235</v>
      </c>
      <c r="AK88" s="102">
        <v>46266</v>
      </c>
      <c r="AL88" s="102">
        <v>46296</v>
      </c>
      <c r="AM88" s="102">
        <v>46327</v>
      </c>
      <c r="AN88" s="102">
        <v>46357</v>
      </c>
      <c r="AO88" s="100" t="s">
        <v>5206</v>
      </c>
      <c r="AP88" s="102">
        <v>46388</v>
      </c>
      <c r="AQ88" s="102">
        <v>46419</v>
      </c>
      <c r="AR88" s="102">
        <v>46447</v>
      </c>
      <c r="AS88" s="102">
        <v>46478</v>
      </c>
      <c r="AT88" s="102">
        <v>46508</v>
      </c>
      <c r="AU88" s="102">
        <v>46539</v>
      </c>
      <c r="AV88" s="102">
        <v>46569</v>
      </c>
      <c r="AW88" s="102">
        <v>46600</v>
      </c>
      <c r="AX88" s="102">
        <v>46631</v>
      </c>
      <c r="AY88" s="102">
        <v>46661</v>
      </c>
      <c r="AZ88" s="102">
        <v>46692</v>
      </c>
      <c r="BA88" s="102">
        <v>46722</v>
      </c>
      <c r="BB88" s="100" t="s">
        <v>5207</v>
      </c>
      <c r="BC88" s="102">
        <v>46753</v>
      </c>
      <c r="BD88" s="102">
        <v>46784</v>
      </c>
      <c r="BE88" s="102">
        <v>46813</v>
      </c>
      <c r="BF88" s="102">
        <v>46844</v>
      </c>
      <c r="BG88" s="102">
        <v>46874</v>
      </c>
      <c r="BH88" s="102">
        <v>46905</v>
      </c>
      <c r="BI88" s="102">
        <v>46935</v>
      </c>
      <c r="BJ88" s="100" t="s">
        <v>5208</v>
      </c>
      <c r="BK88" s="100" t="s">
        <v>5209</v>
      </c>
    </row>
    <row r="89" spans="1:65" s="97" customFormat="1" ht="16.399999999999999" customHeight="1">
      <c r="A89" s="92" t="s">
        <v>5235</v>
      </c>
      <c r="B89" s="93"/>
      <c r="C89" s="94"/>
      <c r="D89" s="94"/>
      <c r="E89" s="94"/>
      <c r="F89" s="94"/>
      <c r="G89" s="94"/>
      <c r="H89" s="94"/>
      <c r="I89" s="94"/>
      <c r="J89" s="95">
        <v>6960.089894173092</v>
      </c>
      <c r="K89" s="95">
        <v>11432.436814123674</v>
      </c>
      <c r="L89" s="95">
        <v>6960.089894173092</v>
      </c>
      <c r="M89" s="95">
        <v>6960.089894173092</v>
      </c>
      <c r="N89" s="95">
        <v>11432.436814123674</v>
      </c>
      <c r="O89" s="96"/>
      <c r="P89" s="95">
        <v>6960.089894173092</v>
      </c>
      <c r="Q89" s="95">
        <v>6960.089894173092</v>
      </c>
      <c r="R89" s="95">
        <v>11432.436814123674</v>
      </c>
      <c r="S89" s="95">
        <v>6960.089894173092</v>
      </c>
      <c r="T89" s="95">
        <v>6960.089894173092</v>
      </c>
      <c r="U89" s="95">
        <v>11432.436814123674</v>
      </c>
      <c r="V89" s="95">
        <v>6960.089894173092</v>
      </c>
      <c r="W89" s="95">
        <v>6960.089894173092</v>
      </c>
      <c r="X89" s="95">
        <v>11432.436814123674</v>
      </c>
      <c r="Y89" s="95">
        <v>6960.089894173092</v>
      </c>
      <c r="Z89" s="95">
        <v>6960.089894173092</v>
      </c>
      <c r="AA89" s="95">
        <v>11432.436814123674</v>
      </c>
      <c r="AB89" s="96"/>
      <c r="AC89" s="95">
        <v>6960.089894173092</v>
      </c>
      <c r="AD89" s="95">
        <v>6960.089894173092</v>
      </c>
      <c r="AE89" s="95">
        <v>11432.436814123674</v>
      </c>
      <c r="AF89" s="95">
        <v>6960.089894173092</v>
      </c>
      <c r="AG89" s="95">
        <v>6960.089894173092</v>
      </c>
      <c r="AH89" s="95">
        <v>11432.436814123674</v>
      </c>
      <c r="AI89" s="95">
        <v>6960.089894173092</v>
      </c>
      <c r="AJ89" s="95">
        <v>6960.089894173092</v>
      </c>
      <c r="AK89" s="95">
        <v>11432.436814123674</v>
      </c>
      <c r="AL89" s="95">
        <v>6960.089894173092</v>
      </c>
      <c r="AM89" s="95">
        <v>6960.089894173092</v>
      </c>
      <c r="AN89" s="95">
        <v>11432.436814123674</v>
      </c>
      <c r="AO89" s="96"/>
      <c r="AP89" s="95">
        <v>6960.089894173092</v>
      </c>
      <c r="AQ89" s="95">
        <v>6960.089894173092</v>
      </c>
      <c r="AR89" s="95">
        <v>11432.436814123674</v>
      </c>
      <c r="AS89" s="95">
        <v>6960.089894173092</v>
      </c>
      <c r="AT89" s="95">
        <v>6960.089894173092</v>
      </c>
      <c r="AU89" s="95">
        <v>11432.436814123674</v>
      </c>
      <c r="AV89" s="95">
        <v>6960.089894173092</v>
      </c>
      <c r="AW89" s="95">
        <v>6960.089894173092</v>
      </c>
      <c r="AX89" s="95">
        <v>11432.436814123674</v>
      </c>
      <c r="AY89" s="95">
        <v>6960.089894173092</v>
      </c>
      <c r="AZ89" s="95">
        <v>6960.089894173092</v>
      </c>
      <c r="BA89" s="95">
        <v>11432.436814123674</v>
      </c>
      <c r="BB89" s="96"/>
      <c r="BC89" s="95">
        <v>6960.089894173092</v>
      </c>
      <c r="BD89" s="95">
        <v>6960.089894173092</v>
      </c>
      <c r="BE89" s="95">
        <v>11432.436814123674</v>
      </c>
      <c r="BF89" s="95">
        <v>6960.089894173092</v>
      </c>
      <c r="BG89" s="95">
        <v>6960.089894173092</v>
      </c>
      <c r="BH89" s="95">
        <v>11432.436814123674</v>
      </c>
      <c r="BI89" s="95">
        <v>6960.089894173092</v>
      </c>
      <c r="BJ89" s="96"/>
      <c r="BK89" s="96">
        <v>405641.86563951778</v>
      </c>
      <c r="BM89" s="98"/>
    </row>
    <row r="90" spans="1:65">
      <c r="J90">
        <f>+J89/SUM($J$89:$BI$89)</f>
        <v>1.7158213891951501E-2</v>
      </c>
      <c r="K90">
        <f t="shared" ref="K90:BI90" si="9">+K89/SUM($J$89:$BI$89)</f>
        <v>2.8183572216097044E-2</v>
      </c>
      <c r="L90">
        <f t="shared" si="9"/>
        <v>1.7158213891951501E-2</v>
      </c>
      <c r="M90">
        <f t="shared" si="9"/>
        <v>1.7158213891951501E-2</v>
      </c>
      <c r="N90">
        <f t="shared" si="9"/>
        <v>2.8183572216097044E-2</v>
      </c>
      <c r="O90">
        <f t="shared" si="9"/>
        <v>0</v>
      </c>
      <c r="P90">
        <f t="shared" si="9"/>
        <v>1.7158213891951501E-2</v>
      </c>
      <c r="Q90">
        <f t="shared" si="9"/>
        <v>1.7158213891951501E-2</v>
      </c>
      <c r="R90">
        <f t="shared" si="9"/>
        <v>2.8183572216097044E-2</v>
      </c>
      <c r="S90">
        <f t="shared" si="9"/>
        <v>1.7158213891951501E-2</v>
      </c>
      <c r="T90">
        <f t="shared" si="9"/>
        <v>1.7158213891951501E-2</v>
      </c>
      <c r="U90">
        <f t="shared" si="9"/>
        <v>2.8183572216097044E-2</v>
      </c>
      <c r="V90">
        <f t="shared" si="9"/>
        <v>1.7158213891951501E-2</v>
      </c>
      <c r="W90">
        <f t="shared" si="9"/>
        <v>1.7158213891951501E-2</v>
      </c>
      <c r="X90">
        <f t="shared" si="9"/>
        <v>2.8183572216097044E-2</v>
      </c>
      <c r="Y90">
        <f t="shared" si="9"/>
        <v>1.7158213891951501E-2</v>
      </c>
      <c r="Z90">
        <f t="shared" si="9"/>
        <v>1.7158213891951501E-2</v>
      </c>
      <c r="AA90">
        <f t="shared" si="9"/>
        <v>2.8183572216097044E-2</v>
      </c>
      <c r="AB90">
        <f t="shared" si="9"/>
        <v>0</v>
      </c>
      <c r="AC90">
        <f t="shared" si="9"/>
        <v>1.7158213891951501E-2</v>
      </c>
      <c r="AD90">
        <f t="shared" si="9"/>
        <v>1.7158213891951501E-2</v>
      </c>
      <c r="AE90">
        <f t="shared" si="9"/>
        <v>2.8183572216097044E-2</v>
      </c>
      <c r="AF90">
        <f t="shared" si="9"/>
        <v>1.7158213891951501E-2</v>
      </c>
      <c r="AG90">
        <f t="shared" si="9"/>
        <v>1.7158213891951501E-2</v>
      </c>
      <c r="AH90">
        <f t="shared" si="9"/>
        <v>2.8183572216097044E-2</v>
      </c>
      <c r="AI90">
        <f t="shared" si="9"/>
        <v>1.7158213891951501E-2</v>
      </c>
      <c r="AJ90">
        <f t="shared" si="9"/>
        <v>1.7158213891951501E-2</v>
      </c>
      <c r="AK90">
        <f t="shared" si="9"/>
        <v>2.8183572216097044E-2</v>
      </c>
      <c r="AL90">
        <f t="shared" si="9"/>
        <v>1.7158213891951501E-2</v>
      </c>
      <c r="AM90">
        <f t="shared" si="9"/>
        <v>1.7158213891951501E-2</v>
      </c>
      <c r="AN90">
        <f t="shared" si="9"/>
        <v>2.8183572216097044E-2</v>
      </c>
      <c r="AO90">
        <f t="shared" si="9"/>
        <v>0</v>
      </c>
      <c r="AP90">
        <f t="shared" si="9"/>
        <v>1.7158213891951501E-2</v>
      </c>
      <c r="AQ90">
        <f t="shared" si="9"/>
        <v>1.7158213891951501E-2</v>
      </c>
      <c r="AR90">
        <f t="shared" si="9"/>
        <v>2.8183572216097044E-2</v>
      </c>
      <c r="AS90">
        <f t="shared" si="9"/>
        <v>1.7158213891951501E-2</v>
      </c>
      <c r="AT90">
        <f t="shared" si="9"/>
        <v>1.7158213891951501E-2</v>
      </c>
      <c r="AU90">
        <f t="shared" si="9"/>
        <v>2.8183572216097044E-2</v>
      </c>
      <c r="AV90">
        <f t="shared" si="9"/>
        <v>1.7158213891951501E-2</v>
      </c>
      <c r="AW90">
        <f t="shared" si="9"/>
        <v>1.7158213891951501E-2</v>
      </c>
      <c r="AX90">
        <f t="shared" si="9"/>
        <v>2.8183572216097044E-2</v>
      </c>
      <c r="AY90">
        <f t="shared" si="9"/>
        <v>1.7158213891951501E-2</v>
      </c>
      <c r="AZ90">
        <f t="shared" si="9"/>
        <v>1.7158213891951501E-2</v>
      </c>
      <c r="BA90">
        <f t="shared" si="9"/>
        <v>2.8183572216097044E-2</v>
      </c>
      <c r="BB90">
        <f t="shared" si="9"/>
        <v>0</v>
      </c>
      <c r="BC90">
        <f t="shared" si="9"/>
        <v>1.7158213891951501E-2</v>
      </c>
      <c r="BD90">
        <f t="shared" si="9"/>
        <v>1.7158213891951501E-2</v>
      </c>
      <c r="BE90">
        <f t="shared" si="9"/>
        <v>2.8183572216097044E-2</v>
      </c>
      <c r="BF90">
        <f t="shared" si="9"/>
        <v>1.7158213891951501E-2</v>
      </c>
      <c r="BG90">
        <f t="shared" si="9"/>
        <v>1.7158213891951501E-2</v>
      </c>
      <c r="BH90">
        <f t="shared" si="9"/>
        <v>2.8183572216097044E-2</v>
      </c>
      <c r="BI90">
        <f t="shared" si="9"/>
        <v>1.7158213891951501E-2</v>
      </c>
    </row>
    <row r="93" spans="1:65" s="97" customFormat="1" ht="31" customHeight="1">
      <c r="A93" s="99" t="s">
        <v>5202</v>
      </c>
      <c r="B93" s="100" t="s">
        <v>5203</v>
      </c>
      <c r="C93" s="101">
        <v>45292</v>
      </c>
      <c r="D93" s="101">
        <v>45323</v>
      </c>
      <c r="E93" s="101">
        <v>45352</v>
      </c>
      <c r="F93" s="101">
        <v>45383</v>
      </c>
      <c r="G93" s="101">
        <v>45413</v>
      </c>
      <c r="H93" s="101">
        <v>45444</v>
      </c>
      <c r="I93" s="101">
        <v>45474</v>
      </c>
      <c r="J93" s="102">
        <v>45505</v>
      </c>
      <c r="K93" s="102">
        <v>45536</v>
      </c>
      <c r="L93" s="102">
        <v>45566</v>
      </c>
      <c r="M93" s="102">
        <v>45597</v>
      </c>
      <c r="N93" s="102">
        <v>45627</v>
      </c>
      <c r="O93" s="100" t="s">
        <v>5204</v>
      </c>
      <c r="P93" s="102">
        <v>45658</v>
      </c>
      <c r="Q93" s="102">
        <v>45689</v>
      </c>
      <c r="R93" s="102">
        <v>45717</v>
      </c>
      <c r="S93" s="102">
        <v>45748</v>
      </c>
      <c r="T93" s="102">
        <v>45778</v>
      </c>
      <c r="U93" s="102">
        <v>45809</v>
      </c>
      <c r="V93" s="102">
        <v>45839</v>
      </c>
      <c r="W93" s="102">
        <v>45870</v>
      </c>
      <c r="X93" s="102">
        <v>45901</v>
      </c>
      <c r="Y93" s="102">
        <v>45931</v>
      </c>
      <c r="Z93" s="102">
        <v>45962</v>
      </c>
      <c r="AA93" s="102">
        <v>45992</v>
      </c>
      <c r="AB93" s="100" t="s">
        <v>5205</v>
      </c>
      <c r="AC93" s="102">
        <v>46023</v>
      </c>
      <c r="AD93" s="102">
        <v>46054</v>
      </c>
      <c r="AE93" s="102">
        <v>46082</v>
      </c>
      <c r="AF93" s="102">
        <v>46113</v>
      </c>
      <c r="AG93" s="102">
        <v>46143</v>
      </c>
      <c r="AH93" s="102">
        <v>46174</v>
      </c>
      <c r="AI93" s="102">
        <v>46204</v>
      </c>
      <c r="AJ93" s="102">
        <v>46235</v>
      </c>
      <c r="AK93" s="102">
        <v>46266</v>
      </c>
      <c r="AL93" s="102">
        <v>46296</v>
      </c>
      <c r="AM93" s="102">
        <v>46327</v>
      </c>
      <c r="AN93" s="102">
        <v>46357</v>
      </c>
      <c r="AO93" s="100" t="s">
        <v>5206</v>
      </c>
      <c r="AP93" s="102">
        <v>46388</v>
      </c>
      <c r="AQ93" s="102">
        <v>46419</v>
      </c>
      <c r="AR93" s="102">
        <v>46447</v>
      </c>
      <c r="AS93" s="102">
        <v>46478</v>
      </c>
      <c r="AT93" s="102">
        <v>46508</v>
      </c>
      <c r="AU93" s="102">
        <v>46539</v>
      </c>
      <c r="AV93" s="102">
        <v>46569</v>
      </c>
      <c r="AW93" s="102">
        <v>46600</v>
      </c>
      <c r="AX93" s="102">
        <v>46631</v>
      </c>
      <c r="AY93" s="102">
        <v>46661</v>
      </c>
      <c r="AZ93" s="102">
        <v>46692</v>
      </c>
      <c r="BA93" s="102">
        <v>46722</v>
      </c>
      <c r="BB93" s="100" t="s">
        <v>5207</v>
      </c>
      <c r="BC93" s="102">
        <v>46753</v>
      </c>
      <c r="BD93" s="102">
        <v>46784</v>
      </c>
      <c r="BE93" s="102">
        <v>46813</v>
      </c>
      <c r="BF93" s="102">
        <v>46844</v>
      </c>
      <c r="BG93" s="102">
        <v>46874</v>
      </c>
      <c r="BH93" s="102">
        <v>46905</v>
      </c>
      <c r="BI93" s="102">
        <v>46935</v>
      </c>
      <c r="BJ93" s="100" t="s">
        <v>5208</v>
      </c>
      <c r="BK93" s="100" t="s">
        <v>5209</v>
      </c>
    </row>
    <row r="94" spans="1:65" s="97" customFormat="1" ht="16.399999999999999" customHeight="1" outlineLevel="1">
      <c r="A94" s="103" t="s">
        <v>5236</v>
      </c>
      <c r="B94" s="104"/>
      <c r="C94" s="105"/>
      <c r="D94" s="105"/>
      <c r="E94" s="105"/>
      <c r="F94" s="105"/>
      <c r="G94" s="105"/>
      <c r="H94" s="105"/>
      <c r="I94" s="105"/>
      <c r="J94" s="106">
        <v>7500</v>
      </c>
      <c r="K94" s="106">
        <v>7500</v>
      </c>
      <c r="L94" s="106">
        <v>7500</v>
      </c>
      <c r="M94" s="106">
        <v>7500</v>
      </c>
      <c r="N94" s="106">
        <v>7500</v>
      </c>
      <c r="O94" s="107"/>
      <c r="P94" s="106"/>
      <c r="Q94" s="106"/>
      <c r="R94" s="106"/>
      <c r="S94" s="106"/>
      <c r="T94" s="106"/>
      <c r="U94" s="106"/>
      <c r="V94" s="106"/>
      <c r="W94" s="106"/>
      <c r="X94" s="106"/>
      <c r="Y94" s="106"/>
      <c r="Z94" s="106"/>
      <c r="AA94" s="106"/>
      <c r="AB94" s="107">
        <v>0</v>
      </c>
      <c r="AC94" s="106"/>
      <c r="AD94" s="106"/>
      <c r="AE94" s="106"/>
      <c r="AF94" s="106"/>
      <c r="AG94" s="106"/>
      <c r="AH94" s="106"/>
      <c r="AI94" s="106"/>
      <c r="AJ94" s="106"/>
      <c r="AK94" s="106"/>
      <c r="AL94" s="106"/>
      <c r="AM94" s="106"/>
      <c r="AN94" s="106"/>
      <c r="AO94" s="107">
        <v>0</v>
      </c>
      <c r="AP94" s="106"/>
      <c r="AQ94" s="106"/>
      <c r="AR94" s="106"/>
      <c r="AS94" s="106"/>
      <c r="AT94" s="106"/>
      <c r="AU94" s="106"/>
      <c r="AV94" s="106"/>
      <c r="AW94" s="106"/>
      <c r="AX94" s="106"/>
      <c r="AY94" s="106"/>
      <c r="AZ94" s="106"/>
      <c r="BA94" s="106"/>
      <c r="BB94" s="107">
        <v>0</v>
      </c>
      <c r="BC94" s="106"/>
      <c r="BD94" s="106"/>
      <c r="BE94" s="106"/>
      <c r="BF94" s="106"/>
      <c r="BG94" s="106"/>
      <c r="BH94" s="106"/>
      <c r="BI94" s="106"/>
      <c r="BJ94" s="107">
        <v>0</v>
      </c>
      <c r="BK94" s="107">
        <v>37500</v>
      </c>
      <c r="BM94" s="98"/>
    </row>
    <row r="95" spans="1:65" s="97" customFormat="1" ht="16.399999999999999" customHeight="1" outlineLevel="1">
      <c r="A95" s="103"/>
      <c r="B95" s="113"/>
      <c r="C95" s="121"/>
      <c r="D95" s="121"/>
      <c r="E95" s="121"/>
      <c r="F95" s="121"/>
      <c r="G95" s="121"/>
      <c r="H95" s="121"/>
      <c r="I95" s="121"/>
      <c r="J95">
        <f>+J94/SUM($J$94:$BI$94)</f>
        <v>0.2</v>
      </c>
      <c r="K95">
        <f t="shared" ref="K95:N95" si="10">+K94/SUM($J$94:$BI$94)</f>
        <v>0.2</v>
      </c>
      <c r="L95">
        <f t="shared" si="10"/>
        <v>0.2</v>
      </c>
      <c r="M95">
        <f t="shared" si="10"/>
        <v>0.2</v>
      </c>
      <c r="N95">
        <f t="shared" si="10"/>
        <v>0.2</v>
      </c>
      <c r="O95" s="107"/>
      <c r="P95" s="122"/>
      <c r="Q95" s="122"/>
      <c r="R95" s="122"/>
      <c r="S95" s="122"/>
      <c r="T95" s="122"/>
      <c r="U95" s="122"/>
      <c r="V95" s="122"/>
      <c r="W95" s="122"/>
      <c r="X95" s="122"/>
      <c r="Y95" s="122"/>
      <c r="Z95" s="122"/>
      <c r="AA95" s="122"/>
      <c r="AB95" s="107"/>
      <c r="AC95" s="122"/>
      <c r="AD95" s="122"/>
      <c r="AE95" s="122"/>
      <c r="AF95" s="122"/>
      <c r="AG95" s="122"/>
      <c r="AH95" s="122"/>
      <c r="AI95" s="122"/>
      <c r="AJ95" s="122"/>
      <c r="AK95" s="122"/>
      <c r="AL95" s="122"/>
      <c r="AM95" s="122"/>
      <c r="AN95" s="122"/>
      <c r="AO95" s="107"/>
      <c r="AP95" s="122"/>
      <c r="AQ95" s="122"/>
      <c r="AR95" s="122"/>
      <c r="AS95" s="122"/>
      <c r="AT95" s="122"/>
      <c r="AU95" s="122"/>
      <c r="AV95" s="122"/>
      <c r="AW95" s="122"/>
      <c r="AX95" s="122"/>
      <c r="AY95" s="122"/>
      <c r="AZ95" s="122"/>
      <c r="BA95" s="122"/>
      <c r="BB95" s="107"/>
      <c r="BC95" s="122"/>
      <c r="BD95" s="122"/>
      <c r="BE95" s="122"/>
      <c r="BF95" s="122"/>
      <c r="BG95" s="122"/>
      <c r="BH95" s="122"/>
      <c r="BI95" s="122"/>
      <c r="BJ95" s="107"/>
      <c r="BK95" s="107"/>
      <c r="BM95" s="98"/>
    </row>
    <row r="96" spans="1:65" s="97" customFormat="1" ht="16.399999999999999" customHeight="1" outlineLevel="1">
      <c r="A96" s="103" t="s">
        <v>5237</v>
      </c>
      <c r="B96" s="113"/>
      <c r="C96" s="121"/>
      <c r="D96" s="121"/>
      <c r="E96" s="121"/>
      <c r="F96" s="121"/>
      <c r="G96" s="121"/>
      <c r="H96" s="121"/>
      <c r="I96" s="121"/>
      <c r="J96" s="122"/>
      <c r="K96" s="122">
        <v>20000</v>
      </c>
      <c r="L96" s="122"/>
      <c r="M96" s="122"/>
      <c r="N96" s="122"/>
      <c r="O96" s="107"/>
      <c r="P96" s="122"/>
      <c r="Q96" s="122"/>
      <c r="R96" s="122"/>
      <c r="S96" s="122"/>
      <c r="T96" s="122"/>
      <c r="U96" s="122"/>
      <c r="V96" s="122"/>
      <c r="W96" s="122"/>
      <c r="X96" s="122"/>
      <c r="Y96" s="122"/>
      <c r="Z96" s="122"/>
      <c r="AA96" s="122"/>
      <c r="AB96" s="107">
        <v>0</v>
      </c>
      <c r="AC96" s="122"/>
      <c r="AD96" s="122"/>
      <c r="AE96" s="122"/>
      <c r="AF96" s="122"/>
      <c r="AG96" s="122"/>
      <c r="AH96" s="122"/>
      <c r="AI96" s="122"/>
      <c r="AJ96" s="122"/>
      <c r="AK96" s="122"/>
      <c r="AL96" s="122"/>
      <c r="AM96" s="122"/>
      <c r="AN96" s="122"/>
      <c r="AO96" s="107">
        <v>0</v>
      </c>
      <c r="AP96" s="122"/>
      <c r="AQ96" s="122"/>
      <c r="AR96" s="122"/>
      <c r="AS96" s="122"/>
      <c r="AT96" s="122"/>
      <c r="AU96" s="122"/>
      <c r="AV96" s="122"/>
      <c r="AW96" s="122"/>
      <c r="AX96" s="122"/>
      <c r="AY96" s="122"/>
      <c r="AZ96" s="122"/>
      <c r="BA96" s="122"/>
      <c r="BB96" s="107">
        <v>0</v>
      </c>
      <c r="BC96" s="122"/>
      <c r="BD96" s="122"/>
      <c r="BE96" s="122"/>
      <c r="BF96" s="122"/>
      <c r="BG96" s="122"/>
      <c r="BH96" s="122"/>
      <c r="BI96" s="122"/>
      <c r="BJ96" s="107">
        <v>0</v>
      </c>
      <c r="BK96" s="107">
        <v>20000</v>
      </c>
      <c r="BM96" s="98"/>
    </row>
    <row r="97" spans="1:65" s="97" customFormat="1" ht="16.399999999999999" customHeight="1" outlineLevel="1">
      <c r="A97" s="103"/>
      <c r="B97" s="113"/>
      <c r="C97" s="121"/>
      <c r="D97" s="121"/>
      <c r="E97" s="121"/>
      <c r="F97" s="121"/>
      <c r="G97" s="121"/>
      <c r="H97" s="121"/>
      <c r="I97" s="121"/>
      <c r="J97">
        <f>+J96/SUM($J$96:$BI$96)</f>
        <v>0</v>
      </c>
      <c r="K97">
        <f t="shared" ref="K97:N97" si="11">+K96/SUM($J$96:$BI$96)</f>
        <v>1</v>
      </c>
      <c r="L97">
        <f t="shared" si="11"/>
        <v>0</v>
      </c>
      <c r="M97">
        <f t="shared" si="11"/>
        <v>0</v>
      </c>
      <c r="N97">
        <f t="shared" si="11"/>
        <v>0</v>
      </c>
      <c r="O97" s="123"/>
      <c r="P97" s="122"/>
      <c r="Q97" s="122"/>
      <c r="R97" s="122"/>
      <c r="S97" s="122"/>
      <c r="T97" s="122"/>
      <c r="U97" s="122"/>
      <c r="V97" s="122"/>
      <c r="W97" s="122"/>
      <c r="X97" s="122"/>
      <c r="Y97" s="122"/>
      <c r="Z97" s="122"/>
      <c r="AA97" s="122"/>
      <c r="AB97" s="123"/>
      <c r="AC97" s="122"/>
      <c r="AD97" s="122"/>
      <c r="AE97" s="122"/>
      <c r="AF97" s="122"/>
      <c r="AG97" s="122"/>
      <c r="AH97" s="122"/>
      <c r="AI97" s="122"/>
      <c r="AJ97" s="122"/>
      <c r="AK97" s="122"/>
      <c r="AL97" s="122"/>
      <c r="AM97" s="122"/>
      <c r="AN97" s="122"/>
      <c r="AO97" s="123"/>
      <c r="AP97" s="122"/>
      <c r="AQ97" s="122"/>
      <c r="AR97" s="122"/>
      <c r="AS97" s="122"/>
      <c r="AT97" s="122"/>
      <c r="AU97" s="122"/>
      <c r="AV97" s="122"/>
      <c r="AW97" s="122"/>
      <c r="AX97" s="122"/>
      <c r="AY97" s="122"/>
      <c r="AZ97" s="122"/>
      <c r="BA97" s="122"/>
      <c r="BB97" s="123"/>
      <c r="BC97" s="122"/>
      <c r="BD97" s="122"/>
      <c r="BE97" s="122"/>
      <c r="BF97" s="122"/>
      <c r="BG97" s="122"/>
      <c r="BH97" s="122"/>
      <c r="BI97" s="122"/>
      <c r="BJ97" s="123"/>
      <c r="BK97" s="123"/>
      <c r="BM97" s="98"/>
    </row>
    <row r="98" spans="1:65" s="97" customFormat="1" ht="16.399999999999999" customHeight="1" outlineLevel="1">
      <c r="A98" s="103" t="s">
        <v>5238</v>
      </c>
      <c r="B98" s="113"/>
      <c r="C98" s="114"/>
      <c r="D98" s="114"/>
      <c r="E98" s="114"/>
      <c r="F98" s="114"/>
      <c r="G98" s="114"/>
      <c r="H98" s="114"/>
      <c r="I98" s="114"/>
      <c r="J98" s="115">
        <v>10000</v>
      </c>
      <c r="K98" s="115">
        <v>10000</v>
      </c>
      <c r="L98" s="115">
        <v>10000</v>
      </c>
      <c r="M98" s="115">
        <v>10000</v>
      </c>
      <c r="N98" s="115">
        <v>10000</v>
      </c>
      <c r="O98" s="116"/>
      <c r="P98" s="115"/>
      <c r="Q98" s="115"/>
      <c r="R98" s="115"/>
      <c r="S98" s="115"/>
      <c r="T98" s="115"/>
      <c r="U98" s="115"/>
      <c r="V98" s="115"/>
      <c r="W98" s="115"/>
      <c r="X98" s="115"/>
      <c r="Y98" s="115"/>
      <c r="Z98" s="115"/>
      <c r="AA98" s="115"/>
      <c r="AB98" s="116">
        <v>0</v>
      </c>
      <c r="AC98" s="115"/>
      <c r="AD98" s="115"/>
      <c r="AE98" s="115"/>
      <c r="AF98" s="115"/>
      <c r="AG98" s="115"/>
      <c r="AH98" s="115"/>
      <c r="AI98" s="115"/>
      <c r="AJ98" s="115"/>
      <c r="AK98" s="115"/>
      <c r="AL98" s="115"/>
      <c r="AM98" s="115"/>
      <c r="AN98" s="115"/>
      <c r="AO98" s="116">
        <v>0</v>
      </c>
      <c r="AP98" s="115"/>
      <c r="AQ98" s="115"/>
      <c r="AR98" s="115"/>
      <c r="AS98" s="115"/>
      <c r="AT98" s="115"/>
      <c r="AU98" s="115"/>
      <c r="AV98" s="115"/>
      <c r="AW98" s="115"/>
      <c r="AX98" s="115"/>
      <c r="AY98" s="115"/>
      <c r="AZ98" s="115"/>
      <c r="BA98" s="115"/>
      <c r="BB98" s="116">
        <v>0</v>
      </c>
      <c r="BC98" s="115"/>
      <c r="BD98" s="115"/>
      <c r="BE98" s="115"/>
      <c r="BF98" s="115"/>
      <c r="BG98" s="115"/>
      <c r="BH98" s="115"/>
      <c r="BI98" s="115"/>
      <c r="BJ98" s="116">
        <v>0</v>
      </c>
      <c r="BK98" s="116">
        <v>50000</v>
      </c>
      <c r="BM98" s="98"/>
    </row>
    <row r="99" spans="1:65">
      <c r="J99">
        <f>+J98/SUM($J$98:$BI$98)</f>
        <v>0.2</v>
      </c>
      <c r="K99">
        <f t="shared" ref="K99:N99" si="12">+K98/SUM($J$98:$BI$98)</f>
        <v>0.2</v>
      </c>
      <c r="L99">
        <f t="shared" si="12"/>
        <v>0.2</v>
      </c>
      <c r="M99">
        <f t="shared" si="12"/>
        <v>0.2</v>
      </c>
      <c r="N99">
        <f t="shared" si="12"/>
        <v>0.2</v>
      </c>
    </row>
    <row r="102" spans="1:65" s="97" customFormat="1" ht="31" customHeight="1">
      <c r="A102" s="99" t="s">
        <v>5202</v>
      </c>
      <c r="B102" s="100" t="s">
        <v>5203</v>
      </c>
      <c r="C102" s="101">
        <v>45292</v>
      </c>
      <c r="D102" s="101">
        <v>45323</v>
      </c>
      <c r="E102" s="101">
        <v>45352</v>
      </c>
      <c r="F102" s="101">
        <v>45383</v>
      </c>
      <c r="G102" s="101">
        <v>45413</v>
      </c>
      <c r="H102" s="101">
        <v>45444</v>
      </c>
      <c r="I102" s="101">
        <v>45474</v>
      </c>
      <c r="J102" s="102">
        <v>45505</v>
      </c>
      <c r="K102" s="102">
        <v>45536</v>
      </c>
      <c r="L102" s="102">
        <v>45566</v>
      </c>
      <c r="M102" s="102">
        <v>45597</v>
      </c>
      <c r="N102" s="102">
        <v>45627</v>
      </c>
      <c r="O102" s="100" t="s">
        <v>5204</v>
      </c>
      <c r="P102" s="102">
        <v>45658</v>
      </c>
      <c r="Q102" s="102">
        <v>45689</v>
      </c>
      <c r="R102" s="102">
        <v>45717</v>
      </c>
      <c r="S102" s="102">
        <v>45748</v>
      </c>
      <c r="T102" s="102">
        <v>45778</v>
      </c>
      <c r="U102" s="102">
        <v>45809</v>
      </c>
      <c r="V102" s="102">
        <v>45839</v>
      </c>
      <c r="W102" s="102">
        <v>45870</v>
      </c>
      <c r="X102" s="102">
        <v>45901</v>
      </c>
      <c r="Y102" s="102">
        <v>45931</v>
      </c>
      <c r="Z102" s="102">
        <v>45962</v>
      </c>
      <c r="AA102" s="102">
        <v>45992</v>
      </c>
      <c r="AB102" s="100" t="s">
        <v>5205</v>
      </c>
      <c r="AC102" s="102">
        <v>46023</v>
      </c>
      <c r="AD102" s="102">
        <v>46054</v>
      </c>
      <c r="AE102" s="102">
        <v>46082</v>
      </c>
      <c r="AF102" s="102">
        <v>46113</v>
      </c>
      <c r="AG102" s="102">
        <v>46143</v>
      </c>
      <c r="AH102" s="102">
        <v>46174</v>
      </c>
      <c r="AI102" s="102">
        <v>46204</v>
      </c>
      <c r="AJ102" s="102">
        <v>46235</v>
      </c>
      <c r="AK102" s="102">
        <v>46266</v>
      </c>
      <c r="AL102" s="102">
        <v>46296</v>
      </c>
      <c r="AM102" s="102">
        <v>46327</v>
      </c>
      <c r="AN102" s="102">
        <v>46357</v>
      </c>
      <c r="AO102" s="100" t="s">
        <v>5206</v>
      </c>
      <c r="AP102" s="102">
        <v>46388</v>
      </c>
      <c r="AQ102" s="102">
        <v>46419</v>
      </c>
      <c r="AR102" s="102">
        <v>46447</v>
      </c>
      <c r="AS102" s="102">
        <v>46478</v>
      </c>
      <c r="AT102" s="102">
        <v>46508</v>
      </c>
      <c r="AU102" s="102">
        <v>46539</v>
      </c>
      <c r="AV102" s="102">
        <v>46569</v>
      </c>
      <c r="AW102" s="102">
        <v>46600</v>
      </c>
      <c r="AX102" s="102">
        <v>46631</v>
      </c>
      <c r="AY102" s="102">
        <v>46661</v>
      </c>
      <c r="AZ102" s="102">
        <v>46692</v>
      </c>
      <c r="BA102" s="102">
        <v>46722</v>
      </c>
      <c r="BB102" s="100" t="s">
        <v>5207</v>
      </c>
      <c r="BC102" s="102">
        <v>46753</v>
      </c>
      <c r="BD102" s="102">
        <v>46784</v>
      </c>
      <c r="BE102" s="102">
        <v>46813</v>
      </c>
      <c r="BF102" s="102">
        <v>46844</v>
      </c>
      <c r="BG102" s="102">
        <v>46874</v>
      </c>
      <c r="BH102" s="102">
        <v>46905</v>
      </c>
      <c r="BI102" s="102">
        <v>46935</v>
      </c>
      <c r="BJ102" s="100" t="s">
        <v>5208</v>
      </c>
      <c r="BK102" s="100" t="s">
        <v>5209</v>
      </c>
    </row>
    <row r="103" spans="1:65" s="97" customFormat="1" ht="16.399999999999999" customHeight="1" collapsed="1">
      <c r="A103" s="92" t="s">
        <v>5239</v>
      </c>
      <c r="B103" s="93"/>
      <c r="C103" s="94"/>
      <c r="D103" s="94"/>
      <c r="E103" s="94"/>
      <c r="F103" s="94"/>
      <c r="G103" s="94"/>
      <c r="H103" s="94"/>
      <c r="I103" s="94"/>
      <c r="J103" s="95">
        <v>27952.168249691131</v>
      </c>
      <c r="K103" s="95">
        <v>5000</v>
      </c>
      <c r="L103" s="95">
        <v>0</v>
      </c>
      <c r="M103" s="95">
        <v>5000</v>
      </c>
      <c r="N103" s="95">
        <v>0</v>
      </c>
      <c r="O103" s="96"/>
      <c r="P103" s="95">
        <v>5000</v>
      </c>
      <c r="Q103" s="95">
        <v>0</v>
      </c>
      <c r="R103" s="95">
        <v>5000</v>
      </c>
      <c r="S103" s="95">
        <v>0</v>
      </c>
      <c r="T103" s="95">
        <v>5000</v>
      </c>
      <c r="U103" s="95">
        <v>0</v>
      </c>
      <c r="V103" s="95">
        <v>5000</v>
      </c>
      <c r="W103" s="95">
        <v>0</v>
      </c>
      <c r="X103" s="95">
        <v>5000</v>
      </c>
      <c r="Y103" s="95">
        <v>0</v>
      </c>
      <c r="Z103" s="95">
        <v>5000</v>
      </c>
      <c r="AA103" s="95">
        <v>0</v>
      </c>
      <c r="AB103" s="96"/>
      <c r="AC103" s="95">
        <v>5000</v>
      </c>
      <c r="AD103" s="95">
        <v>0</v>
      </c>
      <c r="AE103" s="95">
        <v>5000</v>
      </c>
      <c r="AF103" s="95">
        <v>0</v>
      </c>
      <c r="AG103" s="95">
        <v>5000</v>
      </c>
      <c r="AH103" s="95">
        <v>0</v>
      </c>
      <c r="AI103" s="95">
        <v>5000</v>
      </c>
      <c r="AJ103" s="95">
        <v>0</v>
      </c>
      <c r="AK103" s="95">
        <v>5000</v>
      </c>
      <c r="AL103" s="95">
        <v>0</v>
      </c>
      <c r="AM103" s="95">
        <v>5000</v>
      </c>
      <c r="AN103" s="95">
        <v>0</v>
      </c>
      <c r="AO103" s="96"/>
      <c r="AP103" s="95">
        <v>0</v>
      </c>
      <c r="AQ103" s="95">
        <v>0</v>
      </c>
      <c r="AR103" s="95">
        <v>0</v>
      </c>
      <c r="AS103" s="95">
        <v>0</v>
      </c>
      <c r="AT103" s="95">
        <v>0</v>
      </c>
      <c r="AU103" s="95">
        <v>0</v>
      </c>
      <c r="AV103" s="95">
        <v>0</v>
      </c>
      <c r="AW103" s="95">
        <v>0</v>
      </c>
      <c r="AX103" s="95">
        <v>0</v>
      </c>
      <c r="AY103" s="95">
        <v>0</v>
      </c>
      <c r="AZ103" s="95">
        <v>0</v>
      </c>
      <c r="BA103" s="95">
        <v>0</v>
      </c>
      <c r="BB103" s="96"/>
      <c r="BC103" s="95">
        <v>0</v>
      </c>
      <c r="BD103" s="95">
        <v>0</v>
      </c>
      <c r="BE103" s="95">
        <v>0</v>
      </c>
      <c r="BF103" s="95">
        <v>0</v>
      </c>
      <c r="BG103" s="95">
        <v>0</v>
      </c>
      <c r="BH103" s="95">
        <v>0</v>
      </c>
      <c r="BI103" s="95">
        <v>0</v>
      </c>
      <c r="BJ103" s="96">
        <v>0</v>
      </c>
      <c r="BK103" s="96">
        <v>97952.168249691138</v>
      </c>
      <c r="BM103" s="98"/>
    </row>
    <row r="104" spans="1:65">
      <c r="J104">
        <f>+J103/SUM($J$103:$BI$103)</f>
        <v>0.28536548755549646</v>
      </c>
      <c r="K104">
        <f t="shared" ref="K104:BI104" si="13">+K103/SUM($J$103:$BI$103)</f>
        <v>5.1045322317464531E-2</v>
      </c>
      <c r="L104">
        <f t="shared" si="13"/>
        <v>0</v>
      </c>
      <c r="M104">
        <f t="shared" si="13"/>
        <v>5.1045322317464531E-2</v>
      </c>
      <c r="N104">
        <f t="shared" si="13"/>
        <v>0</v>
      </c>
      <c r="O104">
        <f t="shared" si="13"/>
        <v>0</v>
      </c>
      <c r="P104">
        <f t="shared" si="13"/>
        <v>5.1045322317464531E-2</v>
      </c>
      <c r="Q104">
        <f t="shared" si="13"/>
        <v>0</v>
      </c>
      <c r="R104">
        <f t="shared" si="13"/>
        <v>5.1045322317464531E-2</v>
      </c>
      <c r="S104">
        <f t="shared" si="13"/>
        <v>0</v>
      </c>
      <c r="T104">
        <f t="shared" si="13"/>
        <v>5.1045322317464531E-2</v>
      </c>
      <c r="U104">
        <f t="shared" si="13"/>
        <v>0</v>
      </c>
      <c r="V104">
        <f t="shared" si="13"/>
        <v>5.1045322317464531E-2</v>
      </c>
      <c r="W104">
        <f t="shared" si="13"/>
        <v>0</v>
      </c>
      <c r="X104">
        <f t="shared" si="13"/>
        <v>5.1045322317464531E-2</v>
      </c>
      <c r="Y104">
        <f t="shared" si="13"/>
        <v>0</v>
      </c>
      <c r="Z104">
        <f t="shared" si="13"/>
        <v>5.1045322317464531E-2</v>
      </c>
      <c r="AA104">
        <f t="shared" si="13"/>
        <v>0</v>
      </c>
      <c r="AB104">
        <f t="shared" si="13"/>
        <v>0</v>
      </c>
      <c r="AC104">
        <f t="shared" si="13"/>
        <v>5.1045322317464531E-2</v>
      </c>
      <c r="AD104">
        <f t="shared" si="13"/>
        <v>0</v>
      </c>
      <c r="AE104">
        <f t="shared" si="13"/>
        <v>5.1045322317464531E-2</v>
      </c>
      <c r="AF104">
        <f t="shared" si="13"/>
        <v>0</v>
      </c>
      <c r="AG104">
        <f t="shared" si="13"/>
        <v>5.1045322317464531E-2</v>
      </c>
      <c r="AH104">
        <f t="shared" si="13"/>
        <v>0</v>
      </c>
      <c r="AI104">
        <f t="shared" si="13"/>
        <v>5.1045322317464531E-2</v>
      </c>
      <c r="AJ104">
        <f t="shared" si="13"/>
        <v>0</v>
      </c>
      <c r="AK104">
        <f t="shared" si="13"/>
        <v>5.1045322317464531E-2</v>
      </c>
      <c r="AL104">
        <f t="shared" si="13"/>
        <v>0</v>
      </c>
      <c r="AM104">
        <f t="shared" si="13"/>
        <v>5.1045322317464531E-2</v>
      </c>
      <c r="AN104">
        <f t="shared" si="13"/>
        <v>0</v>
      </c>
      <c r="AO104">
        <f t="shared" si="13"/>
        <v>0</v>
      </c>
      <c r="AP104">
        <f t="shared" si="13"/>
        <v>0</v>
      </c>
      <c r="AQ104">
        <f t="shared" si="13"/>
        <v>0</v>
      </c>
      <c r="AR104">
        <f t="shared" si="13"/>
        <v>0</v>
      </c>
      <c r="AS104">
        <f t="shared" si="13"/>
        <v>0</v>
      </c>
      <c r="AT104">
        <f t="shared" si="13"/>
        <v>0</v>
      </c>
      <c r="AU104">
        <f t="shared" si="13"/>
        <v>0</v>
      </c>
      <c r="AV104">
        <f t="shared" si="13"/>
        <v>0</v>
      </c>
      <c r="AW104">
        <f t="shared" si="13"/>
        <v>0</v>
      </c>
      <c r="AX104">
        <f t="shared" si="13"/>
        <v>0</v>
      </c>
      <c r="AY104">
        <f t="shared" si="13"/>
        <v>0</v>
      </c>
      <c r="AZ104">
        <f t="shared" si="13"/>
        <v>0</v>
      </c>
      <c r="BA104">
        <f t="shared" si="13"/>
        <v>0</v>
      </c>
      <c r="BB104">
        <f t="shared" si="13"/>
        <v>0</v>
      </c>
      <c r="BC104">
        <f t="shared" si="13"/>
        <v>0</v>
      </c>
      <c r="BD104">
        <f t="shared" si="13"/>
        <v>0</v>
      </c>
      <c r="BE104">
        <f t="shared" si="13"/>
        <v>0</v>
      </c>
      <c r="BF104">
        <f t="shared" si="13"/>
        <v>0</v>
      </c>
      <c r="BG104">
        <f t="shared" si="13"/>
        <v>0</v>
      </c>
      <c r="BH104">
        <f t="shared" si="13"/>
        <v>0</v>
      </c>
      <c r="BI104">
        <f t="shared" si="13"/>
        <v>0</v>
      </c>
    </row>
    <row r="110" spans="1:65" s="97" customFormat="1" ht="31" customHeight="1">
      <c r="A110" s="99" t="s">
        <v>5202</v>
      </c>
      <c r="B110" s="100" t="s">
        <v>5203</v>
      </c>
      <c r="C110" s="101">
        <v>45292</v>
      </c>
      <c r="D110" s="101">
        <v>45323</v>
      </c>
      <c r="E110" s="101">
        <v>45352</v>
      </c>
      <c r="F110" s="101">
        <v>45383</v>
      </c>
      <c r="G110" s="101">
        <v>45413</v>
      </c>
      <c r="H110" s="101">
        <v>45444</v>
      </c>
      <c r="I110" s="101">
        <v>45474</v>
      </c>
      <c r="J110" s="102">
        <v>45505</v>
      </c>
      <c r="K110" s="102">
        <v>45536</v>
      </c>
      <c r="L110" s="102">
        <v>45566</v>
      </c>
      <c r="M110" s="102">
        <v>45597</v>
      </c>
      <c r="N110" s="102">
        <v>45627</v>
      </c>
      <c r="O110" s="100" t="s">
        <v>5204</v>
      </c>
      <c r="P110" s="102">
        <v>45658</v>
      </c>
      <c r="Q110" s="102">
        <v>45689</v>
      </c>
      <c r="R110" s="102">
        <v>45717</v>
      </c>
      <c r="S110" s="102">
        <v>45748</v>
      </c>
      <c r="T110" s="102">
        <v>45778</v>
      </c>
      <c r="U110" s="102">
        <v>45809</v>
      </c>
      <c r="V110" s="102">
        <v>45839</v>
      </c>
      <c r="W110" s="102">
        <v>45870</v>
      </c>
      <c r="X110" s="102">
        <v>45901</v>
      </c>
      <c r="Y110" s="102">
        <v>45931</v>
      </c>
      <c r="Z110" s="102">
        <v>45962</v>
      </c>
      <c r="AA110" s="102">
        <v>45992</v>
      </c>
      <c r="AB110" s="100" t="s">
        <v>5205</v>
      </c>
      <c r="AC110" s="102">
        <v>46023</v>
      </c>
      <c r="AD110" s="102">
        <v>46054</v>
      </c>
      <c r="AE110" s="102">
        <v>46082</v>
      </c>
      <c r="AF110" s="102">
        <v>46113</v>
      </c>
      <c r="AG110" s="102">
        <v>46143</v>
      </c>
      <c r="AH110" s="102">
        <v>46174</v>
      </c>
      <c r="AI110" s="102">
        <v>46204</v>
      </c>
      <c r="AJ110" s="102">
        <v>46235</v>
      </c>
      <c r="AK110" s="102">
        <v>46266</v>
      </c>
      <c r="AL110" s="102">
        <v>46296</v>
      </c>
      <c r="AM110" s="102">
        <v>46327</v>
      </c>
      <c r="AN110" s="102">
        <v>46357</v>
      </c>
      <c r="AO110" s="100" t="s">
        <v>5206</v>
      </c>
      <c r="AP110" s="102">
        <v>46388</v>
      </c>
      <c r="AQ110" s="102">
        <v>46419</v>
      </c>
      <c r="AR110" s="102">
        <v>46447</v>
      </c>
      <c r="AS110" s="102">
        <v>46478</v>
      </c>
      <c r="AT110" s="102">
        <v>46508</v>
      </c>
      <c r="AU110" s="102">
        <v>46539</v>
      </c>
      <c r="AV110" s="102">
        <v>46569</v>
      </c>
      <c r="AW110" s="102">
        <v>46600</v>
      </c>
      <c r="AX110" s="102">
        <v>46631</v>
      </c>
      <c r="AY110" s="102">
        <v>46661</v>
      </c>
      <c r="AZ110" s="102">
        <v>46692</v>
      </c>
      <c r="BA110" s="102">
        <v>46722</v>
      </c>
      <c r="BB110" s="100" t="s">
        <v>5207</v>
      </c>
      <c r="BC110" s="102">
        <v>46753</v>
      </c>
      <c r="BD110" s="102">
        <v>46784</v>
      </c>
      <c r="BE110" s="102">
        <v>46813</v>
      </c>
      <c r="BF110" s="102">
        <v>46844</v>
      </c>
      <c r="BG110" s="102">
        <v>46874</v>
      </c>
      <c r="BH110" s="102">
        <v>46905</v>
      </c>
      <c r="BI110" s="102">
        <v>46935</v>
      </c>
      <c r="BJ110" s="100" t="s">
        <v>5208</v>
      </c>
      <c r="BK110" s="100" t="s">
        <v>5209</v>
      </c>
    </row>
    <row r="111" spans="1:65" s="97" customFormat="1" ht="16" customHeight="1" collapsed="1">
      <c r="A111" s="92" t="s">
        <v>5240</v>
      </c>
      <c r="B111" s="93"/>
      <c r="C111" s="94"/>
      <c r="D111" s="94"/>
      <c r="E111" s="94"/>
      <c r="F111" s="94"/>
      <c r="G111" s="94"/>
      <c r="H111" s="94"/>
      <c r="I111" s="94"/>
      <c r="J111" s="95">
        <v>229744.55227487651</v>
      </c>
      <c r="K111" s="95">
        <v>5260.0743253346354</v>
      </c>
      <c r="L111" s="95">
        <v>9971.4146974365849</v>
      </c>
      <c r="M111" s="95">
        <v>234735.16279128773</v>
      </c>
      <c r="N111" s="95">
        <v>11574.416158299564</v>
      </c>
      <c r="O111" s="96"/>
      <c r="P111" s="95">
        <v>8966.1848467570671</v>
      </c>
      <c r="Q111" s="95">
        <v>9639.3567346119107</v>
      </c>
      <c r="R111" s="95">
        <v>10569.186307620046</v>
      </c>
      <c r="S111" s="95">
        <v>6614.0046316671023</v>
      </c>
      <c r="T111" s="95">
        <v>7819.8113596158282</v>
      </c>
      <c r="U111" s="95">
        <v>7949.4689545504516</v>
      </c>
      <c r="V111" s="95">
        <v>4603.7586832911211</v>
      </c>
      <c r="W111" s="95">
        <v>4990.6105164112232</v>
      </c>
      <c r="X111" s="95">
        <v>5309.1119822854098</v>
      </c>
      <c r="Y111" s="95">
        <v>0</v>
      </c>
      <c r="Z111" s="95">
        <v>0</v>
      </c>
      <c r="AA111" s="95">
        <v>0</v>
      </c>
      <c r="AB111" s="96"/>
      <c r="AC111" s="95">
        <v>0</v>
      </c>
      <c r="AD111" s="95">
        <v>0</v>
      </c>
      <c r="AE111" s="95">
        <v>0</v>
      </c>
      <c r="AF111" s="95">
        <v>0</v>
      </c>
      <c r="AG111" s="95">
        <v>0</v>
      </c>
      <c r="AH111" s="95">
        <v>0</v>
      </c>
      <c r="AI111" s="95">
        <v>0</v>
      </c>
      <c r="AJ111" s="95">
        <v>0</v>
      </c>
      <c r="AK111" s="95">
        <v>0</v>
      </c>
      <c r="AL111" s="95">
        <v>0</v>
      </c>
      <c r="AM111" s="95">
        <v>0</v>
      </c>
      <c r="AN111" s="95">
        <v>0</v>
      </c>
      <c r="AO111" s="96"/>
      <c r="AP111" s="95">
        <v>0</v>
      </c>
      <c r="AQ111" s="95">
        <v>0</v>
      </c>
      <c r="AR111" s="95">
        <v>0</v>
      </c>
      <c r="AS111" s="95">
        <v>0</v>
      </c>
      <c r="AT111" s="95">
        <v>0</v>
      </c>
      <c r="AU111" s="95">
        <v>0</v>
      </c>
      <c r="AV111" s="95">
        <v>0</v>
      </c>
      <c r="AW111" s="95">
        <v>0</v>
      </c>
      <c r="AX111" s="95">
        <v>0</v>
      </c>
      <c r="AY111" s="95">
        <v>0</v>
      </c>
      <c r="AZ111" s="95">
        <v>0</v>
      </c>
      <c r="BA111" s="95">
        <v>0</v>
      </c>
      <c r="BB111" s="96"/>
      <c r="BC111" s="95">
        <v>0</v>
      </c>
      <c r="BD111" s="95">
        <v>0</v>
      </c>
      <c r="BE111" s="95">
        <v>0</v>
      </c>
      <c r="BF111" s="95">
        <v>0</v>
      </c>
      <c r="BG111" s="95">
        <v>0</v>
      </c>
      <c r="BH111" s="95">
        <v>0</v>
      </c>
      <c r="BI111" s="95">
        <v>0</v>
      </c>
      <c r="BJ111" s="96">
        <v>0</v>
      </c>
      <c r="BK111" s="96">
        <v>557747.11426404526</v>
      </c>
      <c r="BM111" s="98"/>
    </row>
    <row r="112" spans="1:65">
      <c r="J112">
        <f>+J111/SUM($J$111:$BI$111)</f>
        <v>0.41191526840623383</v>
      </c>
      <c r="K112">
        <f t="shared" ref="K112:AI112" si="14">+K111/SUM($J$111:$BI$111)</f>
        <v>9.4309305970598778E-3</v>
      </c>
      <c r="L112">
        <f t="shared" si="14"/>
        <v>1.787802113614519E-2</v>
      </c>
      <c r="M112">
        <f t="shared" si="14"/>
        <v>0.42086306999727635</v>
      </c>
      <c r="N112">
        <f t="shared" si="14"/>
        <v>2.0752086137769018E-2</v>
      </c>
      <c r="O112">
        <f t="shared" si="14"/>
        <v>0</v>
      </c>
      <c r="P112">
        <f t="shared" si="14"/>
        <v>1.6075717143939093E-2</v>
      </c>
      <c r="Q112">
        <f t="shared" si="14"/>
        <v>1.7282665365882122E-2</v>
      </c>
      <c r="R112">
        <f t="shared" si="14"/>
        <v>1.8949782145562925E-2</v>
      </c>
      <c r="S112">
        <f t="shared" si="14"/>
        <v>1.1858429138435564E-2</v>
      </c>
      <c r="T112">
        <f t="shared" si="14"/>
        <v>1.4020352879699207E-2</v>
      </c>
      <c r="U112">
        <f t="shared" si="14"/>
        <v>1.4252819514879755E-2</v>
      </c>
      <c r="V112">
        <f t="shared" si="14"/>
        <v>8.2542043975715462E-3</v>
      </c>
      <c r="W112">
        <f t="shared" si="14"/>
        <v>8.9478015910425656E-3</v>
      </c>
      <c r="X112">
        <f t="shared" si="14"/>
        <v>9.5188515485030434E-3</v>
      </c>
      <c r="Y112">
        <f t="shared" si="14"/>
        <v>0</v>
      </c>
      <c r="Z112">
        <f t="shared" si="14"/>
        <v>0</v>
      </c>
      <c r="AA112">
        <f t="shared" si="14"/>
        <v>0</v>
      </c>
      <c r="AB112">
        <f t="shared" si="14"/>
        <v>0</v>
      </c>
      <c r="AC112">
        <f t="shared" si="14"/>
        <v>0</v>
      </c>
      <c r="AD112">
        <f t="shared" si="14"/>
        <v>0</v>
      </c>
      <c r="AE112">
        <f t="shared" si="14"/>
        <v>0</v>
      </c>
      <c r="AF112">
        <f t="shared" si="14"/>
        <v>0</v>
      </c>
      <c r="AG112">
        <f t="shared" si="14"/>
        <v>0</v>
      </c>
      <c r="AH112">
        <f t="shared" si="14"/>
        <v>0</v>
      </c>
      <c r="AI112">
        <f t="shared" si="14"/>
        <v>0</v>
      </c>
    </row>
    <row r="115" spans="1:65">
      <c r="J115" s="112">
        <f>+SUM(J111:AQ111)</f>
        <v>557747.11426404514</v>
      </c>
    </row>
    <row r="118" spans="1:65" s="97" customFormat="1" ht="31" customHeight="1">
      <c r="A118" s="99" t="s">
        <v>5202</v>
      </c>
      <c r="B118" s="100" t="s">
        <v>5203</v>
      </c>
      <c r="C118" s="101">
        <v>45292</v>
      </c>
      <c r="D118" s="101">
        <v>45323</v>
      </c>
      <c r="E118" s="101">
        <v>45352</v>
      </c>
      <c r="F118" s="101">
        <v>45383</v>
      </c>
      <c r="G118" s="101">
        <v>45413</v>
      </c>
      <c r="H118" s="101">
        <v>45444</v>
      </c>
      <c r="I118" s="101">
        <v>45474</v>
      </c>
      <c r="J118" s="102">
        <v>45505</v>
      </c>
      <c r="K118" s="102">
        <v>45536</v>
      </c>
      <c r="L118" s="102">
        <v>45566</v>
      </c>
      <c r="M118" s="102">
        <v>45597</v>
      </c>
      <c r="N118" s="102">
        <v>45627</v>
      </c>
      <c r="O118" s="100" t="s">
        <v>5204</v>
      </c>
      <c r="P118" s="102">
        <v>45658</v>
      </c>
      <c r="Q118" s="102">
        <v>45689</v>
      </c>
      <c r="R118" s="102">
        <v>45717</v>
      </c>
      <c r="S118" s="102">
        <v>45748</v>
      </c>
      <c r="T118" s="102">
        <v>45778</v>
      </c>
      <c r="U118" s="102">
        <v>45809</v>
      </c>
      <c r="V118" s="102">
        <v>45839</v>
      </c>
      <c r="W118" s="102">
        <v>45870</v>
      </c>
      <c r="X118" s="102">
        <v>45901</v>
      </c>
      <c r="Y118" s="102">
        <v>45931</v>
      </c>
      <c r="Z118" s="102">
        <v>45962</v>
      </c>
      <c r="AA118" s="102">
        <v>45992</v>
      </c>
      <c r="AB118" s="100" t="s">
        <v>5205</v>
      </c>
      <c r="AC118" s="102">
        <v>46023</v>
      </c>
      <c r="AD118" s="102">
        <v>46054</v>
      </c>
      <c r="AE118" s="102">
        <v>46082</v>
      </c>
      <c r="AF118" s="102">
        <v>46113</v>
      </c>
      <c r="AG118" s="102">
        <v>46143</v>
      </c>
      <c r="AH118" s="102">
        <v>46174</v>
      </c>
      <c r="AI118" s="102">
        <v>46204</v>
      </c>
      <c r="AJ118" s="102">
        <v>46235</v>
      </c>
      <c r="AK118" s="102">
        <v>46266</v>
      </c>
      <c r="AL118" s="102">
        <v>46296</v>
      </c>
      <c r="AM118" s="102">
        <v>46327</v>
      </c>
      <c r="AN118" s="102">
        <v>46357</v>
      </c>
      <c r="AO118" s="100" t="s">
        <v>5206</v>
      </c>
      <c r="AP118" s="102">
        <v>46388</v>
      </c>
      <c r="AQ118" s="102">
        <v>46419</v>
      </c>
      <c r="AR118" s="102">
        <v>46447</v>
      </c>
      <c r="AS118" s="102">
        <v>46478</v>
      </c>
      <c r="AT118" s="102">
        <v>46508</v>
      </c>
      <c r="AU118" s="102">
        <v>46539</v>
      </c>
      <c r="AV118" s="102">
        <v>46569</v>
      </c>
      <c r="AW118" s="102">
        <v>46600</v>
      </c>
      <c r="AX118" s="102">
        <v>46631</v>
      </c>
      <c r="AY118" s="102">
        <v>46661</v>
      </c>
      <c r="AZ118" s="102">
        <v>46692</v>
      </c>
      <c r="BA118" s="102">
        <v>46722</v>
      </c>
      <c r="BB118" s="100" t="s">
        <v>5207</v>
      </c>
      <c r="BC118" s="102">
        <v>46753</v>
      </c>
      <c r="BD118" s="102">
        <v>46784</v>
      </c>
      <c r="BE118" s="102">
        <v>46813</v>
      </c>
      <c r="BF118" s="102">
        <v>46844</v>
      </c>
      <c r="BG118" s="102">
        <v>46874</v>
      </c>
      <c r="BH118" s="102">
        <v>46905</v>
      </c>
      <c r="BI118" s="102">
        <v>46935</v>
      </c>
      <c r="BJ118" s="100" t="s">
        <v>5208</v>
      </c>
      <c r="BK118" s="100" t="s">
        <v>5209</v>
      </c>
    </row>
    <row r="119" spans="1:65" s="97" customFormat="1" ht="16.399999999999999" customHeight="1">
      <c r="A119" s="92" t="s">
        <v>5241</v>
      </c>
      <c r="B119" s="93"/>
      <c r="C119" s="94"/>
      <c r="D119" s="94"/>
      <c r="E119" s="94"/>
      <c r="F119" s="94"/>
      <c r="G119" s="94"/>
      <c r="H119" s="94"/>
      <c r="I119" s="94"/>
      <c r="J119" s="95">
        <v>394689.24</v>
      </c>
      <c r="K119" s="95"/>
      <c r="L119" s="95"/>
      <c r="M119" s="95"/>
      <c r="N119" s="95">
        <v>394689.24</v>
      </c>
      <c r="O119" s="96"/>
      <c r="P119" s="95"/>
      <c r="Q119" s="95"/>
      <c r="R119" s="95"/>
      <c r="S119" s="95">
        <v>394689.24</v>
      </c>
      <c r="T119" s="95"/>
      <c r="U119" s="95"/>
      <c r="V119" s="95"/>
      <c r="W119" s="95">
        <v>394689.24</v>
      </c>
      <c r="X119" s="95"/>
      <c r="Y119" s="95"/>
      <c r="Z119" s="95"/>
      <c r="AA119" s="95">
        <v>394689.24</v>
      </c>
      <c r="AB119" s="96"/>
      <c r="AC119" s="95"/>
      <c r="AD119" s="95"/>
      <c r="AE119" s="95"/>
      <c r="AF119" s="95">
        <v>394689.24</v>
      </c>
      <c r="AG119" s="95"/>
      <c r="AH119" s="95"/>
      <c r="AI119" s="95"/>
      <c r="AJ119" s="95">
        <v>394689.24</v>
      </c>
      <c r="AK119" s="95"/>
      <c r="AL119" s="95"/>
      <c r="AM119" s="95"/>
      <c r="AN119" s="95">
        <v>394689.24</v>
      </c>
      <c r="AO119" s="96"/>
      <c r="AP119" s="95"/>
      <c r="AQ119" s="95"/>
      <c r="AR119" s="95"/>
      <c r="AS119" s="95">
        <v>394689.24</v>
      </c>
      <c r="AT119" s="95"/>
      <c r="AU119" s="95"/>
      <c r="AV119" s="95"/>
      <c r="AW119" s="95"/>
      <c r="AX119" s="95"/>
      <c r="AY119" s="95"/>
      <c r="AZ119" s="95"/>
      <c r="BA119" s="95"/>
      <c r="BB119" s="96"/>
      <c r="BC119" s="95"/>
      <c r="BD119" s="95"/>
      <c r="BE119" s="95"/>
      <c r="BF119" s="95">
        <v>394689.24</v>
      </c>
      <c r="BG119" s="95"/>
      <c r="BH119" s="95"/>
      <c r="BI119" s="95"/>
      <c r="BJ119" s="96"/>
      <c r="BK119" s="96">
        <v>3946892.4000000004</v>
      </c>
      <c r="BM119" s="98"/>
    </row>
    <row r="120" spans="1:65" s="97" customFormat="1" ht="16.399999999999999" customHeight="1">
      <c r="A120" s="92"/>
      <c r="B120" s="93"/>
      <c r="C120" s="94"/>
      <c r="D120" s="94"/>
      <c r="E120" s="94"/>
      <c r="F120" s="94"/>
      <c r="G120" s="94"/>
      <c r="H120" s="94"/>
      <c r="I120" s="94"/>
      <c r="J120">
        <f>+J119/SUM($J$119:$BI$119)</f>
        <v>9.9999999999999992E-2</v>
      </c>
      <c r="K120">
        <f t="shared" ref="K120:BI120" si="15">+K119/SUM($J$119:$BI$119)</f>
        <v>0</v>
      </c>
      <c r="L120">
        <f t="shared" si="15"/>
        <v>0</v>
      </c>
      <c r="M120">
        <f t="shared" si="15"/>
        <v>0</v>
      </c>
      <c r="N120">
        <f t="shared" si="15"/>
        <v>9.9999999999999992E-2</v>
      </c>
      <c r="O120">
        <f t="shared" si="15"/>
        <v>0</v>
      </c>
      <c r="P120">
        <f t="shared" si="15"/>
        <v>0</v>
      </c>
      <c r="Q120">
        <f t="shared" si="15"/>
        <v>0</v>
      </c>
      <c r="R120">
        <f t="shared" si="15"/>
        <v>0</v>
      </c>
      <c r="S120">
        <f t="shared" si="15"/>
        <v>9.9999999999999992E-2</v>
      </c>
      <c r="T120">
        <f t="shared" si="15"/>
        <v>0</v>
      </c>
      <c r="U120">
        <f t="shared" si="15"/>
        <v>0</v>
      </c>
      <c r="V120">
        <f t="shared" si="15"/>
        <v>0</v>
      </c>
      <c r="W120">
        <f t="shared" si="15"/>
        <v>9.9999999999999992E-2</v>
      </c>
      <c r="X120">
        <f t="shared" si="15"/>
        <v>0</v>
      </c>
      <c r="Y120">
        <f t="shared" si="15"/>
        <v>0</v>
      </c>
      <c r="Z120">
        <f t="shared" si="15"/>
        <v>0</v>
      </c>
      <c r="AA120">
        <f t="shared" si="15"/>
        <v>9.9999999999999992E-2</v>
      </c>
      <c r="AB120">
        <f t="shared" si="15"/>
        <v>0</v>
      </c>
      <c r="AC120">
        <f t="shared" si="15"/>
        <v>0</v>
      </c>
      <c r="AD120">
        <f t="shared" si="15"/>
        <v>0</v>
      </c>
      <c r="AE120">
        <f t="shared" si="15"/>
        <v>0</v>
      </c>
      <c r="AF120">
        <f t="shared" si="15"/>
        <v>9.9999999999999992E-2</v>
      </c>
      <c r="AG120">
        <f t="shared" si="15"/>
        <v>0</v>
      </c>
      <c r="AH120">
        <f t="shared" si="15"/>
        <v>0</v>
      </c>
      <c r="AI120">
        <f t="shared" si="15"/>
        <v>0</v>
      </c>
      <c r="AJ120">
        <f t="shared" si="15"/>
        <v>9.9999999999999992E-2</v>
      </c>
      <c r="AK120">
        <f t="shared" si="15"/>
        <v>0</v>
      </c>
      <c r="AL120">
        <f t="shared" si="15"/>
        <v>0</v>
      </c>
      <c r="AM120">
        <f t="shared" si="15"/>
        <v>0</v>
      </c>
      <c r="AN120">
        <f t="shared" si="15"/>
        <v>9.9999999999999992E-2</v>
      </c>
      <c r="AO120">
        <f t="shared" si="15"/>
        <v>0</v>
      </c>
      <c r="AP120">
        <f t="shared" si="15"/>
        <v>0</v>
      </c>
      <c r="AQ120">
        <f t="shared" si="15"/>
        <v>0</v>
      </c>
      <c r="AR120">
        <f t="shared" si="15"/>
        <v>0</v>
      </c>
      <c r="AS120">
        <f t="shared" si="15"/>
        <v>9.9999999999999992E-2</v>
      </c>
      <c r="AT120">
        <f t="shared" si="15"/>
        <v>0</v>
      </c>
      <c r="AU120">
        <f t="shared" si="15"/>
        <v>0</v>
      </c>
      <c r="AV120">
        <f t="shared" si="15"/>
        <v>0</v>
      </c>
      <c r="AW120">
        <f t="shared" si="15"/>
        <v>0</v>
      </c>
      <c r="AX120">
        <f t="shared" si="15"/>
        <v>0</v>
      </c>
      <c r="AY120">
        <f t="shared" si="15"/>
        <v>0</v>
      </c>
      <c r="AZ120">
        <f t="shared" si="15"/>
        <v>0</v>
      </c>
      <c r="BA120">
        <f t="shared" si="15"/>
        <v>0</v>
      </c>
      <c r="BB120">
        <f t="shared" si="15"/>
        <v>0</v>
      </c>
      <c r="BC120">
        <f t="shared" si="15"/>
        <v>0</v>
      </c>
      <c r="BD120">
        <f t="shared" si="15"/>
        <v>0</v>
      </c>
      <c r="BE120">
        <f t="shared" si="15"/>
        <v>0</v>
      </c>
      <c r="BF120">
        <f t="shared" si="15"/>
        <v>9.9999999999999992E-2</v>
      </c>
      <c r="BG120">
        <f t="shared" si="15"/>
        <v>0</v>
      </c>
      <c r="BH120">
        <f t="shared" si="15"/>
        <v>0</v>
      </c>
      <c r="BI120">
        <f t="shared" si="15"/>
        <v>0</v>
      </c>
      <c r="BJ120" s="96"/>
      <c r="BK120" s="96"/>
      <c r="BM120" s="98"/>
    </row>
    <row r="121" spans="1:65" s="97" customFormat="1" ht="16.399999999999999" customHeight="1">
      <c r="A121" s="92" t="s">
        <v>5242</v>
      </c>
      <c r="B121" s="93"/>
      <c r="C121" s="94"/>
      <c r="D121" s="94"/>
      <c r="E121" s="94"/>
      <c r="F121" s="94"/>
      <c r="G121" s="94"/>
      <c r="H121" s="94"/>
      <c r="I121" s="94"/>
      <c r="J121" s="95">
        <v>0</v>
      </c>
      <c r="K121" s="95">
        <v>184264.33353333335</v>
      </c>
      <c r="L121" s="95">
        <v>139705.22426119796</v>
      </c>
      <c r="M121" s="95">
        <v>128051.28</v>
      </c>
      <c r="N121" s="95">
        <v>29340.100000000006</v>
      </c>
      <c r="O121" s="96"/>
      <c r="P121" s="95">
        <v>10243.642187500001</v>
      </c>
      <c r="Q121" s="95">
        <v>562.5</v>
      </c>
      <c r="R121" s="95">
        <v>609.375</v>
      </c>
      <c r="S121" s="95">
        <v>31210.487253361116</v>
      </c>
      <c r="T121" s="95">
        <v>142369.13226526807</v>
      </c>
      <c r="U121" s="95">
        <v>132469.82575648933</v>
      </c>
      <c r="V121" s="95">
        <v>108769.99381418807</v>
      </c>
      <c r="W121" s="95">
        <v>0</v>
      </c>
      <c r="X121" s="95">
        <v>184264.33353333335</v>
      </c>
      <c r="Y121" s="95">
        <v>139705.22426119796</v>
      </c>
      <c r="Z121" s="95">
        <v>128051.28</v>
      </c>
      <c r="AA121" s="95">
        <v>29340.100000000006</v>
      </c>
      <c r="AB121" s="96"/>
      <c r="AC121" s="95">
        <v>10243.642187500001</v>
      </c>
      <c r="AD121" s="95">
        <v>562.5</v>
      </c>
      <c r="AE121" s="95">
        <v>609.375</v>
      </c>
      <c r="AF121" s="95">
        <v>31210.487253361116</v>
      </c>
      <c r="AG121" s="95">
        <v>142369.13226526807</v>
      </c>
      <c r="AH121" s="95">
        <v>132469.82575648933</v>
      </c>
      <c r="AI121" s="95">
        <v>108769.99381418807</v>
      </c>
      <c r="AJ121" s="95">
        <v>0</v>
      </c>
      <c r="AK121" s="95">
        <v>184264.33353333335</v>
      </c>
      <c r="AL121" s="95">
        <v>139705.22426119796</v>
      </c>
      <c r="AM121" s="95">
        <v>128051.28</v>
      </c>
      <c r="AN121" s="95">
        <v>29340.100000000006</v>
      </c>
      <c r="AO121" s="96"/>
      <c r="AP121" s="95">
        <v>10243.642187500001</v>
      </c>
      <c r="AQ121" s="95">
        <v>562.5</v>
      </c>
      <c r="AR121" s="95">
        <v>609.375</v>
      </c>
      <c r="AS121" s="95">
        <v>31210.487253361116</v>
      </c>
      <c r="AT121" s="95">
        <v>142369.13226526807</v>
      </c>
      <c r="AU121" s="95">
        <v>132469.82575648933</v>
      </c>
      <c r="AV121" s="95">
        <v>108769.99381418807</v>
      </c>
      <c r="AW121" s="95">
        <v>0</v>
      </c>
      <c r="AX121" s="95">
        <v>184264.33353333335</v>
      </c>
      <c r="AY121" s="95">
        <v>139705.22426119796</v>
      </c>
      <c r="AZ121" s="95">
        <v>128051.28</v>
      </c>
      <c r="BA121" s="95">
        <v>29340.100000000006</v>
      </c>
      <c r="BB121" s="96"/>
      <c r="BC121" s="95">
        <v>10243.642187500001</v>
      </c>
      <c r="BD121" s="95">
        <v>562.5</v>
      </c>
      <c r="BE121" s="95">
        <v>609.375</v>
      </c>
      <c r="BF121" s="95">
        <v>31210.487253361116</v>
      </c>
      <c r="BG121" s="95">
        <v>142369.13226526807</v>
      </c>
      <c r="BH121" s="95">
        <v>132469.82575648933</v>
      </c>
      <c r="BI121" s="95">
        <v>108769.99381418807</v>
      </c>
      <c r="BJ121" s="96"/>
      <c r="BK121" s="96">
        <v>3630383.5762853515</v>
      </c>
      <c r="BM121" s="98"/>
    </row>
    <row r="122" spans="1:65">
      <c r="J122">
        <f>+J121/SUM($J$121:$BI$121)</f>
        <v>0</v>
      </c>
      <c r="K122">
        <f t="shared" ref="K122:BI122" si="16">+K121/SUM($J$121:$BI$121)</f>
        <v>5.0756161067110908E-2</v>
      </c>
      <c r="L122">
        <f t="shared" si="16"/>
        <v>3.848222132057625E-2</v>
      </c>
      <c r="M122">
        <f t="shared" si="16"/>
        <v>3.5272107563637536E-2</v>
      </c>
      <c r="N122">
        <f t="shared" si="16"/>
        <v>8.0818181835268024E-3</v>
      </c>
      <c r="O122">
        <f t="shared" si="16"/>
        <v>0</v>
      </c>
      <c r="P122">
        <f t="shared" si="16"/>
        <v>2.8216418381832292E-3</v>
      </c>
      <c r="Q122">
        <f t="shared" si="16"/>
        <v>1.5494230518075351E-4</v>
      </c>
      <c r="R122">
        <f t="shared" si="16"/>
        <v>1.6785416394581628E-4</v>
      </c>
      <c r="S122">
        <f t="shared" si="16"/>
        <v>8.5970219392894134E-3</v>
      </c>
      <c r="T122">
        <f t="shared" si="16"/>
        <v>3.9216002737358618E-2</v>
      </c>
      <c r="U122">
        <f t="shared" si="16"/>
        <v>3.6489209190405707E-2</v>
      </c>
      <c r="V122">
        <f t="shared" si="16"/>
        <v>2.9961019690785063E-2</v>
      </c>
      <c r="W122">
        <f t="shared" si="16"/>
        <v>0</v>
      </c>
      <c r="X122">
        <f t="shared" si="16"/>
        <v>5.0756161067110908E-2</v>
      </c>
      <c r="Y122">
        <f t="shared" si="16"/>
        <v>3.848222132057625E-2</v>
      </c>
      <c r="Z122">
        <f t="shared" si="16"/>
        <v>3.5272107563637536E-2</v>
      </c>
      <c r="AA122">
        <f t="shared" si="16"/>
        <v>8.0818181835268024E-3</v>
      </c>
      <c r="AB122">
        <f t="shared" si="16"/>
        <v>0</v>
      </c>
      <c r="AC122">
        <f t="shared" si="16"/>
        <v>2.8216418381832292E-3</v>
      </c>
      <c r="AD122">
        <f t="shared" si="16"/>
        <v>1.5494230518075351E-4</v>
      </c>
      <c r="AE122">
        <f t="shared" si="16"/>
        <v>1.6785416394581628E-4</v>
      </c>
      <c r="AF122">
        <f t="shared" si="16"/>
        <v>8.5970219392894134E-3</v>
      </c>
      <c r="AG122">
        <f t="shared" si="16"/>
        <v>3.9216002737358618E-2</v>
      </c>
      <c r="AH122">
        <f t="shared" si="16"/>
        <v>3.6489209190405707E-2</v>
      </c>
      <c r="AI122">
        <f t="shared" si="16"/>
        <v>2.9961019690785063E-2</v>
      </c>
      <c r="AJ122">
        <f t="shared" si="16"/>
        <v>0</v>
      </c>
      <c r="AK122">
        <f t="shared" si="16"/>
        <v>5.0756161067110908E-2</v>
      </c>
      <c r="AL122">
        <f t="shared" si="16"/>
        <v>3.848222132057625E-2</v>
      </c>
      <c r="AM122">
        <f t="shared" si="16"/>
        <v>3.5272107563637536E-2</v>
      </c>
      <c r="AN122">
        <f t="shared" si="16"/>
        <v>8.0818181835268024E-3</v>
      </c>
      <c r="AO122">
        <f t="shared" si="16"/>
        <v>0</v>
      </c>
      <c r="AP122">
        <f t="shared" si="16"/>
        <v>2.8216418381832292E-3</v>
      </c>
      <c r="AQ122">
        <f t="shared" si="16"/>
        <v>1.5494230518075351E-4</v>
      </c>
      <c r="AR122">
        <f t="shared" si="16"/>
        <v>1.6785416394581628E-4</v>
      </c>
      <c r="AS122">
        <f t="shared" si="16"/>
        <v>8.5970219392894134E-3</v>
      </c>
      <c r="AT122">
        <f t="shared" si="16"/>
        <v>3.9216002737358618E-2</v>
      </c>
      <c r="AU122">
        <f t="shared" si="16"/>
        <v>3.6489209190405707E-2</v>
      </c>
      <c r="AV122">
        <f t="shared" si="16"/>
        <v>2.9961019690785063E-2</v>
      </c>
      <c r="AW122">
        <f t="shared" si="16"/>
        <v>0</v>
      </c>
      <c r="AX122">
        <f t="shared" si="16"/>
        <v>5.0756161067110908E-2</v>
      </c>
      <c r="AY122">
        <f t="shared" si="16"/>
        <v>3.848222132057625E-2</v>
      </c>
      <c r="AZ122">
        <f t="shared" si="16"/>
        <v>3.5272107563637536E-2</v>
      </c>
      <c r="BA122">
        <f t="shared" si="16"/>
        <v>8.0818181835268024E-3</v>
      </c>
      <c r="BB122">
        <f t="shared" si="16"/>
        <v>0</v>
      </c>
      <c r="BC122">
        <f t="shared" si="16"/>
        <v>2.8216418381832292E-3</v>
      </c>
      <c r="BD122">
        <f t="shared" si="16"/>
        <v>1.5494230518075351E-4</v>
      </c>
      <c r="BE122">
        <f t="shared" si="16"/>
        <v>1.6785416394581628E-4</v>
      </c>
      <c r="BF122">
        <f t="shared" si="16"/>
        <v>8.5970219392894134E-3</v>
      </c>
      <c r="BG122">
        <f t="shared" si="16"/>
        <v>3.9216002737358618E-2</v>
      </c>
      <c r="BH122">
        <f t="shared" si="16"/>
        <v>3.6489209190405707E-2</v>
      </c>
      <c r="BI122">
        <f t="shared" si="16"/>
        <v>2.9961019690785063E-2</v>
      </c>
    </row>
    <row r="126" spans="1:65">
      <c r="J126" s="112">
        <v>3946892.4000000004</v>
      </c>
    </row>
    <row r="129" spans="1:65" s="97" customFormat="1" ht="31" customHeight="1">
      <c r="A129" s="99" t="s">
        <v>5202</v>
      </c>
      <c r="B129" s="100" t="s">
        <v>5203</v>
      </c>
      <c r="C129" s="101">
        <v>45292</v>
      </c>
      <c r="D129" s="101">
        <v>45323</v>
      </c>
      <c r="E129" s="101">
        <v>45352</v>
      </c>
      <c r="F129" s="101">
        <v>45383</v>
      </c>
      <c r="G129" s="101">
        <v>45413</v>
      </c>
      <c r="H129" s="101">
        <v>45444</v>
      </c>
      <c r="I129" s="101">
        <v>45474</v>
      </c>
      <c r="J129" s="102">
        <v>45505</v>
      </c>
      <c r="K129" s="102">
        <v>45536</v>
      </c>
      <c r="L129" s="102">
        <v>45566</v>
      </c>
      <c r="M129" s="102">
        <v>45597</v>
      </c>
      <c r="N129" s="102">
        <v>45627</v>
      </c>
      <c r="O129" s="100" t="s">
        <v>5204</v>
      </c>
      <c r="P129" s="102">
        <v>45658</v>
      </c>
      <c r="Q129" s="102">
        <v>45689</v>
      </c>
      <c r="R129" s="102">
        <v>45717</v>
      </c>
      <c r="S129" s="102">
        <v>45748</v>
      </c>
      <c r="T129" s="102">
        <v>45778</v>
      </c>
      <c r="U129" s="102">
        <v>45809</v>
      </c>
      <c r="V129" s="102">
        <v>45839</v>
      </c>
      <c r="W129" s="102">
        <v>45870</v>
      </c>
      <c r="X129" s="102">
        <v>45901</v>
      </c>
      <c r="Y129" s="102">
        <v>45931</v>
      </c>
      <c r="Z129" s="102">
        <v>45962</v>
      </c>
      <c r="AA129" s="102">
        <v>45992</v>
      </c>
      <c r="AB129" s="100" t="s">
        <v>5205</v>
      </c>
      <c r="AC129" s="102">
        <v>46023</v>
      </c>
      <c r="AD129" s="102">
        <v>46054</v>
      </c>
      <c r="AE129" s="102">
        <v>46082</v>
      </c>
      <c r="AF129" s="102">
        <v>46113</v>
      </c>
      <c r="AG129" s="102">
        <v>46143</v>
      </c>
      <c r="AH129" s="102">
        <v>46174</v>
      </c>
      <c r="AI129" s="102">
        <v>46204</v>
      </c>
      <c r="AJ129" s="102">
        <v>46235</v>
      </c>
      <c r="AK129" s="102">
        <v>46266</v>
      </c>
      <c r="AL129" s="102">
        <v>46296</v>
      </c>
      <c r="AM129" s="102">
        <v>46327</v>
      </c>
      <c r="AN129" s="102">
        <v>46357</v>
      </c>
      <c r="AO129" s="100" t="s">
        <v>5206</v>
      </c>
      <c r="AP129" s="102">
        <v>46388</v>
      </c>
      <c r="AQ129" s="102">
        <v>46419</v>
      </c>
      <c r="AR129" s="102">
        <v>46447</v>
      </c>
      <c r="AS129" s="102">
        <v>46478</v>
      </c>
      <c r="AT129" s="102">
        <v>46508</v>
      </c>
      <c r="AU129" s="102">
        <v>46539</v>
      </c>
      <c r="AV129" s="102">
        <v>46569</v>
      </c>
      <c r="AW129" s="102">
        <v>46600</v>
      </c>
      <c r="AX129" s="102">
        <v>46631</v>
      </c>
      <c r="AY129" s="102">
        <v>46661</v>
      </c>
      <c r="AZ129" s="102">
        <v>46692</v>
      </c>
      <c r="BA129" s="102">
        <v>46722</v>
      </c>
      <c r="BB129" s="100" t="s">
        <v>5207</v>
      </c>
      <c r="BC129" s="102">
        <v>46753</v>
      </c>
      <c r="BD129" s="102">
        <v>46784</v>
      </c>
      <c r="BE129" s="102">
        <v>46813</v>
      </c>
      <c r="BF129" s="102">
        <v>46844</v>
      </c>
      <c r="BG129" s="102">
        <v>46874</v>
      </c>
      <c r="BH129" s="102">
        <v>46905</v>
      </c>
      <c r="BI129" s="102">
        <v>46935</v>
      </c>
      <c r="BJ129" s="100" t="s">
        <v>5208</v>
      </c>
      <c r="BK129" s="100" t="s">
        <v>5209</v>
      </c>
    </row>
    <row r="130" spans="1:65" s="97" customFormat="1" ht="16.399999999999999" customHeight="1">
      <c r="A130" s="92" t="s">
        <v>5243</v>
      </c>
      <c r="B130" s="93"/>
      <c r="C130" s="94"/>
      <c r="D130" s="94"/>
      <c r="E130" s="94"/>
      <c r="F130" s="94"/>
      <c r="G130" s="94"/>
      <c r="H130" s="94"/>
      <c r="I130" s="94"/>
      <c r="J130" s="95"/>
      <c r="K130" s="95">
        <v>40000</v>
      </c>
      <c r="L130" s="95"/>
      <c r="M130" s="95"/>
      <c r="N130" s="95">
        <v>40000</v>
      </c>
      <c r="O130" s="96" t="s">
        <v>5245</v>
      </c>
      <c r="P130" s="95"/>
      <c r="Q130" s="95"/>
      <c r="R130" s="95">
        <v>40000</v>
      </c>
      <c r="S130" s="95"/>
      <c r="T130" s="95"/>
      <c r="U130" s="95">
        <v>40000</v>
      </c>
      <c r="V130" s="95"/>
      <c r="W130" s="95"/>
      <c r="X130" s="95">
        <v>40000</v>
      </c>
      <c r="Y130" s="95"/>
      <c r="Z130" s="95"/>
      <c r="AA130" s="95">
        <v>40000</v>
      </c>
      <c r="AB130" s="96"/>
      <c r="AC130" s="95"/>
      <c r="AD130" s="95"/>
      <c r="AE130" s="95">
        <v>40000</v>
      </c>
      <c r="AF130" s="95"/>
      <c r="AG130" s="95"/>
      <c r="AH130" s="95">
        <v>40000</v>
      </c>
      <c r="AI130" s="95"/>
      <c r="AJ130" s="95"/>
      <c r="AK130" s="95">
        <v>40000</v>
      </c>
      <c r="AL130" s="95"/>
      <c r="AM130" s="95"/>
      <c r="AN130" s="95">
        <v>40000</v>
      </c>
      <c r="AO130" s="96"/>
      <c r="AP130" s="95"/>
      <c r="AQ130" s="95"/>
      <c r="AR130" s="95">
        <v>40000</v>
      </c>
      <c r="AS130" s="95"/>
      <c r="AT130" s="95"/>
      <c r="AU130" s="95">
        <v>40000</v>
      </c>
      <c r="AV130" s="95"/>
      <c r="AW130" s="95"/>
      <c r="AX130" s="95">
        <v>40000</v>
      </c>
      <c r="AY130" s="95"/>
      <c r="AZ130" s="95"/>
      <c r="BA130" s="95">
        <v>40000</v>
      </c>
      <c r="BB130" s="96"/>
      <c r="BC130" s="95"/>
      <c r="BD130" s="95"/>
      <c r="BE130" s="95">
        <v>40000</v>
      </c>
      <c r="BF130" s="95"/>
      <c r="BG130" s="95"/>
      <c r="BH130" s="95">
        <v>40000</v>
      </c>
      <c r="BI130" s="95"/>
      <c r="BJ130" s="96"/>
      <c r="BK130" s="96">
        <v>640000</v>
      </c>
      <c r="BM130" s="98"/>
    </row>
    <row r="131" spans="1:65" s="97" customFormat="1" ht="16.399999999999999" customHeight="1">
      <c r="A131" s="92"/>
      <c r="B131" s="93"/>
      <c r="C131" s="94"/>
      <c r="D131" s="94"/>
      <c r="E131" s="94"/>
      <c r="F131" s="94"/>
      <c r="G131" s="94"/>
      <c r="H131" s="94"/>
      <c r="I131" s="94"/>
      <c r="J131">
        <f>+J130/SUM($J$130:$BI$130)</f>
        <v>0</v>
      </c>
      <c r="K131" s="95">
        <f t="shared" ref="K131:BI131" si="17">+K130/SUM($J$130:$BI$130)</f>
        <v>6.25E-2</v>
      </c>
      <c r="L131" s="95">
        <f t="shared" si="17"/>
        <v>0</v>
      </c>
      <c r="M131" s="95">
        <f t="shared" si="17"/>
        <v>0</v>
      </c>
      <c r="N131" s="95">
        <f t="shared" si="17"/>
        <v>6.25E-2</v>
      </c>
      <c r="O131" s="96" t="e">
        <f t="shared" si="17"/>
        <v>#VALUE!</v>
      </c>
      <c r="P131" s="95">
        <f t="shared" si="17"/>
        <v>0</v>
      </c>
      <c r="Q131" s="95">
        <f t="shared" si="17"/>
        <v>0</v>
      </c>
      <c r="R131" s="95">
        <f t="shared" si="17"/>
        <v>6.25E-2</v>
      </c>
      <c r="S131" s="95">
        <f t="shared" si="17"/>
        <v>0</v>
      </c>
      <c r="T131" s="95">
        <f t="shared" si="17"/>
        <v>0</v>
      </c>
      <c r="U131" s="95">
        <f t="shared" si="17"/>
        <v>6.25E-2</v>
      </c>
      <c r="V131" s="95">
        <f t="shared" si="17"/>
        <v>0</v>
      </c>
      <c r="W131" s="95">
        <f t="shared" si="17"/>
        <v>0</v>
      </c>
      <c r="X131" s="95">
        <f t="shared" si="17"/>
        <v>6.25E-2</v>
      </c>
      <c r="Y131" s="95">
        <f t="shared" si="17"/>
        <v>0</v>
      </c>
      <c r="Z131" s="95">
        <f t="shared" si="17"/>
        <v>0</v>
      </c>
      <c r="AA131" s="95">
        <f t="shared" si="17"/>
        <v>6.25E-2</v>
      </c>
      <c r="AB131" s="96">
        <f t="shared" si="17"/>
        <v>0</v>
      </c>
      <c r="AC131" s="95">
        <f t="shared" si="17"/>
        <v>0</v>
      </c>
      <c r="AD131" s="95">
        <f t="shared" si="17"/>
        <v>0</v>
      </c>
      <c r="AE131" s="95">
        <f t="shared" si="17"/>
        <v>6.25E-2</v>
      </c>
      <c r="AF131" s="95">
        <f t="shared" si="17"/>
        <v>0</v>
      </c>
      <c r="AG131" s="95">
        <f t="shared" si="17"/>
        <v>0</v>
      </c>
      <c r="AH131" s="95">
        <f t="shared" si="17"/>
        <v>6.25E-2</v>
      </c>
      <c r="AI131" s="95">
        <f t="shared" si="17"/>
        <v>0</v>
      </c>
      <c r="AJ131" s="95">
        <f t="shared" si="17"/>
        <v>0</v>
      </c>
      <c r="AK131" s="95">
        <f t="shared" si="17"/>
        <v>6.25E-2</v>
      </c>
      <c r="AL131" s="95">
        <f t="shared" si="17"/>
        <v>0</v>
      </c>
      <c r="AM131" s="95">
        <f t="shared" si="17"/>
        <v>0</v>
      </c>
      <c r="AN131" s="95">
        <f t="shared" si="17"/>
        <v>6.25E-2</v>
      </c>
      <c r="AO131" s="96">
        <f t="shared" si="17"/>
        <v>0</v>
      </c>
      <c r="AP131" s="95">
        <f t="shared" si="17"/>
        <v>0</v>
      </c>
      <c r="AQ131" s="95">
        <f t="shared" si="17"/>
        <v>0</v>
      </c>
      <c r="AR131" s="95">
        <f t="shared" si="17"/>
        <v>6.25E-2</v>
      </c>
      <c r="AS131" s="95">
        <f t="shared" si="17"/>
        <v>0</v>
      </c>
      <c r="AT131" s="95">
        <f t="shared" si="17"/>
        <v>0</v>
      </c>
      <c r="AU131" s="95">
        <f t="shared" si="17"/>
        <v>6.25E-2</v>
      </c>
      <c r="AV131" s="95">
        <f t="shared" si="17"/>
        <v>0</v>
      </c>
      <c r="AW131" s="95">
        <f t="shared" si="17"/>
        <v>0</v>
      </c>
      <c r="AX131" s="95">
        <f t="shared" si="17"/>
        <v>6.25E-2</v>
      </c>
      <c r="AY131" s="95">
        <f t="shared" si="17"/>
        <v>0</v>
      </c>
      <c r="AZ131" s="95">
        <f t="shared" si="17"/>
        <v>0</v>
      </c>
      <c r="BA131" s="95">
        <f t="shared" si="17"/>
        <v>6.25E-2</v>
      </c>
      <c r="BB131" s="96">
        <f t="shared" si="17"/>
        <v>0</v>
      </c>
      <c r="BC131" s="95">
        <f t="shared" si="17"/>
        <v>0</v>
      </c>
      <c r="BD131" s="95">
        <f t="shared" si="17"/>
        <v>0</v>
      </c>
      <c r="BE131" s="95">
        <f t="shared" si="17"/>
        <v>6.25E-2</v>
      </c>
      <c r="BF131" s="95">
        <f t="shared" si="17"/>
        <v>0</v>
      </c>
      <c r="BG131" s="95">
        <f t="shared" si="17"/>
        <v>0</v>
      </c>
      <c r="BH131" s="95">
        <f t="shared" si="17"/>
        <v>6.25E-2</v>
      </c>
      <c r="BI131" s="95">
        <f t="shared" si="17"/>
        <v>0</v>
      </c>
      <c r="BJ131" s="96"/>
      <c r="BK131" s="96"/>
      <c r="BM131" s="98"/>
    </row>
    <row r="132" spans="1:65" s="97" customFormat="1" ht="16.399999999999999" customHeight="1">
      <c r="A132" s="92" t="s">
        <v>5244</v>
      </c>
      <c r="B132" s="93"/>
      <c r="C132" s="94"/>
      <c r="D132" s="94"/>
      <c r="E132" s="94"/>
      <c r="F132" s="94"/>
      <c r="G132" s="94"/>
      <c r="H132" s="94"/>
      <c r="I132" s="94"/>
      <c r="J132" s="95">
        <v>30000</v>
      </c>
      <c r="K132" s="95">
        <v>30000</v>
      </c>
      <c r="L132" s="95">
        <v>30000</v>
      </c>
      <c r="M132" s="95">
        <v>30000</v>
      </c>
      <c r="N132" s="95">
        <v>30000</v>
      </c>
      <c r="O132" s="96"/>
      <c r="P132" s="95">
        <v>30000</v>
      </c>
      <c r="Q132" s="95">
        <v>30000</v>
      </c>
      <c r="R132" s="95">
        <v>30000</v>
      </c>
      <c r="S132" s="95">
        <v>30000</v>
      </c>
      <c r="T132" s="95">
        <v>30000</v>
      </c>
      <c r="U132" s="95">
        <v>30000</v>
      </c>
      <c r="V132" s="95">
        <v>30000</v>
      </c>
      <c r="W132" s="95">
        <v>30000</v>
      </c>
      <c r="X132" s="95">
        <v>30000</v>
      </c>
      <c r="Y132" s="95">
        <v>30000</v>
      </c>
      <c r="Z132" s="95">
        <v>30000</v>
      </c>
      <c r="AA132" s="95">
        <v>30000</v>
      </c>
      <c r="AB132" s="96"/>
      <c r="AC132" s="95">
        <v>30000</v>
      </c>
      <c r="AD132" s="95">
        <v>30000</v>
      </c>
      <c r="AE132" s="95">
        <v>30000</v>
      </c>
      <c r="AF132" s="95">
        <v>30000</v>
      </c>
      <c r="AG132" s="95">
        <v>30000</v>
      </c>
      <c r="AH132" s="95">
        <v>30000</v>
      </c>
      <c r="AI132" s="95">
        <v>30000</v>
      </c>
      <c r="AJ132" s="95">
        <v>30000</v>
      </c>
      <c r="AK132" s="95">
        <v>30000</v>
      </c>
      <c r="AL132" s="95">
        <v>30000</v>
      </c>
      <c r="AM132" s="95">
        <v>30000</v>
      </c>
      <c r="AN132" s="95">
        <v>30000</v>
      </c>
      <c r="AO132" s="96"/>
      <c r="AP132" s="95">
        <v>30000</v>
      </c>
      <c r="AQ132" s="95">
        <v>30000</v>
      </c>
      <c r="AR132" s="95">
        <v>30000</v>
      </c>
      <c r="AS132" s="95">
        <v>30000</v>
      </c>
      <c r="AT132" s="95">
        <v>30000</v>
      </c>
      <c r="AU132" s="95">
        <v>30000</v>
      </c>
      <c r="AV132" s="95">
        <v>30000</v>
      </c>
      <c r="AW132" s="95">
        <v>30000</v>
      </c>
      <c r="AX132" s="95">
        <v>30000</v>
      </c>
      <c r="AY132" s="95">
        <v>30000</v>
      </c>
      <c r="AZ132" s="95">
        <v>30000</v>
      </c>
      <c r="BA132" s="95">
        <v>30000</v>
      </c>
      <c r="BB132" s="96"/>
      <c r="BC132" s="95">
        <v>30000</v>
      </c>
      <c r="BD132" s="95">
        <v>30000</v>
      </c>
      <c r="BE132" s="95">
        <v>30000</v>
      </c>
      <c r="BF132" s="95">
        <v>30000</v>
      </c>
      <c r="BG132" s="95">
        <v>30000</v>
      </c>
      <c r="BH132" s="95">
        <v>30000</v>
      </c>
      <c r="BI132" s="95">
        <v>30000</v>
      </c>
      <c r="BJ132" s="96"/>
      <c r="BK132" s="96">
        <v>1440000</v>
      </c>
      <c r="BM132" s="98"/>
    </row>
    <row r="133" spans="1:65">
      <c r="J133">
        <f>+J132/SUM($J$132:$BI$132)</f>
        <v>2.0833333333333332E-2</v>
      </c>
      <c r="K133">
        <f t="shared" ref="K133:BI133" si="18">+K132/SUM($J$132:$BI$132)</f>
        <v>2.0833333333333332E-2</v>
      </c>
      <c r="L133">
        <f t="shared" si="18"/>
        <v>2.0833333333333332E-2</v>
      </c>
      <c r="M133">
        <f t="shared" si="18"/>
        <v>2.0833333333333332E-2</v>
      </c>
      <c r="N133">
        <f t="shared" si="18"/>
        <v>2.0833333333333332E-2</v>
      </c>
      <c r="O133">
        <f t="shared" si="18"/>
        <v>0</v>
      </c>
      <c r="P133">
        <f t="shared" si="18"/>
        <v>2.0833333333333332E-2</v>
      </c>
      <c r="Q133">
        <f t="shared" si="18"/>
        <v>2.0833333333333332E-2</v>
      </c>
      <c r="R133">
        <f t="shared" si="18"/>
        <v>2.0833333333333332E-2</v>
      </c>
      <c r="S133">
        <f t="shared" si="18"/>
        <v>2.0833333333333332E-2</v>
      </c>
      <c r="T133">
        <f t="shared" si="18"/>
        <v>2.0833333333333332E-2</v>
      </c>
      <c r="U133">
        <f t="shared" si="18"/>
        <v>2.0833333333333332E-2</v>
      </c>
      <c r="V133">
        <f t="shared" si="18"/>
        <v>2.0833333333333332E-2</v>
      </c>
      <c r="W133">
        <f t="shared" si="18"/>
        <v>2.0833333333333332E-2</v>
      </c>
      <c r="X133">
        <f t="shared" si="18"/>
        <v>2.0833333333333332E-2</v>
      </c>
      <c r="Y133">
        <f t="shared" si="18"/>
        <v>2.0833333333333332E-2</v>
      </c>
      <c r="Z133">
        <f t="shared" si="18"/>
        <v>2.0833333333333332E-2</v>
      </c>
      <c r="AA133">
        <f t="shared" si="18"/>
        <v>2.0833333333333332E-2</v>
      </c>
      <c r="AB133">
        <f t="shared" si="18"/>
        <v>0</v>
      </c>
      <c r="AC133">
        <f t="shared" si="18"/>
        <v>2.0833333333333332E-2</v>
      </c>
      <c r="AD133">
        <f t="shared" si="18"/>
        <v>2.0833333333333332E-2</v>
      </c>
      <c r="AE133">
        <f t="shared" si="18"/>
        <v>2.0833333333333332E-2</v>
      </c>
      <c r="AF133">
        <f t="shared" si="18"/>
        <v>2.0833333333333332E-2</v>
      </c>
      <c r="AG133">
        <f t="shared" si="18"/>
        <v>2.0833333333333332E-2</v>
      </c>
      <c r="AH133">
        <f t="shared" si="18"/>
        <v>2.0833333333333332E-2</v>
      </c>
      <c r="AI133">
        <f t="shared" si="18"/>
        <v>2.0833333333333332E-2</v>
      </c>
      <c r="AJ133">
        <f t="shared" si="18"/>
        <v>2.0833333333333332E-2</v>
      </c>
      <c r="AK133">
        <f t="shared" si="18"/>
        <v>2.0833333333333332E-2</v>
      </c>
      <c r="AL133">
        <f t="shared" si="18"/>
        <v>2.0833333333333332E-2</v>
      </c>
      <c r="AM133">
        <f t="shared" si="18"/>
        <v>2.0833333333333332E-2</v>
      </c>
      <c r="AN133">
        <f t="shared" si="18"/>
        <v>2.0833333333333332E-2</v>
      </c>
      <c r="AO133">
        <f t="shared" si="18"/>
        <v>0</v>
      </c>
      <c r="AP133">
        <f t="shared" si="18"/>
        <v>2.0833333333333332E-2</v>
      </c>
      <c r="AQ133">
        <f t="shared" si="18"/>
        <v>2.0833333333333332E-2</v>
      </c>
      <c r="AR133">
        <f t="shared" si="18"/>
        <v>2.0833333333333332E-2</v>
      </c>
      <c r="AS133">
        <f t="shared" si="18"/>
        <v>2.0833333333333332E-2</v>
      </c>
      <c r="AT133">
        <f t="shared" si="18"/>
        <v>2.0833333333333332E-2</v>
      </c>
      <c r="AU133">
        <f t="shared" si="18"/>
        <v>2.0833333333333332E-2</v>
      </c>
      <c r="AV133">
        <f t="shared" si="18"/>
        <v>2.0833333333333332E-2</v>
      </c>
      <c r="AW133">
        <f t="shared" si="18"/>
        <v>2.0833333333333332E-2</v>
      </c>
      <c r="AX133">
        <f t="shared" si="18"/>
        <v>2.0833333333333332E-2</v>
      </c>
      <c r="AY133">
        <f t="shared" si="18"/>
        <v>2.0833333333333332E-2</v>
      </c>
      <c r="AZ133">
        <f t="shared" si="18"/>
        <v>2.0833333333333332E-2</v>
      </c>
      <c r="BA133">
        <f t="shared" si="18"/>
        <v>2.0833333333333332E-2</v>
      </c>
      <c r="BB133">
        <f t="shared" si="18"/>
        <v>0</v>
      </c>
      <c r="BC133">
        <f t="shared" si="18"/>
        <v>2.0833333333333332E-2</v>
      </c>
      <c r="BD133">
        <f t="shared" si="18"/>
        <v>2.0833333333333332E-2</v>
      </c>
      <c r="BE133">
        <f t="shared" si="18"/>
        <v>2.0833333333333332E-2</v>
      </c>
      <c r="BF133">
        <f t="shared" si="18"/>
        <v>2.0833333333333332E-2</v>
      </c>
      <c r="BG133">
        <f t="shared" si="18"/>
        <v>2.0833333333333332E-2</v>
      </c>
      <c r="BH133">
        <f t="shared" si="18"/>
        <v>2.0833333333333332E-2</v>
      </c>
      <c r="BI133">
        <f t="shared" si="18"/>
        <v>2.0833333333333332E-2</v>
      </c>
    </row>
    <row r="136" spans="1:65">
      <c r="J136" s="112">
        <f>+SUM(J130:BI130)</f>
        <v>640000</v>
      </c>
    </row>
    <row r="137" spans="1:65">
      <c r="J137" s="112">
        <f>+SUM(J132:BI132)</f>
        <v>1440000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209B-D40A-4E4D-A869-D02136148026}">
  <sheetPr codeName="Sheet5"/>
  <dimension ref="A1:BO149"/>
  <sheetViews>
    <sheetView workbookViewId="0"/>
  </sheetViews>
  <sheetFormatPr defaultRowHeight="14.5"/>
  <cols>
    <col min="1" max="1" width="13.453125" bestFit="1" customWidth="1"/>
    <col min="2" max="2" width="18.81640625" bestFit="1" customWidth="1"/>
    <col min="3" max="3" width="18.81640625" customWidth="1"/>
    <col min="4" max="4" width="18.54296875" bestFit="1" customWidth="1"/>
    <col min="5" max="5" width="8.90625" bestFit="1" customWidth="1"/>
    <col min="6" max="6" width="9.90625" bestFit="1" customWidth="1"/>
    <col min="7" max="7" width="11.26953125" bestFit="1" customWidth="1"/>
    <col min="8" max="8" width="9.90625" bestFit="1" customWidth="1"/>
    <col min="9" max="9" width="10.54296875" bestFit="1" customWidth="1"/>
    <col min="10" max="12" width="11.26953125" bestFit="1" customWidth="1"/>
    <col min="13" max="13" width="9.90625" bestFit="1" customWidth="1"/>
    <col min="14" max="14" width="9.90625" customWidth="1"/>
    <col min="15" max="43" width="9.90625" bestFit="1" customWidth="1"/>
    <col min="44" max="67" width="8.90625" bestFit="1" customWidth="1"/>
  </cols>
  <sheetData>
    <row r="1" spans="2:67" ht="15" thickBot="1">
      <c r="B1" s="89" t="s">
        <v>5190</v>
      </c>
      <c r="D1" s="1" t="s">
        <v>1</v>
      </c>
      <c r="E1" s="2">
        <v>45200</v>
      </c>
      <c r="F1" s="2">
        <f>+EDATE(E1,1)</f>
        <v>45231</v>
      </c>
      <c r="G1" s="2">
        <f t="shared" ref="G1:BO1" si="0">+EDATE(F1,1)</f>
        <v>45261</v>
      </c>
      <c r="H1" s="2">
        <f t="shared" si="0"/>
        <v>45292</v>
      </c>
      <c r="I1" s="2">
        <f t="shared" si="0"/>
        <v>45323</v>
      </c>
      <c r="J1" s="2">
        <f t="shared" si="0"/>
        <v>45352</v>
      </c>
      <c r="K1" s="2">
        <f t="shared" si="0"/>
        <v>45383</v>
      </c>
      <c r="L1" s="2">
        <f t="shared" si="0"/>
        <v>45413</v>
      </c>
      <c r="M1" s="2">
        <f t="shared" si="0"/>
        <v>45444</v>
      </c>
      <c r="N1" s="87">
        <v>45474</v>
      </c>
      <c r="O1" s="86">
        <f t="shared" si="0"/>
        <v>45505</v>
      </c>
      <c r="P1" s="2">
        <f t="shared" si="0"/>
        <v>45536</v>
      </c>
      <c r="Q1" s="2">
        <f t="shared" si="0"/>
        <v>45566</v>
      </c>
      <c r="R1" s="2">
        <f t="shared" si="0"/>
        <v>45597</v>
      </c>
      <c r="S1" s="2">
        <f t="shared" si="0"/>
        <v>45627</v>
      </c>
      <c r="T1" s="2">
        <f t="shared" si="0"/>
        <v>45658</v>
      </c>
      <c r="U1" s="2">
        <f t="shared" si="0"/>
        <v>45689</v>
      </c>
      <c r="V1" s="2">
        <f t="shared" si="0"/>
        <v>45717</v>
      </c>
      <c r="W1" s="2">
        <f t="shared" si="0"/>
        <v>45748</v>
      </c>
      <c r="X1" s="2">
        <f t="shared" si="0"/>
        <v>45778</v>
      </c>
      <c r="Y1" s="2">
        <f t="shared" si="0"/>
        <v>45809</v>
      </c>
      <c r="Z1" s="2">
        <f t="shared" si="0"/>
        <v>45839</v>
      </c>
      <c r="AA1" s="2">
        <f t="shared" si="0"/>
        <v>45870</v>
      </c>
      <c r="AB1" s="2">
        <f t="shared" si="0"/>
        <v>45901</v>
      </c>
      <c r="AC1" s="2">
        <f t="shared" si="0"/>
        <v>45931</v>
      </c>
      <c r="AD1" s="2">
        <f t="shared" si="0"/>
        <v>45962</v>
      </c>
      <c r="AE1" s="2">
        <f t="shared" si="0"/>
        <v>45992</v>
      </c>
      <c r="AF1" s="2">
        <f t="shared" si="0"/>
        <v>46023</v>
      </c>
      <c r="AG1" s="2">
        <f t="shared" si="0"/>
        <v>46054</v>
      </c>
      <c r="AH1" s="2">
        <f t="shared" si="0"/>
        <v>46082</v>
      </c>
      <c r="AI1" s="2">
        <f t="shared" si="0"/>
        <v>46113</v>
      </c>
      <c r="AJ1" s="2">
        <f t="shared" si="0"/>
        <v>46143</v>
      </c>
      <c r="AK1" s="2">
        <f t="shared" si="0"/>
        <v>46174</v>
      </c>
      <c r="AL1" s="2">
        <f t="shared" si="0"/>
        <v>46204</v>
      </c>
      <c r="AM1" s="2">
        <f t="shared" si="0"/>
        <v>46235</v>
      </c>
      <c r="AN1" s="2">
        <f t="shared" si="0"/>
        <v>46266</v>
      </c>
      <c r="AO1" s="2">
        <f t="shared" si="0"/>
        <v>46296</v>
      </c>
      <c r="AP1" s="2">
        <f t="shared" si="0"/>
        <v>46327</v>
      </c>
      <c r="AQ1" s="2">
        <f t="shared" si="0"/>
        <v>46357</v>
      </c>
      <c r="AR1" s="2">
        <f t="shared" si="0"/>
        <v>46388</v>
      </c>
      <c r="AS1" s="2">
        <f t="shared" si="0"/>
        <v>46419</v>
      </c>
      <c r="AT1" s="2">
        <f t="shared" si="0"/>
        <v>46447</v>
      </c>
      <c r="AU1" s="2">
        <f t="shared" si="0"/>
        <v>46478</v>
      </c>
      <c r="AV1" s="2">
        <f t="shared" si="0"/>
        <v>46508</v>
      </c>
      <c r="AW1" s="2">
        <f t="shared" si="0"/>
        <v>46539</v>
      </c>
      <c r="AX1" s="2">
        <f t="shared" si="0"/>
        <v>46569</v>
      </c>
      <c r="AY1" s="2">
        <f t="shared" si="0"/>
        <v>46600</v>
      </c>
      <c r="AZ1" s="2">
        <f t="shared" si="0"/>
        <v>46631</v>
      </c>
      <c r="BA1" s="2">
        <f t="shared" si="0"/>
        <v>46661</v>
      </c>
      <c r="BB1" s="2">
        <f t="shared" si="0"/>
        <v>46692</v>
      </c>
      <c r="BC1" s="2">
        <f t="shared" si="0"/>
        <v>46722</v>
      </c>
      <c r="BD1" s="2">
        <f t="shared" si="0"/>
        <v>46753</v>
      </c>
      <c r="BE1" s="2">
        <f t="shared" si="0"/>
        <v>46784</v>
      </c>
      <c r="BF1" s="2">
        <f t="shared" si="0"/>
        <v>46813</v>
      </c>
      <c r="BG1" s="2">
        <f t="shared" si="0"/>
        <v>46844</v>
      </c>
      <c r="BH1" s="2">
        <f t="shared" si="0"/>
        <v>46874</v>
      </c>
      <c r="BI1" s="2">
        <f t="shared" si="0"/>
        <v>46905</v>
      </c>
      <c r="BJ1" s="2">
        <f t="shared" si="0"/>
        <v>46935</v>
      </c>
      <c r="BK1" s="2">
        <f t="shared" si="0"/>
        <v>46966</v>
      </c>
      <c r="BL1" s="2">
        <f t="shared" si="0"/>
        <v>46997</v>
      </c>
      <c r="BM1" s="2">
        <f t="shared" si="0"/>
        <v>47027</v>
      </c>
      <c r="BN1" s="2">
        <f t="shared" si="0"/>
        <v>47058</v>
      </c>
      <c r="BO1" s="2">
        <f t="shared" si="0"/>
        <v>47088</v>
      </c>
    </row>
    <row r="2" spans="2:67">
      <c r="D2" t="s">
        <v>2</v>
      </c>
      <c r="E2" s="9">
        <f>+SUMIFS('Gider Miktar'!N:N,'Gider Miktar'!$B:$B,'Emanet Miktar Dağılım'!$D2,'Gider Miktar'!$F:$F,1001)+SUMIFS('Gider Miktar'!N:N,'Gider Miktar'!$B:$B,'Emanet Miktar Dağılım'!$D2,'Gider Miktar'!$F:$F,1002)+SUMIFS('Gider Miktar'!N:N,'Gider Miktar'!$B:$B,'Emanet Miktar Dağılım'!$D2,'Gider Miktar'!$F:$F,1003)+SUMIFS('Gider Miktar'!N:N,'Gider Miktar'!$B:$B,'Emanet Miktar Dağılım'!$D2,'Gider Miktar'!$F:$F,1004)</f>
        <v>0</v>
      </c>
      <c r="F2" s="9">
        <f>+SUMIFS('Gider Miktar'!O:O,'Gider Miktar'!$B:$B,'Emanet Miktar Dağılım'!$D2,'Gider Miktar'!$F:$F,1001)+SUMIFS('Gider Miktar'!O:O,'Gider Miktar'!$B:$B,'Emanet Miktar Dağılım'!$D2,'Gider Miktar'!$F:$F,1002)+SUMIFS('Gider Miktar'!O:O,'Gider Miktar'!$B:$B,'Emanet Miktar Dağılım'!$D2,'Gider Miktar'!$F:$F,1003)+SUMIFS('Gider Miktar'!O:O,'Gider Miktar'!$B:$B,'Emanet Miktar Dağılım'!$D2,'Gider Miktar'!$F:$F,1004)</f>
        <v>0</v>
      </c>
      <c r="G2" s="9">
        <f>+SUMIFS('Gider Miktar'!P:P,'Gider Miktar'!$B:$B,'Emanet Miktar Dağılım'!$D2,'Gider Miktar'!$F:$F,1001)+SUMIFS('Gider Miktar'!P:P,'Gider Miktar'!$B:$B,'Emanet Miktar Dağılım'!$D2,'Gider Miktar'!$F:$F,1002)+SUMIFS('Gider Miktar'!P:P,'Gider Miktar'!$B:$B,'Emanet Miktar Dağılım'!$D2,'Gider Miktar'!$F:$F,1003)+SUMIFS('Gider Miktar'!P:P,'Gider Miktar'!$B:$B,'Emanet Miktar Dağılım'!$D2,'Gider Miktar'!$F:$F,1004)</f>
        <v>345071.49</v>
      </c>
      <c r="H2" s="9">
        <f>+SUMIFS('Gider Miktar'!Q:Q,'Gider Miktar'!$B:$B,'Emanet Miktar Dağılım'!$D2,'Gider Miktar'!$F:$F,1001)+SUMIFS('Gider Miktar'!Q:Q,'Gider Miktar'!$B:$B,'Emanet Miktar Dağılım'!$D2,'Gider Miktar'!$F:$F,1002)+SUMIFS('Gider Miktar'!Q:Q,'Gider Miktar'!$B:$B,'Emanet Miktar Dağılım'!$D2,'Gider Miktar'!$F:$F,1003)+SUMIFS('Gider Miktar'!Q:Q,'Gider Miktar'!$B:$B,'Emanet Miktar Dağılım'!$D2,'Gider Miktar'!$F:$F,1004)</f>
        <v>469190.93</v>
      </c>
      <c r="I2" s="9">
        <f>+SUMIFS('Gider Miktar'!R:R,'Gider Miktar'!$B:$B,'Emanet Miktar Dağılım'!$D2,'Gider Miktar'!$F:$F,1001)+SUMIFS('Gider Miktar'!R:R,'Gider Miktar'!$B:$B,'Emanet Miktar Dağılım'!$D2,'Gider Miktar'!$F:$F,1002)+SUMIFS('Gider Miktar'!R:R,'Gider Miktar'!$B:$B,'Emanet Miktar Dağılım'!$D2,'Gider Miktar'!$F:$F,1003)+SUMIFS('Gider Miktar'!R:R,'Gider Miktar'!$B:$B,'Emanet Miktar Dağılım'!$D2,'Gider Miktar'!$F:$F,1004)</f>
        <v>775705.79</v>
      </c>
      <c r="J2" s="9">
        <f>+SUMIFS('Gider Miktar'!S:S,'Gider Miktar'!$B:$B,'Emanet Miktar Dağılım'!$D2,'Gider Miktar'!$F:$F,1001)+SUMIFS('Gider Miktar'!S:S,'Gider Miktar'!$B:$B,'Emanet Miktar Dağılım'!$D2,'Gider Miktar'!$F:$F,1002)+SUMIFS('Gider Miktar'!S:S,'Gider Miktar'!$B:$B,'Emanet Miktar Dağılım'!$D2,'Gider Miktar'!$F:$F,1003)+SUMIFS('Gider Miktar'!S:S,'Gider Miktar'!$B:$B,'Emanet Miktar Dağılım'!$D2,'Gider Miktar'!$F:$F,1004)</f>
        <v>1176977.94</v>
      </c>
      <c r="K2" s="9">
        <f>+SUMIFS('Gider Miktar'!T:T,'Gider Miktar'!$B:$B,'Emanet Miktar Dağılım'!$D2,'Gider Miktar'!$F:$F,1001)+SUMIFS('Gider Miktar'!T:T,'Gider Miktar'!$B:$B,'Emanet Miktar Dağılım'!$D2,'Gider Miktar'!$F:$F,1002)+SUMIFS('Gider Miktar'!T:T,'Gider Miktar'!$B:$B,'Emanet Miktar Dağılım'!$D2,'Gider Miktar'!$F:$F,1003)+SUMIFS('Gider Miktar'!T:T,'Gider Miktar'!$B:$B,'Emanet Miktar Dağılım'!$D2,'Gider Miktar'!$F:$F,1004)</f>
        <v>1066585.3280000002</v>
      </c>
      <c r="L2" s="9">
        <f>+SUMIFS('Gider Miktar'!U:U,'Gider Miktar'!$B:$B,'Emanet Miktar Dağılım'!$D2,'Gider Miktar'!$F:$F,1001)+SUMIFS('Gider Miktar'!U:U,'Gider Miktar'!$B:$B,'Emanet Miktar Dağılım'!$D2,'Gider Miktar'!$F:$F,1002)+SUMIFS('Gider Miktar'!U:U,'Gider Miktar'!$B:$B,'Emanet Miktar Dağılım'!$D2,'Gider Miktar'!$F:$F,1003)+SUMIFS('Gider Miktar'!U:U,'Gider Miktar'!$B:$B,'Emanet Miktar Dağılım'!$D2,'Gider Miktar'!$F:$F,1004)</f>
        <v>1014364.7569999999</v>
      </c>
      <c r="M2" s="9">
        <f>+SUMIFS('Gider Miktar'!V:V,'Gider Miktar'!$B:$B,'Emanet Miktar Dağılım'!$D2,'Gider Miktar'!$F:$F,1001)+SUMIFS('Gider Miktar'!V:V,'Gider Miktar'!$B:$B,'Emanet Miktar Dağılım'!$D2,'Gider Miktar'!$F:$F,1002)+SUMIFS('Gider Miktar'!V:V,'Gider Miktar'!$B:$B,'Emanet Miktar Dağılım'!$D2,'Gider Miktar'!$F:$F,1003)+SUMIFS('Gider Miktar'!V:V,'Gider Miktar'!$B:$B,'Emanet Miktar Dağılım'!$D2,'Gider Miktar'!$F:$F,1004)</f>
        <v>834125.94599999953</v>
      </c>
      <c r="N2" s="11">
        <f>+SUMIFS('Gider Miktar'!W:W,'Gider Miktar'!$B:$B,'Emanet Miktar Dağılım'!$D2,'Gider Miktar'!$F:$F,1001)+SUMIFS('Gider Miktar'!W:W,'Gider Miktar'!$B:$B,'Emanet Miktar Dağılım'!$D2,'Gider Miktar'!$F:$F,1002)+SUMIFS('Gider Miktar'!W:W,'Gider Miktar'!$B:$B,'Emanet Miktar Dağılım'!$D2,'Gider Miktar'!$F:$F,1003)+SUMIFS('Gider Miktar'!W:W,'Gider Miktar'!$B:$B,'Emanet Miktar Dağılım'!$D2,'Gider Miktar'!$F:$F,1004)</f>
        <v>748536.64400000055</v>
      </c>
      <c r="O2" s="9">
        <f>+SUMIFS('Gider Miktar'!X:X,'Gider Miktar'!$B:$B,'Emanet Miktar Dağılım'!$D2,'Gider Miktar'!$F:$F,1001)+SUMIFS('Gider Miktar'!X:X,'Gider Miktar'!$B:$B,'Emanet Miktar Dağılım'!$D2,'Gider Miktar'!$F:$F,1002)+SUMIFS('Gider Miktar'!X:X,'Gider Miktar'!$B:$B,'Emanet Miktar Dağılım'!$D2,'Gider Miktar'!$F:$F,1003)+SUMIFS('Gider Miktar'!X:X,'Gider Miktar'!$B:$B,'Emanet Miktar Dağılım'!$D2,'Gider Miktar'!$F:$F,1004)</f>
        <v>249677.66417079701</v>
      </c>
      <c r="P2" s="9">
        <f>+SUMIFS('Gider Miktar'!Y:Y,'Gider Miktar'!$B:$B,'Emanet Miktar Dağılım'!$D2,'Gider Miktar'!$F:$F,1001)+SUMIFS('Gider Miktar'!Y:Y,'Gider Miktar'!$B:$B,'Emanet Miktar Dağılım'!$D2,'Gider Miktar'!$F:$F,1002)+SUMIFS('Gider Miktar'!Y:Y,'Gider Miktar'!$B:$B,'Emanet Miktar Dağılım'!$D2,'Gider Miktar'!$F:$F,1003)+SUMIFS('Gider Miktar'!Y:Y,'Gider Miktar'!$B:$B,'Emanet Miktar Dağılım'!$D2,'Gider Miktar'!$F:$F,1004)</f>
        <v>225849.34218753458</v>
      </c>
      <c r="Q2" s="9">
        <f>+SUMIFS('Gider Miktar'!Z:Z,'Gider Miktar'!$B:$B,'Emanet Miktar Dağılım'!$D2,'Gider Miktar'!$F:$F,1001)+SUMIFS('Gider Miktar'!Z:Z,'Gider Miktar'!$B:$B,'Emanet Miktar Dağılım'!$D2,'Gider Miktar'!$F:$F,1002)+SUMIFS('Gider Miktar'!Z:Z,'Gider Miktar'!$B:$B,'Emanet Miktar Dağılım'!$D2,'Gider Miktar'!$F:$F,1003)+SUMIFS('Gider Miktar'!Z:Z,'Gider Miktar'!$B:$B,'Emanet Miktar Dağılım'!$D2,'Gider Miktar'!$F:$F,1004)</f>
        <v>182622.36464780007</v>
      </c>
      <c r="R2" s="9">
        <f>+SUMIFS('Gider Miktar'!AA:AA,'Gider Miktar'!$B:$B,'Emanet Miktar Dağılım'!$D2,'Gider Miktar'!$F:$F,1001)+SUMIFS('Gider Miktar'!AA:AA,'Gider Miktar'!$B:$B,'Emanet Miktar Dağılım'!$D2,'Gider Miktar'!$F:$F,1002)+SUMIFS('Gider Miktar'!AA:AA,'Gider Miktar'!$B:$B,'Emanet Miktar Dağılım'!$D2,'Gider Miktar'!$F:$F,1003)+SUMIFS('Gider Miktar'!AA:AA,'Gider Miktar'!$B:$B,'Emanet Miktar Dağılım'!$D2,'Gider Miktar'!$F:$F,1004)</f>
        <v>128600.3866386919</v>
      </c>
      <c r="S2" s="9">
        <f>+SUMIFS('Gider Miktar'!AB:AB,'Gider Miktar'!$B:$B,'Emanet Miktar Dağılım'!$D2,'Gider Miktar'!$F:$F,1001)+SUMIFS('Gider Miktar'!AB:AB,'Gider Miktar'!$B:$B,'Emanet Miktar Dağılım'!$D2,'Gider Miktar'!$F:$F,1002)+SUMIFS('Gider Miktar'!AB:AB,'Gider Miktar'!$B:$B,'Emanet Miktar Dağılım'!$D2,'Gider Miktar'!$F:$F,1003)+SUMIFS('Gider Miktar'!AB:AB,'Gider Miktar'!$B:$B,'Emanet Miktar Dağılım'!$D2,'Gider Miktar'!$F:$F,1004)</f>
        <v>116097.46631300852</v>
      </c>
      <c r="T2" s="9">
        <f>+SUMIFS('Gider Miktar'!AC:AC,'Gider Miktar'!$B:$B,'Emanet Miktar Dağılım'!$D2,'Gider Miktar'!$F:$F,1001)+SUMIFS('Gider Miktar'!AC:AC,'Gider Miktar'!$B:$B,'Emanet Miktar Dağılım'!$D2,'Gider Miktar'!$F:$F,1002)+SUMIFS('Gider Miktar'!AC:AC,'Gider Miktar'!$B:$B,'Emanet Miktar Dağılım'!$D2,'Gider Miktar'!$F:$F,1003)+SUMIFS('Gider Miktar'!AC:AC,'Gider Miktar'!$B:$B,'Emanet Miktar Dağılım'!$D2,'Gider Miktar'!$F:$F,1004)</f>
        <v>157777.62819363989</v>
      </c>
      <c r="U2" s="9">
        <f>+SUMIFS('Gider Miktar'!AD:AD,'Gider Miktar'!$B:$B,'Emanet Miktar Dağılım'!$D2,'Gider Miktar'!$F:$F,1001)+SUMIFS('Gider Miktar'!AD:AD,'Gider Miktar'!$B:$B,'Emanet Miktar Dağılım'!$D2,'Gider Miktar'!$F:$F,1002)+SUMIFS('Gider Miktar'!AD:AD,'Gider Miktar'!$B:$B,'Emanet Miktar Dağılım'!$D2,'Gider Miktar'!$F:$F,1003)+SUMIFS('Gider Miktar'!AD:AD,'Gider Miktar'!$B:$B,'Emanet Miktar Dağılım'!$D2,'Gider Miktar'!$F:$F,1004)</f>
        <v>359322.12310857157</v>
      </c>
      <c r="V2" s="9">
        <f>+SUMIFS('Gider Miktar'!AE:AE,'Gider Miktar'!$B:$B,'Emanet Miktar Dağılım'!$D2,'Gider Miktar'!$F:$F,1001)+SUMIFS('Gider Miktar'!AE:AE,'Gider Miktar'!$B:$B,'Emanet Miktar Dağılım'!$D2,'Gider Miktar'!$F:$F,1002)+SUMIFS('Gider Miktar'!AE:AE,'Gider Miktar'!$B:$B,'Emanet Miktar Dağılım'!$D2,'Gider Miktar'!$F:$F,1003)+SUMIFS('Gider Miktar'!AE:AE,'Gider Miktar'!$B:$B,'Emanet Miktar Dağılım'!$D2,'Gider Miktar'!$F:$F,1004)</f>
        <v>481952.83540276473</v>
      </c>
      <c r="W2" s="9">
        <f>+SUMIFS('Gider Miktar'!AF:AF,'Gider Miktar'!$B:$B,'Emanet Miktar Dağılım'!$D2,'Gider Miktar'!$F:$F,1001)+SUMIFS('Gider Miktar'!AF:AF,'Gider Miktar'!$B:$B,'Emanet Miktar Dağılım'!$D2,'Gider Miktar'!$F:$F,1002)+SUMIFS('Gider Miktar'!AF:AF,'Gider Miktar'!$B:$B,'Emanet Miktar Dağılım'!$D2,'Gider Miktar'!$F:$F,1003)+SUMIFS('Gider Miktar'!AF:AF,'Gider Miktar'!$B:$B,'Emanet Miktar Dağılım'!$D2,'Gider Miktar'!$F:$F,1004)</f>
        <v>481474.66030342691</v>
      </c>
      <c r="X2" s="9">
        <f>+SUMIFS('Gider Miktar'!AG:AG,'Gider Miktar'!$B:$B,'Emanet Miktar Dağılım'!$D2,'Gider Miktar'!$F:$F,1001)+SUMIFS('Gider Miktar'!AG:AG,'Gider Miktar'!$B:$B,'Emanet Miktar Dağılım'!$D2,'Gider Miktar'!$F:$F,1002)+SUMIFS('Gider Miktar'!AG:AG,'Gider Miktar'!$B:$B,'Emanet Miktar Dağılım'!$D2,'Gider Miktar'!$F:$F,1003)+SUMIFS('Gider Miktar'!AG:AG,'Gider Miktar'!$B:$B,'Emanet Miktar Dağılım'!$D2,'Gider Miktar'!$F:$F,1004)</f>
        <v>481952.83540276473</v>
      </c>
      <c r="Y2" s="9">
        <f>+SUMIFS('Gider Miktar'!AH:AH,'Gider Miktar'!$B:$B,'Emanet Miktar Dağılım'!$D2,'Gider Miktar'!$F:$F,1001)+SUMIFS('Gider Miktar'!AH:AH,'Gider Miktar'!$B:$B,'Emanet Miktar Dağılım'!$D2,'Gider Miktar'!$F:$F,1002)+SUMIFS('Gider Miktar'!AH:AH,'Gider Miktar'!$B:$B,'Emanet Miktar Dağılım'!$D2,'Gider Miktar'!$F:$F,1003)+SUMIFS('Gider Miktar'!AH:AH,'Gider Miktar'!$B:$B,'Emanet Miktar Dağılım'!$D2,'Gider Miktar'!$F:$F,1004)</f>
        <v>491957.37447478506</v>
      </c>
      <c r="Z2" s="9">
        <f>+SUMIFS('Gider Miktar'!AI:AI,'Gider Miktar'!$B:$B,'Emanet Miktar Dağılım'!$D2,'Gider Miktar'!$F:$F,1001)+SUMIFS('Gider Miktar'!AI:AI,'Gider Miktar'!$B:$B,'Emanet Miktar Dağılım'!$D2,'Gider Miktar'!$F:$F,1002)+SUMIFS('Gider Miktar'!AI:AI,'Gider Miktar'!$B:$B,'Emanet Miktar Dağılım'!$D2,'Gider Miktar'!$F:$F,1003)+SUMIFS('Gider Miktar'!AI:AI,'Gider Miktar'!$B:$B,'Emanet Miktar Dağılım'!$D2,'Gider Miktar'!$F:$F,1004)</f>
        <v>492435.54957412276</v>
      </c>
      <c r="AA2" s="9">
        <f>+SUMIFS('Gider Miktar'!AJ:AJ,'Gider Miktar'!$B:$B,'Emanet Miktar Dağılım'!$D2,'Gider Miktar'!$F:$F,1001)+SUMIFS('Gider Miktar'!AJ:AJ,'Gider Miktar'!$B:$B,'Emanet Miktar Dağılım'!$D2,'Gider Miktar'!$F:$F,1002)+SUMIFS('Gider Miktar'!AJ:AJ,'Gider Miktar'!$B:$B,'Emanet Miktar Dağılım'!$D2,'Gider Miktar'!$F:$F,1003)+SUMIFS('Gider Miktar'!AJ:AJ,'Gider Miktar'!$B:$B,'Emanet Miktar Dağılım'!$D2,'Gider Miktar'!$F:$F,1004)</f>
        <v>492435.54957412276</v>
      </c>
      <c r="AB2" s="9">
        <f>+SUMIFS('Gider Miktar'!AK:AK,'Gider Miktar'!$B:$B,'Emanet Miktar Dağılım'!$D2,'Gider Miktar'!$F:$F,1001)+SUMIFS('Gider Miktar'!AK:AK,'Gider Miktar'!$B:$B,'Emanet Miktar Dağılım'!$D2,'Gider Miktar'!$F:$F,1002)+SUMIFS('Gider Miktar'!AK:AK,'Gider Miktar'!$B:$B,'Emanet Miktar Dağılım'!$D2,'Gider Miktar'!$F:$F,1003)+SUMIFS('Gider Miktar'!AK:AK,'Gider Miktar'!$B:$B,'Emanet Miktar Dağılım'!$D2,'Gider Miktar'!$F:$F,1004)</f>
        <v>492435.54957412276</v>
      </c>
      <c r="AC2" s="9">
        <f>+SUMIFS('Gider Miktar'!AL:AL,'Gider Miktar'!$B:$B,'Emanet Miktar Dağılım'!$D2,'Gider Miktar'!$F:$F,1001)+SUMIFS('Gider Miktar'!AL:AL,'Gider Miktar'!$B:$B,'Emanet Miktar Dağılım'!$D2,'Gider Miktar'!$F:$F,1002)+SUMIFS('Gider Miktar'!AL:AL,'Gider Miktar'!$B:$B,'Emanet Miktar Dağılım'!$D2,'Gider Miktar'!$F:$F,1003)+SUMIFS('Gider Miktar'!AL:AL,'Gider Miktar'!$B:$B,'Emanet Miktar Dağılım'!$D2,'Gider Miktar'!$F:$F,1004)</f>
        <v>492435.54957412276</v>
      </c>
      <c r="AD2" s="9">
        <f>+SUMIFS('Gider Miktar'!AM:AM,'Gider Miktar'!$B:$B,'Emanet Miktar Dağılım'!$D2,'Gider Miktar'!$F:$F,1001)+SUMIFS('Gider Miktar'!AM:AM,'Gider Miktar'!$B:$B,'Emanet Miktar Dağılım'!$D2,'Gider Miktar'!$F:$F,1002)+SUMIFS('Gider Miktar'!AM:AM,'Gider Miktar'!$B:$B,'Emanet Miktar Dağılım'!$D2,'Gider Miktar'!$F:$F,1003)+SUMIFS('Gider Miktar'!AM:AM,'Gider Miktar'!$B:$B,'Emanet Miktar Dağılım'!$D2,'Gider Miktar'!$F:$F,1004)</f>
        <v>338356.69476585544</v>
      </c>
      <c r="AE2" s="9">
        <f>+SUMIFS('Gider Miktar'!AN:AN,'Gider Miktar'!$B:$B,'Emanet Miktar Dağılım'!$D2,'Gider Miktar'!$F:$F,1001)+SUMIFS('Gider Miktar'!AN:AN,'Gider Miktar'!$B:$B,'Emanet Miktar Dağılım'!$D2,'Gider Miktar'!$F:$F,1002)+SUMIFS('Gider Miktar'!AN:AN,'Gider Miktar'!$B:$B,'Emanet Miktar Dağılım'!$D2,'Gider Miktar'!$F:$F,1003)+SUMIFS('Gider Miktar'!AN:AN,'Gider Miktar'!$B:$B,'Emanet Miktar Dağılım'!$D2,'Gider Miktar'!$F:$F,1004)</f>
        <v>226208.69664302072</v>
      </c>
      <c r="AF2" s="9">
        <f>+SUMIFS('Gider Miktar'!AO:AO,'Gider Miktar'!$B:$B,'Emanet Miktar Dağılım'!$D2,'Gider Miktar'!$F:$F,1001)+SUMIFS('Gider Miktar'!AO:AO,'Gider Miktar'!$B:$B,'Emanet Miktar Dağılım'!$D2,'Gider Miktar'!$F:$F,1002)+SUMIFS('Gider Miktar'!AO:AO,'Gider Miktar'!$B:$B,'Emanet Miktar Dağılım'!$D2,'Gider Miktar'!$F:$F,1003)+SUMIFS('Gider Miktar'!AO:AO,'Gider Miktar'!$B:$B,'Emanet Miktar Dağılım'!$D2,'Gider Miktar'!$F:$F,1004)</f>
        <v>226208.69664302072</v>
      </c>
      <c r="AG2" s="9">
        <f>+SUMIFS('Gider Miktar'!AP:AP,'Gider Miktar'!$B:$B,'Emanet Miktar Dağılım'!$D2,'Gider Miktar'!$F:$F,1001)+SUMIFS('Gider Miktar'!AP:AP,'Gider Miktar'!$B:$B,'Emanet Miktar Dağılım'!$D2,'Gider Miktar'!$F:$F,1002)+SUMIFS('Gider Miktar'!AP:AP,'Gider Miktar'!$B:$B,'Emanet Miktar Dağılım'!$D2,'Gider Miktar'!$F:$F,1003)+SUMIFS('Gider Miktar'!AP:AP,'Gider Miktar'!$B:$B,'Emanet Miktar Dağılım'!$D2,'Gider Miktar'!$F:$F,1004)</f>
        <v>338356.69476585544</v>
      </c>
      <c r="AH2" s="9">
        <f>+SUMIFS('Gider Miktar'!AQ:AQ,'Gider Miktar'!$B:$B,'Emanet Miktar Dağılım'!$D2,'Gider Miktar'!$F:$F,1001)+SUMIFS('Gider Miktar'!AQ:AQ,'Gider Miktar'!$B:$B,'Emanet Miktar Dağılım'!$D2,'Gider Miktar'!$F:$F,1002)+SUMIFS('Gider Miktar'!AQ:AQ,'Gider Miktar'!$B:$B,'Emanet Miktar Dağılım'!$D2,'Gider Miktar'!$F:$F,1003)+SUMIFS('Gider Miktar'!AQ:AQ,'Gider Miktar'!$B:$B,'Emanet Miktar Dağılım'!$D2,'Gider Miktar'!$F:$F,1004)</f>
        <v>450026.5177893528</v>
      </c>
      <c r="AI2" s="9">
        <f>+SUMIFS('Gider Miktar'!AR:AR,'Gider Miktar'!$B:$B,'Emanet Miktar Dağılım'!$D2,'Gider Miktar'!$F:$F,1001)+SUMIFS('Gider Miktar'!AR:AR,'Gider Miktar'!$B:$B,'Emanet Miktar Dağılım'!$D2,'Gider Miktar'!$F:$F,1002)+SUMIFS('Gider Miktar'!AR:AR,'Gider Miktar'!$B:$B,'Emanet Miktar Dağılım'!$D2,'Gider Miktar'!$F:$F,1003)+SUMIFS('Gider Miktar'!AR:AR,'Gider Miktar'!$B:$B,'Emanet Miktar Dağılım'!$D2,'Gider Miktar'!$F:$F,1004)</f>
        <v>471252.76891352586</v>
      </c>
      <c r="AJ2" s="9">
        <f>+SUMIFS('Gider Miktar'!AS:AS,'Gider Miktar'!$B:$B,'Emanet Miktar Dağılım'!$D2,'Gider Miktar'!$F:$F,1001)+SUMIFS('Gider Miktar'!AS:AS,'Gider Miktar'!$B:$B,'Emanet Miktar Dağılım'!$D2,'Gider Miktar'!$F:$F,1002)+SUMIFS('Gider Miktar'!AS:AS,'Gider Miktar'!$B:$B,'Emanet Miktar Dağılım'!$D2,'Gider Miktar'!$F:$F,1003)+SUMIFS('Gider Miktar'!AS:AS,'Gider Miktar'!$B:$B,'Emanet Miktar Dağılım'!$D2,'Gider Miktar'!$F:$F,1004)</f>
        <v>470600.71195988351</v>
      </c>
      <c r="AK2" s="9">
        <f>+SUMIFS('Gider Miktar'!AT:AT,'Gider Miktar'!$B:$B,'Emanet Miktar Dağılım'!$D2,'Gider Miktar'!$F:$F,1001)+SUMIFS('Gider Miktar'!AT:AT,'Gider Miktar'!$B:$B,'Emanet Miktar Dağılım'!$D2,'Gider Miktar'!$F:$F,1002)+SUMIFS('Gider Miktar'!AT:AT,'Gider Miktar'!$B:$B,'Emanet Miktar Dağılım'!$D2,'Gider Miktar'!$F:$F,1003)+SUMIFS('Gider Miktar'!AT:AT,'Gider Miktar'!$B:$B,'Emanet Miktar Dağılım'!$D2,'Gider Miktar'!$F:$F,1004)</f>
        <v>470339.88917842659</v>
      </c>
      <c r="AL2" s="9">
        <f>+SUMIFS('Gider Miktar'!AU:AU,'Gider Miktar'!$B:$B,'Emanet Miktar Dağılım'!$D2,'Gider Miktar'!$F:$F,1001)+SUMIFS('Gider Miktar'!AU:AU,'Gider Miktar'!$B:$B,'Emanet Miktar Dağılım'!$D2,'Gider Miktar'!$F:$F,1002)+SUMIFS('Gider Miktar'!AU:AU,'Gider Miktar'!$B:$B,'Emanet Miktar Dağılım'!$D2,'Gider Miktar'!$F:$F,1003)+SUMIFS('Gider Miktar'!AU:AU,'Gider Miktar'!$B:$B,'Emanet Miktar Dağılım'!$D2,'Gider Miktar'!$F:$F,1004)</f>
        <v>470600.71195988351</v>
      </c>
      <c r="AM2" s="9">
        <f>+SUMIFS('Gider Miktar'!AV:AV,'Gider Miktar'!$B:$B,'Emanet Miktar Dağılım'!$D2,'Gider Miktar'!$F:$F,1001)+SUMIFS('Gider Miktar'!AV:AV,'Gider Miktar'!$B:$B,'Emanet Miktar Dağılım'!$D2,'Gider Miktar'!$F:$F,1002)+SUMIFS('Gider Miktar'!AV:AV,'Gider Miktar'!$B:$B,'Emanet Miktar Dağılım'!$D2,'Gider Miktar'!$F:$F,1003)+SUMIFS('Gider Miktar'!AV:AV,'Gider Miktar'!$B:$B,'Emanet Miktar Dağılım'!$D2,'Gider Miktar'!$F:$F,1004)</f>
        <v>460117.99778852542</v>
      </c>
      <c r="AN2" s="9">
        <f>+SUMIFS('Gider Miktar'!AW:AW,'Gider Miktar'!$B:$B,'Emanet Miktar Dağılım'!$D2,'Gider Miktar'!$F:$F,1001)+SUMIFS('Gider Miktar'!AW:AW,'Gider Miktar'!$B:$B,'Emanet Miktar Dağılım'!$D2,'Gider Miktar'!$F:$F,1002)+SUMIFS('Gider Miktar'!AW:AW,'Gider Miktar'!$B:$B,'Emanet Miktar Dağılım'!$D2,'Gider Miktar'!$F:$F,1003)+SUMIFS('Gider Miktar'!AW:AW,'Gider Miktar'!$B:$B,'Emanet Miktar Dağılım'!$D2,'Gider Miktar'!$F:$F,1004)</f>
        <v>453463.9901411141</v>
      </c>
      <c r="AO2" s="9">
        <f>+SUMIFS('Gider Miktar'!AX:AX,'Gider Miktar'!$B:$B,'Emanet Miktar Dağılım'!$D2,'Gider Miktar'!$F:$F,1001)+SUMIFS('Gider Miktar'!AX:AX,'Gider Miktar'!$B:$B,'Emanet Miktar Dağılım'!$D2,'Gider Miktar'!$F:$F,1002)+SUMIFS('Gider Miktar'!AX:AX,'Gider Miktar'!$B:$B,'Emanet Miktar Dağılım'!$D2,'Gider Miktar'!$F:$F,1003)+SUMIFS('Gider Miktar'!AX:AX,'Gider Miktar'!$B:$B,'Emanet Miktar Dağılım'!$D2,'Gider Miktar'!$F:$F,1004)</f>
        <v>1043.291125827817</v>
      </c>
      <c r="AP2" s="9">
        <f>+SUMIFS('Gider Miktar'!AY:AY,'Gider Miktar'!$B:$B,'Emanet Miktar Dağılım'!$D2,'Gider Miktar'!$F:$F,1001)+SUMIFS('Gider Miktar'!AY:AY,'Gider Miktar'!$B:$B,'Emanet Miktar Dağılım'!$D2,'Gider Miktar'!$F:$F,1002)+SUMIFS('Gider Miktar'!AY:AY,'Gider Miktar'!$B:$B,'Emanet Miktar Dağılım'!$D2,'Gider Miktar'!$F:$F,1003)+SUMIFS('Gider Miktar'!AY:AY,'Gider Miktar'!$B:$B,'Emanet Miktar Dağılım'!$D2,'Gider Miktar'!$F:$F,1004)</f>
        <v>673.79218543046159</v>
      </c>
      <c r="AQ2" s="9">
        <f>+SUMIFS('Gider Miktar'!AZ:AZ,'Gider Miktar'!$B:$B,'Emanet Miktar Dağılım'!$D2,'Gider Miktar'!$F:$F,1001)+SUMIFS('Gider Miktar'!AZ:AZ,'Gider Miktar'!$B:$B,'Emanet Miktar Dağılım'!$D2,'Gider Miktar'!$F:$F,1002)+SUMIFS('Gider Miktar'!AZ:AZ,'Gider Miktar'!$B:$B,'Emanet Miktar Dağılım'!$D2,'Gider Miktar'!$F:$F,1003)+SUMIFS('Gider Miktar'!AZ:AZ,'Gider Miktar'!$B:$B,'Emanet Miktar Dağılım'!$D2,'Gider Miktar'!$F:$F,1004)</f>
        <v>0</v>
      </c>
      <c r="AR2" s="9">
        <f>+SUMIFS('Gider Miktar'!BA:BA,'Gider Miktar'!$B:$B,'Emanet Miktar Dağılım'!$D2,'Gider Miktar'!$F:$F,1001)+SUMIFS('Gider Miktar'!BA:BA,'Gider Miktar'!$B:$B,'Emanet Miktar Dağılım'!$D2,'Gider Miktar'!$F:$F,1002)+SUMIFS('Gider Miktar'!BA:BA,'Gider Miktar'!$B:$B,'Emanet Miktar Dağılım'!$D2,'Gider Miktar'!$F:$F,1003)+SUMIFS('Gider Miktar'!BA:BA,'Gider Miktar'!$B:$B,'Emanet Miktar Dağılım'!$D2,'Gider Miktar'!$F:$F,1004)</f>
        <v>0</v>
      </c>
      <c r="AS2" s="9">
        <f>+SUMIFS('Gider Miktar'!BB:BB,'Gider Miktar'!$B:$B,'Emanet Miktar Dağılım'!$D2,'Gider Miktar'!$F:$F,1001)+SUMIFS('Gider Miktar'!BB:BB,'Gider Miktar'!$B:$B,'Emanet Miktar Dağılım'!$D2,'Gider Miktar'!$F:$F,1002)+SUMIFS('Gider Miktar'!BB:BB,'Gider Miktar'!$B:$B,'Emanet Miktar Dağılım'!$D2,'Gider Miktar'!$F:$F,1003)+SUMIFS('Gider Miktar'!BB:BB,'Gider Miktar'!$B:$B,'Emanet Miktar Dağılım'!$D2,'Gider Miktar'!$F:$F,1004)</f>
        <v>0</v>
      </c>
      <c r="AT2" s="9">
        <f>+SUMIFS('Gider Miktar'!BC:BC,'Gider Miktar'!$B:$B,'Emanet Miktar Dağılım'!$D2,'Gider Miktar'!$F:$F,1001)+SUMIFS('Gider Miktar'!BC:BC,'Gider Miktar'!$B:$B,'Emanet Miktar Dağılım'!$D2,'Gider Miktar'!$F:$F,1002)+SUMIFS('Gider Miktar'!BC:BC,'Gider Miktar'!$B:$B,'Emanet Miktar Dağılım'!$D2,'Gider Miktar'!$F:$F,1003)+SUMIFS('Gider Miktar'!BC:BC,'Gider Miktar'!$B:$B,'Emanet Miktar Dağılım'!$D2,'Gider Miktar'!$F:$F,1004)</f>
        <v>0</v>
      </c>
      <c r="AU2" s="9">
        <f>+SUMIFS('Gider Miktar'!BD:BD,'Gider Miktar'!$B:$B,'Emanet Miktar Dağılım'!$D2,'Gider Miktar'!$F:$F,1001)+SUMIFS('Gider Miktar'!BD:BD,'Gider Miktar'!$B:$B,'Emanet Miktar Dağılım'!$D2,'Gider Miktar'!$F:$F,1002)+SUMIFS('Gider Miktar'!BD:BD,'Gider Miktar'!$B:$B,'Emanet Miktar Dağılım'!$D2,'Gider Miktar'!$F:$F,1003)+SUMIFS('Gider Miktar'!BD:BD,'Gider Miktar'!$B:$B,'Emanet Miktar Dağılım'!$D2,'Gider Miktar'!$F:$F,1004)</f>
        <v>0</v>
      </c>
      <c r="AV2" s="9">
        <f>+SUMIFS('Gider Miktar'!BE:BE,'Gider Miktar'!$B:$B,'Emanet Miktar Dağılım'!$D2,'Gider Miktar'!$F:$F,1001)+SUMIFS('Gider Miktar'!BE:BE,'Gider Miktar'!$B:$B,'Emanet Miktar Dağılım'!$D2,'Gider Miktar'!$F:$F,1002)+SUMIFS('Gider Miktar'!BE:BE,'Gider Miktar'!$B:$B,'Emanet Miktar Dağılım'!$D2,'Gider Miktar'!$F:$F,1003)+SUMIFS('Gider Miktar'!BE:BE,'Gider Miktar'!$B:$B,'Emanet Miktar Dağılım'!$D2,'Gider Miktar'!$F:$F,1004)</f>
        <v>0</v>
      </c>
      <c r="AW2" s="9">
        <f>+SUMIFS('Gider Miktar'!BF:BF,'Gider Miktar'!$B:$B,'Emanet Miktar Dağılım'!$D2,'Gider Miktar'!$F:$F,1001)+SUMIFS('Gider Miktar'!BF:BF,'Gider Miktar'!$B:$B,'Emanet Miktar Dağılım'!$D2,'Gider Miktar'!$F:$F,1002)+SUMIFS('Gider Miktar'!BF:BF,'Gider Miktar'!$B:$B,'Emanet Miktar Dağılım'!$D2,'Gider Miktar'!$F:$F,1003)+SUMIFS('Gider Miktar'!BF:BF,'Gider Miktar'!$B:$B,'Emanet Miktar Dağılım'!$D2,'Gider Miktar'!$F:$F,1004)</f>
        <v>0</v>
      </c>
      <c r="AX2" s="9">
        <f>+SUMIFS('Gider Miktar'!BG:BG,'Gider Miktar'!$B:$B,'Emanet Miktar Dağılım'!$D2,'Gider Miktar'!$F:$F,1001)+SUMIFS('Gider Miktar'!BG:BG,'Gider Miktar'!$B:$B,'Emanet Miktar Dağılım'!$D2,'Gider Miktar'!$F:$F,1002)+SUMIFS('Gider Miktar'!BG:BG,'Gider Miktar'!$B:$B,'Emanet Miktar Dağılım'!$D2,'Gider Miktar'!$F:$F,1003)+SUMIFS('Gider Miktar'!BG:BG,'Gider Miktar'!$B:$B,'Emanet Miktar Dağılım'!$D2,'Gider Miktar'!$F:$F,1004)</f>
        <v>0</v>
      </c>
      <c r="AY2" s="9">
        <f>+SUMIFS('Gider Miktar'!BH:BH,'Gider Miktar'!$B:$B,'Emanet Miktar Dağılım'!$D2,'Gider Miktar'!$F:$F,1001)+SUMIFS('Gider Miktar'!BH:BH,'Gider Miktar'!$B:$B,'Emanet Miktar Dağılım'!$D2,'Gider Miktar'!$F:$F,1002)+SUMIFS('Gider Miktar'!BH:BH,'Gider Miktar'!$B:$B,'Emanet Miktar Dağılım'!$D2,'Gider Miktar'!$F:$F,1003)+SUMIFS('Gider Miktar'!BH:BH,'Gider Miktar'!$B:$B,'Emanet Miktar Dağılım'!$D2,'Gider Miktar'!$F:$F,1004)</f>
        <v>0</v>
      </c>
      <c r="AZ2" s="9">
        <f>+SUMIFS('Gider Miktar'!BI:BI,'Gider Miktar'!$B:$B,'Emanet Miktar Dağılım'!$D2,'Gider Miktar'!$F:$F,1001)+SUMIFS('Gider Miktar'!BI:BI,'Gider Miktar'!$B:$B,'Emanet Miktar Dağılım'!$D2,'Gider Miktar'!$F:$F,1002)+SUMIFS('Gider Miktar'!BI:BI,'Gider Miktar'!$B:$B,'Emanet Miktar Dağılım'!$D2,'Gider Miktar'!$F:$F,1003)+SUMIFS('Gider Miktar'!BI:BI,'Gider Miktar'!$B:$B,'Emanet Miktar Dağılım'!$D2,'Gider Miktar'!$F:$F,1004)</f>
        <v>0</v>
      </c>
      <c r="BA2" s="9">
        <f>+SUMIFS('Gider Miktar'!BJ:BJ,'Gider Miktar'!$B:$B,'Emanet Miktar Dağılım'!$D2,'Gider Miktar'!$F:$F,1001)+SUMIFS('Gider Miktar'!BJ:BJ,'Gider Miktar'!$B:$B,'Emanet Miktar Dağılım'!$D2,'Gider Miktar'!$F:$F,1002)+SUMIFS('Gider Miktar'!BJ:BJ,'Gider Miktar'!$B:$B,'Emanet Miktar Dağılım'!$D2,'Gider Miktar'!$F:$F,1003)+SUMIFS('Gider Miktar'!BJ:BJ,'Gider Miktar'!$B:$B,'Emanet Miktar Dağılım'!$D2,'Gider Miktar'!$F:$F,1004)</f>
        <v>0</v>
      </c>
      <c r="BB2" s="9">
        <f>+SUMIFS('Gider Miktar'!BK:BK,'Gider Miktar'!$B:$B,'Emanet Miktar Dağılım'!$D2,'Gider Miktar'!$F:$F,1001)+SUMIFS('Gider Miktar'!BK:BK,'Gider Miktar'!$B:$B,'Emanet Miktar Dağılım'!$D2,'Gider Miktar'!$F:$F,1002)+SUMIFS('Gider Miktar'!BK:BK,'Gider Miktar'!$B:$B,'Emanet Miktar Dağılım'!$D2,'Gider Miktar'!$F:$F,1003)+SUMIFS('Gider Miktar'!BK:BK,'Gider Miktar'!$B:$B,'Emanet Miktar Dağılım'!$D2,'Gider Miktar'!$F:$F,1004)</f>
        <v>0</v>
      </c>
      <c r="BC2" s="9">
        <f>+SUMIFS('Gider Miktar'!BL:BL,'Gider Miktar'!$B:$B,'Emanet Miktar Dağılım'!$D2,'Gider Miktar'!$F:$F,1001)+SUMIFS('Gider Miktar'!BL:BL,'Gider Miktar'!$B:$B,'Emanet Miktar Dağılım'!$D2,'Gider Miktar'!$F:$F,1002)+SUMIFS('Gider Miktar'!BL:BL,'Gider Miktar'!$B:$B,'Emanet Miktar Dağılım'!$D2,'Gider Miktar'!$F:$F,1003)+SUMIFS('Gider Miktar'!BL:BL,'Gider Miktar'!$B:$B,'Emanet Miktar Dağılım'!$D2,'Gider Miktar'!$F:$F,1004)</f>
        <v>0</v>
      </c>
      <c r="BD2" s="9">
        <f>+SUMIFS('Gider Miktar'!BM:BM,'Gider Miktar'!$B:$B,'Emanet Miktar Dağılım'!$D2,'Gider Miktar'!$F:$F,1001)+SUMIFS('Gider Miktar'!BM:BM,'Gider Miktar'!$B:$B,'Emanet Miktar Dağılım'!$D2,'Gider Miktar'!$F:$F,1002)+SUMIFS('Gider Miktar'!BM:BM,'Gider Miktar'!$B:$B,'Emanet Miktar Dağılım'!$D2,'Gider Miktar'!$F:$F,1003)+SUMIFS('Gider Miktar'!BM:BM,'Gider Miktar'!$B:$B,'Emanet Miktar Dağılım'!$D2,'Gider Miktar'!$F:$F,1004)</f>
        <v>0</v>
      </c>
      <c r="BE2" s="9">
        <f>+SUMIFS('Gider Miktar'!BN:BN,'Gider Miktar'!$B:$B,'Emanet Miktar Dağılım'!$D2,'Gider Miktar'!$F:$F,1001)+SUMIFS('Gider Miktar'!BN:BN,'Gider Miktar'!$B:$B,'Emanet Miktar Dağılım'!$D2,'Gider Miktar'!$F:$F,1002)+SUMIFS('Gider Miktar'!BN:BN,'Gider Miktar'!$B:$B,'Emanet Miktar Dağılım'!$D2,'Gider Miktar'!$F:$F,1003)+SUMIFS('Gider Miktar'!BN:BN,'Gider Miktar'!$B:$B,'Emanet Miktar Dağılım'!$D2,'Gider Miktar'!$F:$F,1004)</f>
        <v>0</v>
      </c>
      <c r="BF2" s="9">
        <f>+SUMIFS('Gider Miktar'!BO:BO,'Gider Miktar'!$B:$B,'Emanet Miktar Dağılım'!$D2,'Gider Miktar'!$F:$F,1001)+SUMIFS('Gider Miktar'!BO:BO,'Gider Miktar'!$B:$B,'Emanet Miktar Dağılım'!$D2,'Gider Miktar'!$F:$F,1002)+SUMIFS('Gider Miktar'!BO:BO,'Gider Miktar'!$B:$B,'Emanet Miktar Dağılım'!$D2,'Gider Miktar'!$F:$F,1003)+SUMIFS('Gider Miktar'!BO:BO,'Gider Miktar'!$B:$B,'Emanet Miktar Dağılım'!$D2,'Gider Miktar'!$F:$F,1004)</f>
        <v>0</v>
      </c>
      <c r="BG2" s="9">
        <f>+SUMIFS('Gider Miktar'!BP:BP,'Gider Miktar'!$B:$B,'Emanet Miktar Dağılım'!$D2,'Gider Miktar'!$F:$F,1001)+SUMIFS('Gider Miktar'!BP:BP,'Gider Miktar'!$B:$B,'Emanet Miktar Dağılım'!$D2,'Gider Miktar'!$F:$F,1002)+SUMIFS('Gider Miktar'!BP:BP,'Gider Miktar'!$B:$B,'Emanet Miktar Dağılım'!$D2,'Gider Miktar'!$F:$F,1003)+SUMIFS('Gider Miktar'!BP:BP,'Gider Miktar'!$B:$B,'Emanet Miktar Dağılım'!$D2,'Gider Miktar'!$F:$F,1004)</f>
        <v>0</v>
      </c>
      <c r="BH2" s="9">
        <f>+SUMIFS('Gider Miktar'!BQ:BQ,'Gider Miktar'!$B:$B,'Emanet Miktar Dağılım'!$D2,'Gider Miktar'!$F:$F,1001)+SUMIFS('Gider Miktar'!BQ:BQ,'Gider Miktar'!$B:$B,'Emanet Miktar Dağılım'!$D2,'Gider Miktar'!$F:$F,1002)+SUMIFS('Gider Miktar'!BQ:BQ,'Gider Miktar'!$B:$B,'Emanet Miktar Dağılım'!$D2,'Gider Miktar'!$F:$F,1003)+SUMIFS('Gider Miktar'!BQ:BQ,'Gider Miktar'!$B:$B,'Emanet Miktar Dağılım'!$D2,'Gider Miktar'!$F:$F,1004)</f>
        <v>0</v>
      </c>
      <c r="BI2" s="9">
        <f>+SUMIFS('Gider Miktar'!BR:BR,'Gider Miktar'!$B:$B,'Emanet Miktar Dağılım'!$D2,'Gider Miktar'!$F:$F,1001)+SUMIFS('Gider Miktar'!BR:BR,'Gider Miktar'!$B:$B,'Emanet Miktar Dağılım'!$D2,'Gider Miktar'!$F:$F,1002)+SUMIFS('Gider Miktar'!BR:BR,'Gider Miktar'!$B:$B,'Emanet Miktar Dağılım'!$D2,'Gider Miktar'!$F:$F,1003)+SUMIFS('Gider Miktar'!BR:BR,'Gider Miktar'!$B:$B,'Emanet Miktar Dağılım'!$D2,'Gider Miktar'!$F:$F,1004)</f>
        <v>0</v>
      </c>
      <c r="BJ2" s="9">
        <f>+SUMIFS('Gider Miktar'!BS:BS,'Gider Miktar'!$B:$B,'Emanet Miktar Dağılım'!$D2,'Gider Miktar'!$F:$F,1001)+SUMIFS('Gider Miktar'!BS:BS,'Gider Miktar'!$B:$B,'Emanet Miktar Dağılım'!$D2,'Gider Miktar'!$F:$F,1002)+SUMIFS('Gider Miktar'!BS:BS,'Gider Miktar'!$B:$B,'Emanet Miktar Dağılım'!$D2,'Gider Miktar'!$F:$F,1003)+SUMIFS('Gider Miktar'!BS:BS,'Gider Miktar'!$B:$B,'Emanet Miktar Dağılım'!$D2,'Gider Miktar'!$F:$F,1004)</f>
        <v>0</v>
      </c>
      <c r="BK2" s="9">
        <f>+SUMIFS('Gider Miktar'!BT:BT,'Gider Miktar'!$B:$B,'Emanet Miktar Dağılım'!$D2,'Gider Miktar'!$F:$F,1001)+SUMIFS('Gider Miktar'!BT:BT,'Gider Miktar'!$B:$B,'Emanet Miktar Dağılım'!$D2,'Gider Miktar'!$F:$F,1002)+SUMIFS('Gider Miktar'!BT:BT,'Gider Miktar'!$B:$B,'Emanet Miktar Dağılım'!$D2,'Gider Miktar'!$F:$F,1003)+SUMIFS('Gider Miktar'!BT:BT,'Gider Miktar'!$B:$B,'Emanet Miktar Dağılım'!$D2,'Gider Miktar'!$F:$F,1004)</f>
        <v>0</v>
      </c>
      <c r="BL2" s="9">
        <f>+SUMIFS('Gider Miktar'!BU:BU,'Gider Miktar'!$B:$B,'Emanet Miktar Dağılım'!$D2,'Gider Miktar'!$F:$F,1001)+SUMIFS('Gider Miktar'!BU:BU,'Gider Miktar'!$B:$B,'Emanet Miktar Dağılım'!$D2,'Gider Miktar'!$F:$F,1002)+SUMIFS('Gider Miktar'!BU:BU,'Gider Miktar'!$B:$B,'Emanet Miktar Dağılım'!$D2,'Gider Miktar'!$F:$F,1003)+SUMIFS('Gider Miktar'!BU:BU,'Gider Miktar'!$B:$B,'Emanet Miktar Dağılım'!$D2,'Gider Miktar'!$F:$F,1004)</f>
        <v>0</v>
      </c>
      <c r="BM2" s="9">
        <f>+SUMIFS('Gider Miktar'!BV:BV,'Gider Miktar'!$B:$B,'Emanet Miktar Dağılım'!$D2,'Gider Miktar'!$F:$F,1001)+SUMIFS('Gider Miktar'!BV:BV,'Gider Miktar'!$B:$B,'Emanet Miktar Dağılım'!$D2,'Gider Miktar'!$F:$F,1002)+SUMIFS('Gider Miktar'!BV:BV,'Gider Miktar'!$B:$B,'Emanet Miktar Dağılım'!$D2,'Gider Miktar'!$F:$F,1003)+SUMIFS('Gider Miktar'!BV:BV,'Gider Miktar'!$B:$B,'Emanet Miktar Dağılım'!$D2,'Gider Miktar'!$F:$F,1004)</f>
        <v>0</v>
      </c>
      <c r="BN2" s="9">
        <f>+SUMIFS('Gider Miktar'!BW:BW,'Gider Miktar'!$B:$B,'Emanet Miktar Dağılım'!$D2,'Gider Miktar'!$F:$F,1001)+SUMIFS('Gider Miktar'!BW:BW,'Gider Miktar'!$B:$B,'Emanet Miktar Dağılım'!$D2,'Gider Miktar'!$F:$F,1002)+SUMIFS('Gider Miktar'!BW:BW,'Gider Miktar'!$B:$B,'Emanet Miktar Dağılım'!$D2,'Gider Miktar'!$F:$F,1003)+SUMIFS('Gider Miktar'!BW:BW,'Gider Miktar'!$B:$B,'Emanet Miktar Dağılım'!$D2,'Gider Miktar'!$F:$F,1004)</f>
        <v>0</v>
      </c>
      <c r="BO2" s="9">
        <f>+SUMIFS('Gider Miktar'!BX:BX,'Gider Miktar'!$B:$B,'Emanet Miktar Dağılım'!$D2,'Gider Miktar'!$F:$F,1001)+SUMIFS('Gider Miktar'!BX:BX,'Gider Miktar'!$B:$B,'Emanet Miktar Dağılım'!$D2,'Gider Miktar'!$F:$F,1002)+SUMIFS('Gider Miktar'!BX:BX,'Gider Miktar'!$B:$B,'Emanet Miktar Dağılım'!$D2,'Gider Miktar'!$F:$F,1003)+SUMIFS('Gider Miktar'!BX:BX,'Gider Miktar'!$B:$B,'Emanet Miktar Dağılım'!$D2,'Gider Miktar'!$F:$F,1004)</f>
        <v>0</v>
      </c>
    </row>
    <row r="3" spans="2:67">
      <c r="D3" t="s">
        <v>5</v>
      </c>
      <c r="E3" s="9">
        <f>+SUMIFS('Gider Miktar'!N:N,'Gider Miktar'!$B:$B,'Emanet Miktar Dağılım'!$D3,'Gider Miktar'!$F:$F,1001)+SUMIFS('Gider Miktar'!N:N,'Gider Miktar'!$B:$B,'Emanet Miktar Dağılım'!$D3,'Gider Miktar'!$F:$F,1002)+SUMIFS('Gider Miktar'!N:N,'Gider Miktar'!$B:$B,'Emanet Miktar Dağılım'!$D3,'Gider Miktar'!$F:$F,1003)+SUMIFS('Gider Miktar'!N:N,'Gider Miktar'!$B:$B,'Emanet Miktar Dağılım'!$D3,'Gider Miktar'!$F:$F,1004)</f>
        <v>0</v>
      </c>
      <c r="F3" s="9">
        <f>+SUMIFS('Gider Miktar'!O:O,'Gider Miktar'!$B:$B,'Emanet Miktar Dağılım'!$D3,'Gider Miktar'!$F:$F,1001)+SUMIFS('Gider Miktar'!O:O,'Gider Miktar'!$B:$B,'Emanet Miktar Dağılım'!$D3,'Gider Miktar'!$F:$F,1002)+SUMIFS('Gider Miktar'!O:O,'Gider Miktar'!$B:$B,'Emanet Miktar Dağılım'!$D3,'Gider Miktar'!$F:$F,1003)+SUMIFS('Gider Miktar'!O:O,'Gider Miktar'!$B:$B,'Emanet Miktar Dağılım'!$D3,'Gider Miktar'!$F:$F,1004)</f>
        <v>0</v>
      </c>
      <c r="G3" s="9">
        <f>+SUMIFS('Gider Miktar'!P:P,'Gider Miktar'!$B:$B,'Emanet Miktar Dağılım'!$D3,'Gider Miktar'!$F:$F,1001)+SUMIFS('Gider Miktar'!P:P,'Gider Miktar'!$B:$B,'Emanet Miktar Dağılım'!$D3,'Gider Miktar'!$F:$F,1002)+SUMIFS('Gider Miktar'!P:P,'Gider Miktar'!$B:$B,'Emanet Miktar Dağılım'!$D3,'Gider Miktar'!$F:$F,1003)+SUMIFS('Gider Miktar'!P:P,'Gider Miktar'!$B:$B,'Emanet Miktar Dağılım'!$D3,'Gider Miktar'!$F:$F,1004)</f>
        <v>891.54</v>
      </c>
      <c r="H3" s="9">
        <f>+SUMIFS('Gider Miktar'!Q:Q,'Gider Miktar'!$B:$B,'Emanet Miktar Dağılım'!$D3,'Gider Miktar'!$F:$F,1001)+SUMIFS('Gider Miktar'!Q:Q,'Gider Miktar'!$B:$B,'Emanet Miktar Dağılım'!$D3,'Gider Miktar'!$F:$F,1002)+SUMIFS('Gider Miktar'!Q:Q,'Gider Miktar'!$B:$B,'Emanet Miktar Dağılım'!$D3,'Gider Miktar'!$F:$F,1003)+SUMIFS('Gider Miktar'!Q:Q,'Gider Miktar'!$B:$B,'Emanet Miktar Dağılım'!$D3,'Gider Miktar'!$F:$F,1004)</f>
        <v>1631.98</v>
      </c>
      <c r="I3" s="9">
        <f>+SUMIFS('Gider Miktar'!R:R,'Gider Miktar'!$B:$B,'Emanet Miktar Dağılım'!$D3,'Gider Miktar'!$F:$F,1001)+SUMIFS('Gider Miktar'!R:R,'Gider Miktar'!$B:$B,'Emanet Miktar Dağılım'!$D3,'Gider Miktar'!$F:$F,1002)+SUMIFS('Gider Miktar'!R:R,'Gider Miktar'!$B:$B,'Emanet Miktar Dağılım'!$D3,'Gider Miktar'!$F:$F,1003)+SUMIFS('Gider Miktar'!R:R,'Gider Miktar'!$B:$B,'Emanet Miktar Dağılım'!$D3,'Gider Miktar'!$F:$F,1004)</f>
        <v>856.30000000000018</v>
      </c>
      <c r="J3" s="9">
        <f>+SUMIFS('Gider Miktar'!S:S,'Gider Miktar'!$B:$B,'Emanet Miktar Dağılım'!$D3,'Gider Miktar'!$F:$F,1001)+SUMIFS('Gider Miktar'!S:S,'Gider Miktar'!$B:$B,'Emanet Miktar Dağılım'!$D3,'Gider Miktar'!$F:$F,1002)+SUMIFS('Gider Miktar'!S:S,'Gider Miktar'!$B:$B,'Emanet Miktar Dağılım'!$D3,'Gider Miktar'!$F:$F,1003)+SUMIFS('Gider Miktar'!S:S,'Gider Miktar'!$B:$B,'Emanet Miktar Dağılım'!$D3,'Gider Miktar'!$F:$F,1004)</f>
        <v>-39.189</v>
      </c>
      <c r="K3" s="9">
        <f>+SUMIFS('Gider Miktar'!T:T,'Gider Miktar'!$B:$B,'Emanet Miktar Dağılım'!$D3,'Gider Miktar'!$F:$F,1001)+SUMIFS('Gider Miktar'!T:T,'Gider Miktar'!$B:$B,'Emanet Miktar Dağılım'!$D3,'Gider Miktar'!$F:$F,1002)+SUMIFS('Gider Miktar'!T:T,'Gider Miktar'!$B:$B,'Emanet Miktar Dağılım'!$D3,'Gider Miktar'!$F:$F,1003)+SUMIFS('Gider Miktar'!T:T,'Gider Miktar'!$B:$B,'Emanet Miktar Dağılım'!$D3,'Gider Miktar'!$F:$F,1004)</f>
        <v>511.30540400000018</v>
      </c>
      <c r="L3" s="9">
        <f>+SUMIFS('Gider Miktar'!U:U,'Gider Miktar'!$B:$B,'Emanet Miktar Dağılım'!$D3,'Gider Miktar'!$F:$F,1001)+SUMIFS('Gider Miktar'!U:U,'Gider Miktar'!$B:$B,'Emanet Miktar Dağılım'!$D3,'Gider Miktar'!$F:$F,1002)+SUMIFS('Gider Miktar'!U:U,'Gider Miktar'!$B:$B,'Emanet Miktar Dağılım'!$D3,'Gider Miktar'!$F:$F,1003)+SUMIFS('Gider Miktar'!U:U,'Gider Miktar'!$B:$B,'Emanet Miktar Dağılım'!$D3,'Gider Miktar'!$F:$F,1004)</f>
        <v>1.7002108499023054E-2</v>
      </c>
      <c r="M3" s="9">
        <f>+SUMIFS('Gider Miktar'!V:V,'Gider Miktar'!$B:$B,'Emanet Miktar Dağılım'!$D3,'Gider Miktar'!$F:$F,1001)+SUMIFS('Gider Miktar'!V:V,'Gider Miktar'!$B:$B,'Emanet Miktar Dağılım'!$D3,'Gider Miktar'!$F:$F,1002)+SUMIFS('Gider Miktar'!V:V,'Gider Miktar'!$B:$B,'Emanet Miktar Dağılım'!$D3,'Gider Miktar'!$F:$F,1003)+SUMIFS('Gider Miktar'!V:V,'Gider Miktar'!$B:$B,'Emanet Miktar Dağılım'!$D3,'Gider Miktar'!$F:$F,1004)</f>
        <v>1509.2159490000004</v>
      </c>
      <c r="N3" s="11">
        <f>+SUMIFS('Gider Miktar'!W:W,'Gider Miktar'!$B:$B,'Emanet Miktar Dağılım'!$D3,'Gider Miktar'!$F:$F,1001)+SUMIFS('Gider Miktar'!W:W,'Gider Miktar'!$B:$B,'Emanet Miktar Dağılım'!$D3,'Gider Miktar'!$F:$F,1002)+SUMIFS('Gider Miktar'!W:W,'Gider Miktar'!$B:$B,'Emanet Miktar Dağılım'!$D3,'Gider Miktar'!$F:$F,1003)+SUMIFS('Gider Miktar'!W:W,'Gider Miktar'!$B:$B,'Emanet Miktar Dağılım'!$D3,'Gider Miktar'!$F:$F,1004)</f>
        <v>33.423000000000002</v>
      </c>
      <c r="O3" s="9">
        <f>+SUMIFS('Gider Miktar'!X:X,'Gider Miktar'!$B:$B,'Emanet Miktar Dağılım'!$D3,'Gider Miktar'!$F:$F,1001)+SUMIFS('Gider Miktar'!X:X,'Gider Miktar'!$B:$B,'Emanet Miktar Dağılım'!$D3,'Gider Miktar'!$F:$F,1002)+SUMIFS('Gider Miktar'!X:X,'Gider Miktar'!$B:$B,'Emanet Miktar Dağılım'!$D3,'Gider Miktar'!$F:$F,1003)+SUMIFS('Gider Miktar'!X:X,'Gider Miktar'!$B:$B,'Emanet Miktar Dağılım'!$D3,'Gider Miktar'!$F:$F,1004)</f>
        <v>24.013242640424476</v>
      </c>
      <c r="P3" s="9">
        <f>+SUMIFS('Gider Miktar'!Y:Y,'Gider Miktar'!$B:$B,'Emanet Miktar Dağılım'!$D3,'Gider Miktar'!$F:$F,1001)+SUMIFS('Gider Miktar'!Y:Y,'Gider Miktar'!$B:$B,'Emanet Miktar Dağılım'!$D3,'Gider Miktar'!$F:$F,1002)+SUMIFS('Gider Miktar'!Y:Y,'Gider Miktar'!$B:$B,'Emanet Miktar Dağılım'!$D3,'Gider Miktar'!$F:$F,1003)+SUMIFS('Gider Miktar'!Y:Y,'Gider Miktar'!$B:$B,'Emanet Miktar Dağılım'!$D3,'Gider Miktar'!$F:$F,1004)</f>
        <v>56.442269217573553</v>
      </c>
      <c r="Q3" s="9">
        <f>+SUMIFS('Gider Miktar'!Z:Z,'Gider Miktar'!$B:$B,'Emanet Miktar Dağılım'!$D3,'Gider Miktar'!$F:$F,1001)+SUMIFS('Gider Miktar'!Z:Z,'Gider Miktar'!$B:$B,'Emanet Miktar Dağılım'!$D3,'Gider Miktar'!$F:$F,1002)+SUMIFS('Gider Miktar'!Z:Z,'Gider Miktar'!$B:$B,'Emanet Miktar Dağılım'!$D3,'Gider Miktar'!$F:$F,1003)+SUMIFS('Gider Miktar'!Z:Z,'Gider Miktar'!$B:$B,'Emanet Miktar Dağılım'!$D3,'Gider Miktar'!$F:$F,1004)</f>
        <v>38.528001296863387</v>
      </c>
      <c r="R3" s="9">
        <f>+SUMIFS('Gider Miktar'!AA:AA,'Gider Miktar'!$B:$B,'Emanet Miktar Dağılım'!$D3,'Gider Miktar'!$F:$F,1001)+SUMIFS('Gider Miktar'!AA:AA,'Gider Miktar'!$B:$B,'Emanet Miktar Dağılım'!$D3,'Gider Miktar'!$F:$F,1002)+SUMIFS('Gider Miktar'!AA:AA,'Gider Miktar'!$B:$B,'Emanet Miktar Dağılım'!$D3,'Gider Miktar'!$F:$F,1003)+SUMIFS('Gider Miktar'!AA:AA,'Gider Miktar'!$B:$B,'Emanet Miktar Dağılım'!$D3,'Gider Miktar'!$F:$F,1004)</f>
        <v>60.034581040439171</v>
      </c>
      <c r="S3" s="9">
        <f>+SUMIFS('Gider Miktar'!AB:AB,'Gider Miktar'!$B:$B,'Emanet Miktar Dağılım'!$D3,'Gider Miktar'!$F:$F,1001)+SUMIFS('Gider Miktar'!AB:AB,'Gider Miktar'!$B:$B,'Emanet Miktar Dağılım'!$D3,'Gider Miktar'!$F:$F,1002)+SUMIFS('Gider Miktar'!AB:AB,'Gider Miktar'!$B:$B,'Emanet Miktar Dağılım'!$D3,'Gider Miktar'!$F:$F,1003)+SUMIFS('Gider Miktar'!AB:AB,'Gider Miktar'!$B:$B,'Emanet Miktar Dağılım'!$D3,'Gider Miktar'!$F:$F,1004)</f>
        <v>42.120313119729012</v>
      </c>
      <c r="T3" s="9">
        <f>+SUMIFS('Gider Miktar'!AC:AC,'Gider Miktar'!$B:$B,'Emanet Miktar Dağılım'!$D3,'Gider Miktar'!$F:$F,1001)+SUMIFS('Gider Miktar'!AC:AC,'Gider Miktar'!$B:$B,'Emanet Miktar Dağılım'!$D3,'Gider Miktar'!$F:$F,1002)+SUMIFS('Gider Miktar'!AC:AC,'Gider Miktar'!$B:$B,'Emanet Miktar Dağılım'!$D3,'Gider Miktar'!$F:$F,1003)+SUMIFS('Gider Miktar'!AC:AC,'Gider Miktar'!$B:$B,'Emanet Miktar Dağılım'!$D3,'Gider Miktar'!$F:$F,1004)</f>
        <v>53.843250371054893</v>
      </c>
      <c r="U3" s="9">
        <f>+SUMIFS('Gider Miktar'!AD:AD,'Gider Miktar'!$B:$B,'Emanet Miktar Dağılım'!$D3,'Gider Miktar'!$F:$F,1001)+SUMIFS('Gider Miktar'!AD:AD,'Gider Miktar'!$B:$B,'Emanet Miktar Dağılım'!$D3,'Gider Miktar'!$F:$F,1002)+SUMIFS('Gider Miktar'!AD:AD,'Gider Miktar'!$B:$B,'Emanet Miktar Dağılım'!$D3,'Gider Miktar'!$F:$F,1003)+SUMIFS('Gider Miktar'!AD:AD,'Gider Miktar'!$B:$B,'Emanet Miktar Dağılım'!$D3,'Gider Miktar'!$F:$F,1004)</f>
        <v>116.03048561988977</v>
      </c>
      <c r="V3" s="9">
        <f>+SUMIFS('Gider Miktar'!AE:AE,'Gider Miktar'!$B:$B,'Emanet Miktar Dağılım'!$D3,'Gider Miktar'!$F:$F,1001)+SUMIFS('Gider Miktar'!AE:AE,'Gider Miktar'!$B:$B,'Emanet Miktar Dağılım'!$D3,'Gider Miktar'!$F:$F,1002)+SUMIFS('Gider Miktar'!AE:AE,'Gider Miktar'!$B:$B,'Emanet Miktar Dağılım'!$D3,'Gider Miktar'!$F:$F,1003)+SUMIFS('Gider Miktar'!AE:AE,'Gider Miktar'!$B:$B,'Emanet Miktar Dağılım'!$D3,'Gider Miktar'!$F:$F,1004)</f>
        <v>102.48701532467116</v>
      </c>
      <c r="W3" s="9">
        <f>+SUMIFS('Gider Miktar'!AF:AF,'Gider Miktar'!$B:$B,'Emanet Miktar Dağılım'!$D3,'Gider Miktar'!$F:$F,1001)+SUMIFS('Gider Miktar'!AF:AF,'Gider Miktar'!$B:$B,'Emanet Miktar Dağılım'!$D3,'Gider Miktar'!$F:$F,1002)+SUMIFS('Gider Miktar'!AF:AF,'Gider Miktar'!$B:$B,'Emanet Miktar Dağılım'!$D3,'Gider Miktar'!$F:$F,1003)+SUMIFS('Gider Miktar'!AF:AF,'Gider Miktar'!$B:$B,'Emanet Miktar Dağılım'!$D3,'Gider Miktar'!$F:$F,1004)</f>
        <v>87.97225666823222</v>
      </c>
      <c r="X3" s="9">
        <f>+SUMIFS('Gider Miktar'!AG:AG,'Gider Miktar'!$B:$B,'Emanet Miktar Dağılım'!$D3,'Gider Miktar'!$F:$F,1001)+SUMIFS('Gider Miktar'!AG:AG,'Gider Miktar'!$B:$B,'Emanet Miktar Dağılım'!$D3,'Gider Miktar'!$F:$F,1002)+SUMIFS('Gider Miktar'!AG:AG,'Gider Miktar'!$B:$B,'Emanet Miktar Dağılım'!$D3,'Gider Miktar'!$F:$F,1003)+SUMIFS('Gider Miktar'!AG:AG,'Gider Miktar'!$B:$B,'Emanet Miktar Dağılım'!$D3,'Gider Miktar'!$F:$F,1004)</f>
        <v>98.894703501805793</v>
      </c>
      <c r="Y3" s="9">
        <f>+SUMIFS('Gider Miktar'!AH:AH,'Gider Miktar'!$B:$B,'Emanet Miktar Dağılım'!$D3,'Gider Miktar'!$F:$F,1001)+SUMIFS('Gider Miktar'!AH:AH,'Gider Miktar'!$B:$B,'Emanet Miktar Dağılım'!$D3,'Gider Miktar'!$F:$F,1002)+SUMIFS('Gider Miktar'!AH:AH,'Gider Miktar'!$B:$B,'Emanet Miktar Dağılım'!$D3,'Gider Miktar'!$F:$F,1003)+SUMIFS('Gider Miktar'!AH:AH,'Gider Miktar'!$B:$B,'Emanet Miktar Dağılım'!$D3,'Gider Miktar'!$F:$F,1004)</f>
        <v>98.894703501805793</v>
      </c>
      <c r="Z3" s="9">
        <f>+SUMIFS('Gider Miktar'!AI:AI,'Gider Miktar'!$B:$B,'Emanet Miktar Dağılım'!$D3,'Gider Miktar'!$F:$F,1001)+SUMIFS('Gider Miktar'!AI:AI,'Gider Miktar'!$B:$B,'Emanet Miktar Dağılım'!$D3,'Gider Miktar'!$F:$F,1002)+SUMIFS('Gider Miktar'!AI:AI,'Gider Miktar'!$B:$B,'Emanet Miktar Dağılım'!$D3,'Gider Miktar'!$F:$F,1003)+SUMIFS('Gider Miktar'!AI:AI,'Gider Miktar'!$B:$B,'Emanet Miktar Dağılım'!$D3,'Gider Miktar'!$F:$F,1004)</f>
        <v>84.379944845366623</v>
      </c>
      <c r="AA3" s="9">
        <f>+SUMIFS('Gider Miktar'!AJ:AJ,'Gider Miktar'!$B:$B,'Emanet Miktar Dağılım'!$D3,'Gider Miktar'!$F:$F,1001)+SUMIFS('Gider Miktar'!AJ:AJ,'Gider Miktar'!$B:$B,'Emanet Miktar Dağılım'!$D3,'Gider Miktar'!$F:$F,1002)+SUMIFS('Gider Miktar'!AJ:AJ,'Gider Miktar'!$B:$B,'Emanet Miktar Dağılım'!$D3,'Gider Miktar'!$F:$F,1003)+SUMIFS('Gider Miktar'!AJ:AJ,'Gider Miktar'!$B:$B,'Emanet Miktar Dağılım'!$D3,'Gider Miktar'!$F:$F,1004)</f>
        <v>84.379944845366623</v>
      </c>
      <c r="AB3" s="9">
        <f>+SUMIFS('Gider Miktar'!AK:AK,'Gider Miktar'!$B:$B,'Emanet Miktar Dağılım'!$D3,'Gider Miktar'!$F:$F,1001)+SUMIFS('Gider Miktar'!AK:AK,'Gider Miktar'!$B:$B,'Emanet Miktar Dağılım'!$D3,'Gider Miktar'!$F:$F,1002)+SUMIFS('Gider Miktar'!AK:AK,'Gider Miktar'!$B:$B,'Emanet Miktar Dağılım'!$D3,'Gider Miktar'!$F:$F,1003)+SUMIFS('Gider Miktar'!AK:AK,'Gider Miktar'!$B:$B,'Emanet Miktar Dağılım'!$D3,'Gider Miktar'!$F:$F,1004)</f>
        <v>79.626584768064404</v>
      </c>
      <c r="AC3" s="9">
        <f>+SUMIFS('Gider Miktar'!AL:AL,'Gider Miktar'!$B:$B,'Emanet Miktar Dağılım'!$D3,'Gider Miktar'!$F:$F,1001)+SUMIFS('Gider Miktar'!AL:AL,'Gider Miktar'!$B:$B,'Emanet Miktar Dağılım'!$D3,'Gider Miktar'!$F:$F,1002)+SUMIFS('Gider Miktar'!AL:AL,'Gider Miktar'!$B:$B,'Emanet Miktar Dağılım'!$D3,'Gider Miktar'!$F:$F,1003)+SUMIFS('Gider Miktar'!AL:AL,'Gider Miktar'!$B:$B,'Emanet Miktar Dağılım'!$D3,'Gider Miktar'!$F:$F,1004)</f>
        <v>79.626584768064404</v>
      </c>
      <c r="AD3" s="9">
        <f>+SUMIFS('Gider Miktar'!AM:AM,'Gider Miktar'!$B:$B,'Emanet Miktar Dağılım'!$D3,'Gider Miktar'!$F:$F,1001)+SUMIFS('Gider Miktar'!AM:AM,'Gider Miktar'!$B:$B,'Emanet Miktar Dağılım'!$D3,'Gider Miktar'!$F:$F,1002)+SUMIFS('Gider Miktar'!AM:AM,'Gider Miktar'!$B:$B,'Emanet Miktar Dağılım'!$D3,'Gider Miktar'!$F:$F,1003)+SUMIFS('Gider Miktar'!AM:AM,'Gider Miktar'!$B:$B,'Emanet Miktar Dağılım'!$D3,'Gider Miktar'!$F:$F,1004)</f>
        <v>75.227139592593105</v>
      </c>
      <c r="AE3" s="9">
        <f>+SUMIFS('Gider Miktar'!AN:AN,'Gider Miktar'!$B:$B,'Emanet Miktar Dağılım'!$D3,'Gider Miktar'!$F:$F,1001)+SUMIFS('Gider Miktar'!AN:AN,'Gider Miktar'!$B:$B,'Emanet Miktar Dağılım'!$D3,'Gider Miktar'!$F:$F,1002)+SUMIFS('Gider Miktar'!AN:AN,'Gider Miktar'!$B:$B,'Emanet Miktar Dağılım'!$D3,'Gider Miktar'!$F:$F,1003)+SUMIFS('Gider Miktar'!AN:AN,'Gider Miktar'!$B:$B,'Emanet Miktar Dağılım'!$D3,'Gider Miktar'!$F:$F,1004)</f>
        <v>57.312871671882696</v>
      </c>
      <c r="AF3" s="9">
        <f>+SUMIFS('Gider Miktar'!AO:AO,'Gider Miktar'!$B:$B,'Emanet Miktar Dağılım'!$D3,'Gider Miktar'!$F:$F,1001)+SUMIFS('Gider Miktar'!AO:AO,'Gider Miktar'!$B:$B,'Emanet Miktar Dağılım'!$D3,'Gider Miktar'!$F:$F,1002)+SUMIFS('Gider Miktar'!AO:AO,'Gider Miktar'!$B:$B,'Emanet Miktar Dağılım'!$D3,'Gider Miktar'!$F:$F,1003)+SUMIFS('Gider Miktar'!AO:AO,'Gider Miktar'!$B:$B,'Emanet Miktar Dağılım'!$D3,'Gider Miktar'!$F:$F,1004)</f>
        <v>59.651528056175465</v>
      </c>
      <c r="AG3" s="9">
        <f>+SUMIFS('Gider Miktar'!AP:AP,'Gider Miktar'!$B:$B,'Emanet Miktar Dağılım'!$D3,'Gider Miktar'!$F:$F,1001)+SUMIFS('Gider Miktar'!AP:AP,'Gider Miktar'!$B:$B,'Emanet Miktar Dağılım'!$D3,'Gider Miktar'!$F:$F,1002)+SUMIFS('Gider Miktar'!AP:AP,'Gider Miktar'!$B:$B,'Emanet Miktar Dağılım'!$D3,'Gider Miktar'!$F:$F,1003)+SUMIFS('Gider Miktar'!AP:AP,'Gider Miktar'!$B:$B,'Emanet Miktar Dağılım'!$D3,'Gider Miktar'!$F:$F,1004)</f>
        <v>109.99482255403474</v>
      </c>
      <c r="AH3" s="9">
        <f>+SUMIFS('Gider Miktar'!AQ:AQ,'Gider Miktar'!$B:$B,'Emanet Miktar Dağılım'!$D3,'Gider Miktar'!$F:$F,1001)+SUMIFS('Gider Miktar'!AQ:AQ,'Gider Miktar'!$B:$B,'Emanet Miktar Dağılım'!$D3,'Gider Miktar'!$F:$F,1002)+SUMIFS('Gider Miktar'!AQ:AQ,'Gider Miktar'!$B:$B,'Emanet Miktar Dağılım'!$D3,'Gider Miktar'!$F:$F,1003)+SUMIFS('Gider Miktar'!AQ:AQ,'Gider Miktar'!$B:$B,'Emanet Miktar Dağılım'!$D3,'Gider Miktar'!$F:$F,1004)</f>
        <v>124.50958121047366</v>
      </c>
      <c r="AI3" s="9">
        <f>+SUMIFS('Gider Miktar'!AR:AR,'Gider Miktar'!$B:$B,'Emanet Miktar Dağılım'!$D3,'Gider Miktar'!$F:$F,1001)+SUMIFS('Gider Miktar'!AR:AR,'Gider Miktar'!$B:$B,'Emanet Miktar Dağılım'!$D3,'Gider Miktar'!$F:$F,1002)+SUMIFS('Gider Miktar'!AR:AR,'Gider Miktar'!$B:$B,'Emanet Miktar Dağılım'!$D3,'Gider Miktar'!$F:$F,1003)+SUMIFS('Gider Miktar'!AR:AR,'Gider Miktar'!$B:$B,'Emanet Miktar Dağılım'!$D3,'Gider Miktar'!$F:$F,1004)</f>
        <v>124.50958121047366</v>
      </c>
      <c r="AJ3" s="9">
        <f>+SUMIFS('Gider Miktar'!AS:AS,'Gider Miktar'!$B:$B,'Emanet Miktar Dağılım'!$D3,'Gider Miktar'!$F:$F,1001)+SUMIFS('Gider Miktar'!AS:AS,'Gider Miktar'!$B:$B,'Emanet Miktar Dağılım'!$D3,'Gider Miktar'!$F:$F,1002)+SUMIFS('Gider Miktar'!AS:AS,'Gider Miktar'!$B:$B,'Emanet Miktar Dağılım'!$D3,'Gider Miktar'!$F:$F,1003)+SUMIFS('Gider Miktar'!AS:AS,'Gider Miktar'!$B:$B,'Emanet Miktar Dağılım'!$D3,'Gider Miktar'!$F:$F,1004)</f>
        <v>124.50958121047366</v>
      </c>
      <c r="AK3" s="9">
        <f>+SUMIFS('Gider Miktar'!AT:AT,'Gider Miktar'!$B:$B,'Emanet Miktar Dağılım'!$D3,'Gider Miktar'!$F:$F,1001)+SUMIFS('Gider Miktar'!AT:AT,'Gider Miktar'!$B:$B,'Emanet Miktar Dağılım'!$D3,'Gider Miktar'!$F:$F,1002)+SUMIFS('Gider Miktar'!AT:AT,'Gider Miktar'!$B:$B,'Emanet Miktar Dağılım'!$D3,'Gider Miktar'!$F:$F,1003)+SUMIFS('Gider Miktar'!AT:AT,'Gider Miktar'!$B:$B,'Emanet Miktar Dağılım'!$D3,'Gider Miktar'!$F:$F,1004)</f>
        <v>109.99482255403474</v>
      </c>
      <c r="AL3" s="9">
        <f>+SUMIFS('Gider Miktar'!AU:AU,'Gider Miktar'!$B:$B,'Emanet Miktar Dağılım'!$D3,'Gider Miktar'!$F:$F,1001)+SUMIFS('Gider Miktar'!AU:AU,'Gider Miktar'!$B:$B,'Emanet Miktar Dağılım'!$D3,'Gider Miktar'!$F:$F,1002)+SUMIFS('Gider Miktar'!AU:AU,'Gider Miktar'!$B:$B,'Emanet Miktar Dağılım'!$D3,'Gider Miktar'!$F:$F,1003)+SUMIFS('Gider Miktar'!AU:AU,'Gider Miktar'!$B:$B,'Emanet Miktar Dağılım'!$D3,'Gider Miktar'!$F:$F,1004)</f>
        <v>95.480063897595798</v>
      </c>
      <c r="AM3" s="9">
        <f>+SUMIFS('Gider Miktar'!AV:AV,'Gider Miktar'!$B:$B,'Emanet Miktar Dağılım'!$D3,'Gider Miktar'!$F:$F,1001)+SUMIFS('Gider Miktar'!AV:AV,'Gider Miktar'!$B:$B,'Emanet Miktar Dağılım'!$D3,'Gider Miktar'!$F:$F,1002)+SUMIFS('Gider Miktar'!AV:AV,'Gider Miktar'!$B:$B,'Emanet Miktar Dağılım'!$D3,'Gider Miktar'!$F:$F,1003)+SUMIFS('Gider Miktar'!AV:AV,'Gider Miktar'!$B:$B,'Emanet Miktar Dağılım'!$D3,'Gider Miktar'!$F:$F,1004)</f>
        <v>95.480063897595798</v>
      </c>
      <c r="AN3" s="9">
        <f>+SUMIFS('Gider Miktar'!AW:AW,'Gider Miktar'!$B:$B,'Emanet Miktar Dağılım'!$D3,'Gider Miktar'!$F:$F,1001)+SUMIFS('Gider Miktar'!AW:AW,'Gider Miktar'!$B:$B,'Emanet Miktar Dağılım'!$D3,'Gider Miktar'!$F:$F,1002)+SUMIFS('Gider Miktar'!AW:AW,'Gider Miktar'!$B:$B,'Emanet Miktar Dağılım'!$D3,'Gider Miktar'!$F:$F,1003)+SUMIFS('Gider Miktar'!AW:AW,'Gider Miktar'!$B:$B,'Emanet Miktar Dağılım'!$D3,'Gider Miktar'!$F:$F,1004)</f>
        <v>71.657071682840666</v>
      </c>
      <c r="AO3" s="9">
        <f>+SUMIFS('Gider Miktar'!AX:AX,'Gider Miktar'!$B:$B,'Emanet Miktar Dağılım'!$D3,'Gider Miktar'!$F:$F,1001)+SUMIFS('Gider Miktar'!AX:AX,'Gider Miktar'!$B:$B,'Emanet Miktar Dağılım'!$D3,'Gider Miktar'!$F:$F,1002)+SUMIFS('Gider Miktar'!AX:AX,'Gider Miktar'!$B:$B,'Emanet Miktar Dağılım'!$D3,'Gider Miktar'!$F:$F,1003)+SUMIFS('Gider Miktar'!AX:AX,'Gider Miktar'!$B:$B,'Emanet Miktar Dağılım'!$D3,'Gider Miktar'!$F:$F,1004)</f>
        <v>89.074782070567494</v>
      </c>
      <c r="AP3" s="9">
        <f>+SUMIFS('Gider Miktar'!AY:AY,'Gider Miktar'!$B:$B,'Emanet Miktar Dağılım'!$D3,'Gider Miktar'!$F:$F,1001)+SUMIFS('Gider Miktar'!AY:AY,'Gider Miktar'!$B:$B,'Emanet Miktar Dağılım'!$D3,'Gider Miktar'!$F:$F,1002)+SUMIFS('Gider Miktar'!AY:AY,'Gider Miktar'!$B:$B,'Emanet Miktar Dağılım'!$D3,'Gider Miktar'!$F:$F,1003)+SUMIFS('Gider Miktar'!AY:AY,'Gider Miktar'!$B:$B,'Emanet Miktar Dağılım'!$D3,'Gider Miktar'!$F:$F,1004)</f>
        <v>89.074782070567494</v>
      </c>
      <c r="AQ3" s="9">
        <f>+SUMIFS('Gider Miktar'!AZ:AZ,'Gider Miktar'!$B:$B,'Emanet Miktar Dağılım'!$D3,'Gider Miktar'!$F:$F,1001)+SUMIFS('Gider Miktar'!AZ:AZ,'Gider Miktar'!$B:$B,'Emanet Miktar Dağılım'!$D3,'Gider Miktar'!$F:$F,1002)+SUMIFS('Gider Miktar'!AZ:AZ,'Gider Miktar'!$B:$B,'Emanet Miktar Dağılım'!$D3,'Gider Miktar'!$F:$F,1003)+SUMIFS('Gider Miktar'!AZ:AZ,'Gider Miktar'!$B:$B,'Emanet Miktar Dağılım'!$D3,'Gider Miktar'!$F:$F,1004)</f>
        <v>71.657071682840666</v>
      </c>
      <c r="AR3" s="9">
        <f>+SUMIFS('Gider Miktar'!BA:BA,'Gider Miktar'!$B:$B,'Emanet Miktar Dağılım'!$D3,'Gider Miktar'!$F:$F,1001)+SUMIFS('Gider Miktar'!BA:BA,'Gider Miktar'!$B:$B,'Emanet Miktar Dağılım'!$D3,'Gider Miktar'!$F:$F,1002)+SUMIFS('Gider Miktar'!BA:BA,'Gider Miktar'!$B:$B,'Emanet Miktar Dağılım'!$D3,'Gider Miktar'!$F:$F,1003)+SUMIFS('Gider Miktar'!BA:BA,'Gider Miktar'!$B:$B,'Emanet Miktar Dağılım'!$D3,'Gider Miktar'!$F:$F,1004)</f>
        <v>0</v>
      </c>
      <c r="AS3" s="9">
        <f>+SUMIFS('Gider Miktar'!BB:BB,'Gider Miktar'!$B:$B,'Emanet Miktar Dağılım'!$D3,'Gider Miktar'!$F:$F,1001)+SUMIFS('Gider Miktar'!BB:BB,'Gider Miktar'!$B:$B,'Emanet Miktar Dağılım'!$D3,'Gider Miktar'!$F:$F,1002)+SUMIFS('Gider Miktar'!BB:BB,'Gider Miktar'!$B:$B,'Emanet Miktar Dağılım'!$D3,'Gider Miktar'!$F:$F,1003)+SUMIFS('Gider Miktar'!BB:BB,'Gider Miktar'!$B:$B,'Emanet Miktar Dağılım'!$D3,'Gider Miktar'!$F:$F,1004)</f>
        <v>0</v>
      </c>
      <c r="AT3" s="9">
        <f>+SUMIFS('Gider Miktar'!BC:BC,'Gider Miktar'!$B:$B,'Emanet Miktar Dağılım'!$D3,'Gider Miktar'!$F:$F,1001)+SUMIFS('Gider Miktar'!BC:BC,'Gider Miktar'!$B:$B,'Emanet Miktar Dağılım'!$D3,'Gider Miktar'!$F:$F,1002)+SUMIFS('Gider Miktar'!BC:BC,'Gider Miktar'!$B:$B,'Emanet Miktar Dağılım'!$D3,'Gider Miktar'!$F:$F,1003)+SUMIFS('Gider Miktar'!BC:BC,'Gider Miktar'!$B:$B,'Emanet Miktar Dağılım'!$D3,'Gider Miktar'!$F:$F,1004)</f>
        <v>0</v>
      </c>
      <c r="AU3" s="9">
        <f>+SUMIFS('Gider Miktar'!BD:BD,'Gider Miktar'!$B:$B,'Emanet Miktar Dağılım'!$D3,'Gider Miktar'!$F:$F,1001)+SUMIFS('Gider Miktar'!BD:BD,'Gider Miktar'!$B:$B,'Emanet Miktar Dağılım'!$D3,'Gider Miktar'!$F:$F,1002)+SUMIFS('Gider Miktar'!BD:BD,'Gider Miktar'!$B:$B,'Emanet Miktar Dağılım'!$D3,'Gider Miktar'!$F:$F,1003)+SUMIFS('Gider Miktar'!BD:BD,'Gider Miktar'!$B:$B,'Emanet Miktar Dağılım'!$D3,'Gider Miktar'!$F:$F,1004)</f>
        <v>0</v>
      </c>
      <c r="AV3" s="9">
        <f>+SUMIFS('Gider Miktar'!BE:BE,'Gider Miktar'!$B:$B,'Emanet Miktar Dağılım'!$D3,'Gider Miktar'!$F:$F,1001)+SUMIFS('Gider Miktar'!BE:BE,'Gider Miktar'!$B:$B,'Emanet Miktar Dağılım'!$D3,'Gider Miktar'!$F:$F,1002)+SUMIFS('Gider Miktar'!BE:BE,'Gider Miktar'!$B:$B,'Emanet Miktar Dağılım'!$D3,'Gider Miktar'!$F:$F,1003)+SUMIFS('Gider Miktar'!BE:BE,'Gider Miktar'!$B:$B,'Emanet Miktar Dağılım'!$D3,'Gider Miktar'!$F:$F,1004)</f>
        <v>0</v>
      </c>
      <c r="AW3" s="9">
        <f>+SUMIFS('Gider Miktar'!BF:BF,'Gider Miktar'!$B:$B,'Emanet Miktar Dağılım'!$D3,'Gider Miktar'!$F:$F,1001)+SUMIFS('Gider Miktar'!BF:BF,'Gider Miktar'!$B:$B,'Emanet Miktar Dağılım'!$D3,'Gider Miktar'!$F:$F,1002)+SUMIFS('Gider Miktar'!BF:BF,'Gider Miktar'!$B:$B,'Emanet Miktar Dağılım'!$D3,'Gider Miktar'!$F:$F,1003)+SUMIFS('Gider Miktar'!BF:BF,'Gider Miktar'!$B:$B,'Emanet Miktar Dağılım'!$D3,'Gider Miktar'!$F:$F,1004)</f>
        <v>0</v>
      </c>
      <c r="AX3" s="9">
        <f>+SUMIFS('Gider Miktar'!BG:BG,'Gider Miktar'!$B:$B,'Emanet Miktar Dağılım'!$D3,'Gider Miktar'!$F:$F,1001)+SUMIFS('Gider Miktar'!BG:BG,'Gider Miktar'!$B:$B,'Emanet Miktar Dağılım'!$D3,'Gider Miktar'!$F:$F,1002)+SUMIFS('Gider Miktar'!BG:BG,'Gider Miktar'!$B:$B,'Emanet Miktar Dağılım'!$D3,'Gider Miktar'!$F:$F,1003)+SUMIFS('Gider Miktar'!BG:BG,'Gider Miktar'!$B:$B,'Emanet Miktar Dağılım'!$D3,'Gider Miktar'!$F:$F,1004)</f>
        <v>0</v>
      </c>
      <c r="AY3" s="9">
        <f>+SUMIFS('Gider Miktar'!BH:BH,'Gider Miktar'!$B:$B,'Emanet Miktar Dağılım'!$D3,'Gider Miktar'!$F:$F,1001)+SUMIFS('Gider Miktar'!BH:BH,'Gider Miktar'!$B:$B,'Emanet Miktar Dağılım'!$D3,'Gider Miktar'!$F:$F,1002)+SUMIFS('Gider Miktar'!BH:BH,'Gider Miktar'!$B:$B,'Emanet Miktar Dağılım'!$D3,'Gider Miktar'!$F:$F,1003)+SUMIFS('Gider Miktar'!BH:BH,'Gider Miktar'!$B:$B,'Emanet Miktar Dağılım'!$D3,'Gider Miktar'!$F:$F,1004)</f>
        <v>0</v>
      </c>
      <c r="AZ3" s="9">
        <f>+SUMIFS('Gider Miktar'!BI:BI,'Gider Miktar'!$B:$B,'Emanet Miktar Dağılım'!$D3,'Gider Miktar'!$F:$F,1001)+SUMIFS('Gider Miktar'!BI:BI,'Gider Miktar'!$B:$B,'Emanet Miktar Dağılım'!$D3,'Gider Miktar'!$F:$F,1002)+SUMIFS('Gider Miktar'!BI:BI,'Gider Miktar'!$B:$B,'Emanet Miktar Dağılım'!$D3,'Gider Miktar'!$F:$F,1003)+SUMIFS('Gider Miktar'!BI:BI,'Gider Miktar'!$B:$B,'Emanet Miktar Dağılım'!$D3,'Gider Miktar'!$F:$F,1004)</f>
        <v>0</v>
      </c>
      <c r="BA3" s="9">
        <f>+SUMIFS('Gider Miktar'!BJ:BJ,'Gider Miktar'!$B:$B,'Emanet Miktar Dağılım'!$D3,'Gider Miktar'!$F:$F,1001)+SUMIFS('Gider Miktar'!BJ:BJ,'Gider Miktar'!$B:$B,'Emanet Miktar Dağılım'!$D3,'Gider Miktar'!$F:$F,1002)+SUMIFS('Gider Miktar'!BJ:BJ,'Gider Miktar'!$B:$B,'Emanet Miktar Dağılım'!$D3,'Gider Miktar'!$F:$F,1003)+SUMIFS('Gider Miktar'!BJ:BJ,'Gider Miktar'!$B:$B,'Emanet Miktar Dağılım'!$D3,'Gider Miktar'!$F:$F,1004)</f>
        <v>0</v>
      </c>
      <c r="BB3" s="9">
        <f>+SUMIFS('Gider Miktar'!BK:BK,'Gider Miktar'!$B:$B,'Emanet Miktar Dağılım'!$D3,'Gider Miktar'!$F:$F,1001)+SUMIFS('Gider Miktar'!BK:BK,'Gider Miktar'!$B:$B,'Emanet Miktar Dağılım'!$D3,'Gider Miktar'!$F:$F,1002)+SUMIFS('Gider Miktar'!BK:BK,'Gider Miktar'!$B:$B,'Emanet Miktar Dağılım'!$D3,'Gider Miktar'!$F:$F,1003)+SUMIFS('Gider Miktar'!BK:BK,'Gider Miktar'!$B:$B,'Emanet Miktar Dağılım'!$D3,'Gider Miktar'!$F:$F,1004)</f>
        <v>0</v>
      </c>
      <c r="BC3" s="9">
        <f>+SUMIFS('Gider Miktar'!BL:BL,'Gider Miktar'!$B:$B,'Emanet Miktar Dağılım'!$D3,'Gider Miktar'!$F:$F,1001)+SUMIFS('Gider Miktar'!BL:BL,'Gider Miktar'!$B:$B,'Emanet Miktar Dağılım'!$D3,'Gider Miktar'!$F:$F,1002)+SUMIFS('Gider Miktar'!BL:BL,'Gider Miktar'!$B:$B,'Emanet Miktar Dağılım'!$D3,'Gider Miktar'!$F:$F,1003)+SUMIFS('Gider Miktar'!BL:BL,'Gider Miktar'!$B:$B,'Emanet Miktar Dağılım'!$D3,'Gider Miktar'!$F:$F,1004)</f>
        <v>0</v>
      </c>
      <c r="BD3" s="9">
        <f>+SUMIFS('Gider Miktar'!BM:BM,'Gider Miktar'!$B:$B,'Emanet Miktar Dağılım'!$D3,'Gider Miktar'!$F:$F,1001)+SUMIFS('Gider Miktar'!BM:BM,'Gider Miktar'!$B:$B,'Emanet Miktar Dağılım'!$D3,'Gider Miktar'!$F:$F,1002)+SUMIFS('Gider Miktar'!BM:BM,'Gider Miktar'!$B:$B,'Emanet Miktar Dağılım'!$D3,'Gider Miktar'!$F:$F,1003)+SUMIFS('Gider Miktar'!BM:BM,'Gider Miktar'!$B:$B,'Emanet Miktar Dağılım'!$D3,'Gider Miktar'!$F:$F,1004)</f>
        <v>0</v>
      </c>
      <c r="BE3" s="9">
        <f>+SUMIFS('Gider Miktar'!BN:BN,'Gider Miktar'!$B:$B,'Emanet Miktar Dağılım'!$D3,'Gider Miktar'!$F:$F,1001)+SUMIFS('Gider Miktar'!BN:BN,'Gider Miktar'!$B:$B,'Emanet Miktar Dağılım'!$D3,'Gider Miktar'!$F:$F,1002)+SUMIFS('Gider Miktar'!BN:BN,'Gider Miktar'!$B:$B,'Emanet Miktar Dağılım'!$D3,'Gider Miktar'!$F:$F,1003)+SUMIFS('Gider Miktar'!BN:BN,'Gider Miktar'!$B:$B,'Emanet Miktar Dağılım'!$D3,'Gider Miktar'!$F:$F,1004)</f>
        <v>0</v>
      </c>
      <c r="BF3" s="9">
        <f>+SUMIFS('Gider Miktar'!BO:BO,'Gider Miktar'!$B:$B,'Emanet Miktar Dağılım'!$D3,'Gider Miktar'!$F:$F,1001)+SUMIFS('Gider Miktar'!BO:BO,'Gider Miktar'!$B:$B,'Emanet Miktar Dağılım'!$D3,'Gider Miktar'!$F:$F,1002)+SUMIFS('Gider Miktar'!BO:BO,'Gider Miktar'!$B:$B,'Emanet Miktar Dağılım'!$D3,'Gider Miktar'!$F:$F,1003)+SUMIFS('Gider Miktar'!BO:BO,'Gider Miktar'!$B:$B,'Emanet Miktar Dağılım'!$D3,'Gider Miktar'!$F:$F,1004)</f>
        <v>0</v>
      </c>
      <c r="BG3" s="9">
        <f>+SUMIFS('Gider Miktar'!BP:BP,'Gider Miktar'!$B:$B,'Emanet Miktar Dağılım'!$D3,'Gider Miktar'!$F:$F,1001)+SUMIFS('Gider Miktar'!BP:BP,'Gider Miktar'!$B:$B,'Emanet Miktar Dağılım'!$D3,'Gider Miktar'!$F:$F,1002)+SUMIFS('Gider Miktar'!BP:BP,'Gider Miktar'!$B:$B,'Emanet Miktar Dağılım'!$D3,'Gider Miktar'!$F:$F,1003)+SUMIFS('Gider Miktar'!BP:BP,'Gider Miktar'!$B:$B,'Emanet Miktar Dağılım'!$D3,'Gider Miktar'!$F:$F,1004)</f>
        <v>0</v>
      </c>
      <c r="BH3" s="9">
        <f>+SUMIFS('Gider Miktar'!BQ:BQ,'Gider Miktar'!$B:$B,'Emanet Miktar Dağılım'!$D3,'Gider Miktar'!$F:$F,1001)+SUMIFS('Gider Miktar'!BQ:BQ,'Gider Miktar'!$B:$B,'Emanet Miktar Dağılım'!$D3,'Gider Miktar'!$F:$F,1002)+SUMIFS('Gider Miktar'!BQ:BQ,'Gider Miktar'!$B:$B,'Emanet Miktar Dağılım'!$D3,'Gider Miktar'!$F:$F,1003)+SUMIFS('Gider Miktar'!BQ:BQ,'Gider Miktar'!$B:$B,'Emanet Miktar Dağılım'!$D3,'Gider Miktar'!$F:$F,1004)</f>
        <v>0</v>
      </c>
      <c r="BI3" s="9">
        <f>+SUMIFS('Gider Miktar'!BR:BR,'Gider Miktar'!$B:$B,'Emanet Miktar Dağılım'!$D3,'Gider Miktar'!$F:$F,1001)+SUMIFS('Gider Miktar'!BR:BR,'Gider Miktar'!$B:$B,'Emanet Miktar Dağılım'!$D3,'Gider Miktar'!$F:$F,1002)+SUMIFS('Gider Miktar'!BR:BR,'Gider Miktar'!$B:$B,'Emanet Miktar Dağılım'!$D3,'Gider Miktar'!$F:$F,1003)+SUMIFS('Gider Miktar'!BR:BR,'Gider Miktar'!$B:$B,'Emanet Miktar Dağılım'!$D3,'Gider Miktar'!$F:$F,1004)</f>
        <v>0</v>
      </c>
      <c r="BJ3" s="9">
        <f>+SUMIFS('Gider Miktar'!BS:BS,'Gider Miktar'!$B:$B,'Emanet Miktar Dağılım'!$D3,'Gider Miktar'!$F:$F,1001)+SUMIFS('Gider Miktar'!BS:BS,'Gider Miktar'!$B:$B,'Emanet Miktar Dağılım'!$D3,'Gider Miktar'!$F:$F,1002)+SUMIFS('Gider Miktar'!BS:BS,'Gider Miktar'!$B:$B,'Emanet Miktar Dağılım'!$D3,'Gider Miktar'!$F:$F,1003)+SUMIFS('Gider Miktar'!BS:BS,'Gider Miktar'!$B:$B,'Emanet Miktar Dağılım'!$D3,'Gider Miktar'!$F:$F,1004)</f>
        <v>0</v>
      </c>
      <c r="BK3" s="9">
        <f>+SUMIFS('Gider Miktar'!BT:BT,'Gider Miktar'!$B:$B,'Emanet Miktar Dağılım'!$D3,'Gider Miktar'!$F:$F,1001)+SUMIFS('Gider Miktar'!BT:BT,'Gider Miktar'!$B:$B,'Emanet Miktar Dağılım'!$D3,'Gider Miktar'!$F:$F,1002)+SUMIFS('Gider Miktar'!BT:BT,'Gider Miktar'!$B:$B,'Emanet Miktar Dağılım'!$D3,'Gider Miktar'!$F:$F,1003)+SUMIFS('Gider Miktar'!BT:BT,'Gider Miktar'!$B:$B,'Emanet Miktar Dağılım'!$D3,'Gider Miktar'!$F:$F,1004)</f>
        <v>0</v>
      </c>
      <c r="BL3" s="9">
        <f>+SUMIFS('Gider Miktar'!BU:BU,'Gider Miktar'!$B:$B,'Emanet Miktar Dağılım'!$D3,'Gider Miktar'!$F:$F,1001)+SUMIFS('Gider Miktar'!BU:BU,'Gider Miktar'!$B:$B,'Emanet Miktar Dağılım'!$D3,'Gider Miktar'!$F:$F,1002)+SUMIFS('Gider Miktar'!BU:BU,'Gider Miktar'!$B:$B,'Emanet Miktar Dağılım'!$D3,'Gider Miktar'!$F:$F,1003)+SUMIFS('Gider Miktar'!BU:BU,'Gider Miktar'!$B:$B,'Emanet Miktar Dağılım'!$D3,'Gider Miktar'!$F:$F,1004)</f>
        <v>0</v>
      </c>
      <c r="BM3" s="9">
        <f>+SUMIFS('Gider Miktar'!BV:BV,'Gider Miktar'!$B:$B,'Emanet Miktar Dağılım'!$D3,'Gider Miktar'!$F:$F,1001)+SUMIFS('Gider Miktar'!BV:BV,'Gider Miktar'!$B:$B,'Emanet Miktar Dağılım'!$D3,'Gider Miktar'!$F:$F,1002)+SUMIFS('Gider Miktar'!BV:BV,'Gider Miktar'!$B:$B,'Emanet Miktar Dağılım'!$D3,'Gider Miktar'!$F:$F,1003)+SUMIFS('Gider Miktar'!BV:BV,'Gider Miktar'!$B:$B,'Emanet Miktar Dağılım'!$D3,'Gider Miktar'!$F:$F,1004)</f>
        <v>0</v>
      </c>
      <c r="BN3" s="9">
        <f>+SUMIFS('Gider Miktar'!BW:BW,'Gider Miktar'!$B:$B,'Emanet Miktar Dağılım'!$D3,'Gider Miktar'!$F:$F,1001)+SUMIFS('Gider Miktar'!BW:BW,'Gider Miktar'!$B:$B,'Emanet Miktar Dağılım'!$D3,'Gider Miktar'!$F:$F,1002)+SUMIFS('Gider Miktar'!BW:BW,'Gider Miktar'!$B:$B,'Emanet Miktar Dağılım'!$D3,'Gider Miktar'!$F:$F,1003)+SUMIFS('Gider Miktar'!BW:BW,'Gider Miktar'!$B:$B,'Emanet Miktar Dağılım'!$D3,'Gider Miktar'!$F:$F,1004)</f>
        <v>0</v>
      </c>
      <c r="BO3" s="9">
        <f>+SUMIFS('Gider Miktar'!BX:BX,'Gider Miktar'!$B:$B,'Emanet Miktar Dağılım'!$D3,'Gider Miktar'!$F:$F,1001)+SUMIFS('Gider Miktar'!BX:BX,'Gider Miktar'!$B:$B,'Emanet Miktar Dağılım'!$D3,'Gider Miktar'!$F:$F,1002)+SUMIFS('Gider Miktar'!BX:BX,'Gider Miktar'!$B:$B,'Emanet Miktar Dağılım'!$D3,'Gider Miktar'!$F:$F,1003)+SUMIFS('Gider Miktar'!BX:BX,'Gider Miktar'!$B:$B,'Emanet Miktar Dağılım'!$D3,'Gider Miktar'!$F:$F,1004)</f>
        <v>0</v>
      </c>
    </row>
    <row r="4" spans="2:67">
      <c r="D4" t="s">
        <v>6</v>
      </c>
      <c r="E4" s="9">
        <f>+SUMIFS('Gider Miktar'!N:N,'Gider Miktar'!$B:$B,'Emanet Miktar Dağılım'!$D4,'Gider Miktar'!$F:$F,1001)+SUMIFS('Gider Miktar'!N:N,'Gider Miktar'!$B:$B,'Emanet Miktar Dağılım'!$D4,'Gider Miktar'!$F:$F,1002)+SUMIFS('Gider Miktar'!N:N,'Gider Miktar'!$B:$B,'Emanet Miktar Dağılım'!$D4,'Gider Miktar'!$F:$F,1003)+SUMIFS('Gider Miktar'!N:N,'Gider Miktar'!$B:$B,'Emanet Miktar Dağılım'!$D4,'Gider Miktar'!$F:$F,1004)</f>
        <v>0</v>
      </c>
      <c r="F4" s="9">
        <f>+SUMIFS('Gider Miktar'!O:O,'Gider Miktar'!$B:$B,'Emanet Miktar Dağılım'!$D4,'Gider Miktar'!$F:$F,1001)+SUMIFS('Gider Miktar'!O:O,'Gider Miktar'!$B:$B,'Emanet Miktar Dağılım'!$D4,'Gider Miktar'!$F:$F,1002)+SUMIFS('Gider Miktar'!O:O,'Gider Miktar'!$B:$B,'Emanet Miktar Dağılım'!$D4,'Gider Miktar'!$F:$F,1003)+SUMIFS('Gider Miktar'!O:O,'Gider Miktar'!$B:$B,'Emanet Miktar Dağılım'!$D4,'Gider Miktar'!$F:$F,1004)</f>
        <v>0</v>
      </c>
      <c r="G4" s="9">
        <f>+SUMIFS('Gider Miktar'!P:P,'Gider Miktar'!$B:$B,'Emanet Miktar Dağılım'!$D4,'Gider Miktar'!$F:$F,1001)+SUMIFS('Gider Miktar'!P:P,'Gider Miktar'!$B:$B,'Emanet Miktar Dağılım'!$D4,'Gider Miktar'!$F:$F,1002)+SUMIFS('Gider Miktar'!P:P,'Gider Miktar'!$B:$B,'Emanet Miktar Dağılım'!$D4,'Gider Miktar'!$F:$F,1003)+SUMIFS('Gider Miktar'!P:P,'Gider Miktar'!$B:$B,'Emanet Miktar Dağılım'!$D4,'Gider Miktar'!$F:$F,1004)</f>
        <v>0</v>
      </c>
      <c r="H4" s="9">
        <f>+SUMIFS('Gider Miktar'!Q:Q,'Gider Miktar'!$B:$B,'Emanet Miktar Dağılım'!$D4,'Gider Miktar'!$F:$F,1001)+SUMIFS('Gider Miktar'!Q:Q,'Gider Miktar'!$B:$B,'Emanet Miktar Dağılım'!$D4,'Gider Miktar'!$F:$F,1002)+SUMIFS('Gider Miktar'!Q:Q,'Gider Miktar'!$B:$B,'Emanet Miktar Dağılım'!$D4,'Gider Miktar'!$F:$F,1003)+SUMIFS('Gider Miktar'!Q:Q,'Gider Miktar'!$B:$B,'Emanet Miktar Dağılım'!$D4,'Gider Miktar'!$F:$F,1004)</f>
        <v>0</v>
      </c>
      <c r="I4" s="9">
        <f>+SUMIFS('Gider Miktar'!R:R,'Gider Miktar'!$B:$B,'Emanet Miktar Dağılım'!$D4,'Gider Miktar'!$F:$F,1001)+SUMIFS('Gider Miktar'!R:R,'Gider Miktar'!$B:$B,'Emanet Miktar Dağılım'!$D4,'Gider Miktar'!$F:$F,1002)+SUMIFS('Gider Miktar'!R:R,'Gider Miktar'!$B:$B,'Emanet Miktar Dağılım'!$D4,'Gider Miktar'!$F:$F,1003)+SUMIFS('Gider Miktar'!R:R,'Gider Miktar'!$B:$B,'Emanet Miktar Dağılım'!$D4,'Gider Miktar'!$F:$F,1004)</f>
        <v>0</v>
      </c>
      <c r="J4" s="9">
        <f>+SUMIFS('Gider Miktar'!S:S,'Gider Miktar'!$B:$B,'Emanet Miktar Dağılım'!$D4,'Gider Miktar'!$F:$F,1001)+SUMIFS('Gider Miktar'!S:S,'Gider Miktar'!$B:$B,'Emanet Miktar Dağılım'!$D4,'Gider Miktar'!$F:$F,1002)+SUMIFS('Gider Miktar'!S:S,'Gider Miktar'!$B:$B,'Emanet Miktar Dağılım'!$D4,'Gider Miktar'!$F:$F,1003)+SUMIFS('Gider Miktar'!S:S,'Gider Miktar'!$B:$B,'Emanet Miktar Dağılım'!$D4,'Gider Miktar'!$F:$F,1004)</f>
        <v>0</v>
      </c>
      <c r="K4" s="9">
        <f>+SUMIFS('Gider Miktar'!T:T,'Gider Miktar'!$B:$B,'Emanet Miktar Dağılım'!$D4,'Gider Miktar'!$F:$F,1001)+SUMIFS('Gider Miktar'!T:T,'Gider Miktar'!$B:$B,'Emanet Miktar Dağılım'!$D4,'Gider Miktar'!$F:$F,1002)+SUMIFS('Gider Miktar'!T:T,'Gider Miktar'!$B:$B,'Emanet Miktar Dağılım'!$D4,'Gider Miktar'!$F:$F,1003)+SUMIFS('Gider Miktar'!T:T,'Gider Miktar'!$B:$B,'Emanet Miktar Dağılım'!$D4,'Gider Miktar'!$F:$F,1004)</f>
        <v>0</v>
      </c>
      <c r="L4" s="9">
        <f>+SUMIFS('Gider Miktar'!U:U,'Gider Miktar'!$B:$B,'Emanet Miktar Dağılım'!$D4,'Gider Miktar'!$F:$F,1001)+SUMIFS('Gider Miktar'!U:U,'Gider Miktar'!$B:$B,'Emanet Miktar Dağılım'!$D4,'Gider Miktar'!$F:$F,1002)+SUMIFS('Gider Miktar'!U:U,'Gider Miktar'!$B:$B,'Emanet Miktar Dağılım'!$D4,'Gider Miktar'!$F:$F,1003)+SUMIFS('Gider Miktar'!U:U,'Gider Miktar'!$B:$B,'Emanet Miktar Dağılım'!$D4,'Gider Miktar'!$F:$F,1004)</f>
        <v>0</v>
      </c>
      <c r="M4" s="9">
        <f>+SUMIFS('Gider Miktar'!V:V,'Gider Miktar'!$B:$B,'Emanet Miktar Dağılım'!$D4,'Gider Miktar'!$F:$F,1001)+SUMIFS('Gider Miktar'!V:V,'Gider Miktar'!$B:$B,'Emanet Miktar Dağılım'!$D4,'Gider Miktar'!$F:$F,1002)+SUMIFS('Gider Miktar'!V:V,'Gider Miktar'!$B:$B,'Emanet Miktar Dağılım'!$D4,'Gider Miktar'!$F:$F,1003)+SUMIFS('Gider Miktar'!V:V,'Gider Miktar'!$B:$B,'Emanet Miktar Dağılım'!$D4,'Gider Miktar'!$F:$F,1004)</f>
        <v>0</v>
      </c>
      <c r="N4" s="11">
        <f>+SUMIFS('Gider Miktar'!W:W,'Gider Miktar'!$B:$B,'Emanet Miktar Dağılım'!$D4,'Gider Miktar'!$F:$F,1001)+SUMIFS('Gider Miktar'!W:W,'Gider Miktar'!$B:$B,'Emanet Miktar Dağılım'!$D4,'Gider Miktar'!$F:$F,1002)+SUMIFS('Gider Miktar'!W:W,'Gider Miktar'!$B:$B,'Emanet Miktar Dağılım'!$D4,'Gider Miktar'!$F:$F,1003)+SUMIFS('Gider Miktar'!W:W,'Gider Miktar'!$B:$B,'Emanet Miktar Dağılım'!$D4,'Gider Miktar'!$F:$F,1004)</f>
        <v>0</v>
      </c>
      <c r="O4" s="9">
        <f>+SUMIFS('Gider Miktar'!X:X,'Gider Miktar'!$B:$B,'Emanet Miktar Dağılım'!$D4,'Gider Miktar'!$F:$F,1001)+SUMIFS('Gider Miktar'!X:X,'Gider Miktar'!$B:$B,'Emanet Miktar Dağılım'!$D4,'Gider Miktar'!$F:$F,1002)+SUMIFS('Gider Miktar'!X:X,'Gider Miktar'!$B:$B,'Emanet Miktar Dağılım'!$D4,'Gider Miktar'!$F:$F,1003)+SUMIFS('Gider Miktar'!X:X,'Gider Miktar'!$B:$B,'Emanet Miktar Dağılım'!$D4,'Gider Miktar'!$F:$F,1004)</f>
        <v>42.949857720536528</v>
      </c>
      <c r="P4" s="9">
        <f>+SUMIFS('Gider Miktar'!Y:Y,'Gider Miktar'!$B:$B,'Emanet Miktar Dağılım'!$D4,'Gider Miktar'!$F:$F,1001)+SUMIFS('Gider Miktar'!Y:Y,'Gider Miktar'!$B:$B,'Emanet Miktar Dağılım'!$D4,'Gider Miktar'!$F:$F,1002)+SUMIFS('Gider Miktar'!Y:Y,'Gider Miktar'!$B:$B,'Emanet Miktar Dağılım'!$D4,'Gider Miktar'!$F:$F,1003)+SUMIFS('Gider Miktar'!Y:Y,'Gider Miktar'!$B:$B,'Emanet Miktar Dağılım'!$D4,'Gider Miktar'!$F:$F,1004)</f>
        <v>66.129273589767806</v>
      </c>
      <c r="Q4" s="9">
        <f>+SUMIFS('Gider Miktar'!Z:Z,'Gider Miktar'!$B:$B,'Emanet Miktar Dağılım'!$D4,'Gider Miktar'!$F:$F,1001)+SUMIFS('Gider Miktar'!Z:Z,'Gider Miktar'!$B:$B,'Emanet Miktar Dağılım'!$D4,'Gider Miktar'!$F:$F,1002)+SUMIFS('Gider Miktar'!Z:Z,'Gider Miktar'!$B:$B,'Emanet Miktar Dağılım'!$D4,'Gider Miktar'!$F:$F,1003)+SUMIFS('Gider Miktar'!Z:Z,'Gider Miktar'!$B:$B,'Emanet Miktar Dağılım'!$D4,'Gider Miktar'!$F:$F,1004)</f>
        <v>94.568390688860617</v>
      </c>
      <c r="R4" s="9">
        <f>+SUMIFS('Gider Miktar'!AA:AA,'Gider Miktar'!$B:$B,'Emanet Miktar Dağılım'!$D4,'Gider Miktar'!$F:$F,1001)+SUMIFS('Gider Miktar'!AA:AA,'Gider Miktar'!$B:$B,'Emanet Miktar Dağılım'!$D4,'Gider Miktar'!$F:$F,1002)+SUMIFS('Gider Miktar'!AA:AA,'Gider Miktar'!$B:$B,'Emanet Miktar Dağılım'!$D4,'Gider Miktar'!$F:$F,1003)+SUMIFS('Gider Miktar'!AA:AA,'Gider Miktar'!$B:$B,'Emanet Miktar Dağılım'!$D4,'Gider Miktar'!$F:$F,1004)</f>
        <v>115.57653846030584</v>
      </c>
      <c r="S4" s="9">
        <f>+SUMIFS('Gider Miktar'!AB:AB,'Gider Miktar'!$B:$B,'Emanet Miktar Dağılım'!$D4,'Gider Miktar'!$F:$F,1001)+SUMIFS('Gider Miktar'!AB:AB,'Gider Miktar'!$B:$B,'Emanet Miktar Dağılım'!$D4,'Gider Miktar'!$F:$F,1002)+SUMIFS('Gider Miktar'!AB:AB,'Gider Miktar'!$B:$B,'Emanet Miktar Dağılım'!$D4,'Gider Miktar'!$F:$F,1003)+SUMIFS('Gider Miktar'!AB:AB,'Gider Miktar'!$B:$B,'Emanet Miktar Dağılım'!$D4,'Gider Miktar'!$F:$F,1004)</f>
        <v>100.99356549720312</v>
      </c>
      <c r="T4" s="9">
        <f>+SUMIFS('Gider Miktar'!AC:AC,'Gider Miktar'!$B:$B,'Emanet Miktar Dağılım'!$D4,'Gider Miktar'!$F:$F,1001)+SUMIFS('Gider Miktar'!AC:AC,'Gider Miktar'!$B:$B,'Emanet Miktar Dağılım'!$D4,'Gider Miktar'!$F:$F,1002)+SUMIFS('Gider Miktar'!AC:AC,'Gider Miktar'!$B:$B,'Emanet Miktar Dağılım'!$D4,'Gider Miktar'!$F:$F,1003)+SUMIFS('Gider Miktar'!AC:AC,'Gider Miktar'!$B:$B,'Emanet Miktar Dağılım'!$D4,'Gider Miktar'!$F:$F,1004)</f>
        <v>139.36793999021359</v>
      </c>
      <c r="U4" s="9">
        <f>+SUMIFS('Gider Miktar'!AD:AD,'Gider Miktar'!$B:$B,'Emanet Miktar Dağılım'!$D4,'Gider Miktar'!$F:$F,1001)+SUMIFS('Gider Miktar'!AD:AD,'Gider Miktar'!$B:$B,'Emanet Miktar Dağılım'!$D4,'Gider Miktar'!$F:$F,1002)+SUMIFS('Gider Miktar'!AD:AD,'Gider Miktar'!$B:$B,'Emanet Miktar Dağılım'!$D4,'Gider Miktar'!$F:$F,1003)+SUMIFS('Gider Miktar'!AD:AD,'Gider Miktar'!$B:$B,'Emanet Miktar Dağılım'!$D4,'Gider Miktar'!$F:$F,1004)</f>
        <v>222.23168746149182</v>
      </c>
      <c r="V4" s="9">
        <f>+SUMIFS('Gider Miktar'!AE:AE,'Gider Miktar'!$B:$B,'Emanet Miktar Dağılım'!$D4,'Gider Miktar'!$F:$F,1001)+SUMIFS('Gider Miktar'!AE:AE,'Gider Miktar'!$B:$B,'Emanet Miktar Dağılım'!$D4,'Gider Miktar'!$F:$F,1002)+SUMIFS('Gider Miktar'!AE:AE,'Gider Miktar'!$B:$B,'Emanet Miktar Dağılım'!$D4,'Gider Miktar'!$F:$F,1003)+SUMIFS('Gider Miktar'!AE:AE,'Gider Miktar'!$B:$B,'Emanet Miktar Dağılım'!$D4,'Gider Miktar'!$F:$F,1004)</f>
        <v>154.98587505857725</v>
      </c>
      <c r="W4" s="9">
        <f>+SUMIFS('Gider Miktar'!AF:AF,'Gider Miktar'!$B:$B,'Emanet Miktar Dağılım'!$D4,'Gider Miktar'!$F:$F,1001)+SUMIFS('Gider Miktar'!AF:AF,'Gider Miktar'!$B:$B,'Emanet Miktar Dağılım'!$D4,'Gider Miktar'!$F:$F,1002)+SUMIFS('Gider Miktar'!AF:AF,'Gider Miktar'!$B:$B,'Emanet Miktar Dağılım'!$D4,'Gider Miktar'!$F:$F,1003)+SUMIFS('Gider Miktar'!AF:AF,'Gider Miktar'!$B:$B,'Emanet Miktar Dağılım'!$D4,'Gider Miktar'!$F:$F,1004)</f>
        <v>146.38943215244899</v>
      </c>
      <c r="X4" s="9">
        <f>+SUMIFS('Gider Miktar'!AG:AG,'Gider Miktar'!$B:$B,'Emanet Miktar Dağılım'!$D4,'Gider Miktar'!$F:$F,1001)+SUMIFS('Gider Miktar'!AG:AG,'Gider Miktar'!$B:$B,'Emanet Miktar Dağılım'!$D4,'Gider Miktar'!$F:$F,1002)+SUMIFS('Gider Miktar'!AG:AG,'Gider Miktar'!$B:$B,'Emanet Miktar Dağılım'!$D4,'Gider Miktar'!$F:$F,1003)+SUMIFS('Gider Miktar'!AG:AG,'Gider Miktar'!$B:$B,'Emanet Miktar Dağılım'!$D4,'Gider Miktar'!$F:$F,1004)</f>
        <v>189.66598593773938</v>
      </c>
      <c r="Y4" s="9">
        <f>+SUMIFS('Gider Miktar'!AH:AH,'Gider Miktar'!$B:$B,'Emanet Miktar Dağılım'!$D4,'Gider Miktar'!$F:$F,1001)+SUMIFS('Gider Miktar'!AH:AH,'Gider Miktar'!$B:$B,'Emanet Miktar Dağılım'!$D4,'Gider Miktar'!$F:$F,1002)+SUMIFS('Gider Miktar'!AH:AH,'Gider Miktar'!$B:$B,'Emanet Miktar Dağılım'!$D4,'Gider Miktar'!$F:$F,1003)+SUMIFS('Gider Miktar'!AH:AH,'Gider Miktar'!$B:$B,'Emanet Miktar Dağılım'!$D4,'Gider Miktar'!$F:$F,1004)</f>
        <v>232.21356235112108</v>
      </c>
      <c r="Z4" s="9">
        <f>+SUMIFS('Gider Miktar'!AI:AI,'Gider Miktar'!$B:$B,'Emanet Miktar Dağılım'!$D4,'Gider Miktar'!$F:$F,1001)+SUMIFS('Gider Miktar'!AI:AI,'Gider Miktar'!$B:$B,'Emanet Miktar Dağılım'!$D4,'Gider Miktar'!$F:$F,1002)+SUMIFS('Gider Miktar'!AI:AI,'Gider Miktar'!$B:$B,'Emanet Miktar Dağılım'!$D4,'Gider Miktar'!$F:$F,1003)+SUMIFS('Gider Miktar'!AI:AI,'Gider Miktar'!$B:$B,'Emanet Miktar Dağılım'!$D4,'Gider Miktar'!$F:$F,1004)</f>
        <v>223.61711944499274</v>
      </c>
      <c r="AA4" s="9">
        <f>+SUMIFS('Gider Miktar'!AJ:AJ,'Gider Miktar'!$B:$B,'Emanet Miktar Dağılım'!$D4,'Gider Miktar'!$F:$F,1001)+SUMIFS('Gider Miktar'!AJ:AJ,'Gider Miktar'!$B:$B,'Emanet Miktar Dağılım'!$D4,'Gider Miktar'!$F:$F,1002)+SUMIFS('Gider Miktar'!AJ:AJ,'Gider Miktar'!$B:$B,'Emanet Miktar Dağılım'!$D4,'Gider Miktar'!$F:$F,1003)+SUMIFS('Gider Miktar'!AJ:AJ,'Gider Miktar'!$B:$B,'Emanet Miktar Dağılım'!$D4,'Gider Miktar'!$F:$F,1004)</f>
        <v>223.61711944499274</v>
      </c>
      <c r="AB4" s="9">
        <f>+SUMIFS('Gider Miktar'!AK:AK,'Gider Miktar'!$B:$B,'Emanet Miktar Dağılım'!$D4,'Gider Miktar'!$F:$F,1001)+SUMIFS('Gider Miktar'!AK:AK,'Gider Miktar'!$B:$B,'Emanet Miktar Dağılım'!$D4,'Gider Miktar'!$F:$F,1002)+SUMIFS('Gider Miktar'!AK:AK,'Gider Miktar'!$B:$B,'Emanet Miktar Dağılım'!$D4,'Gider Miktar'!$F:$F,1003)+SUMIFS('Gider Miktar'!AK:AK,'Gider Miktar'!$B:$B,'Emanet Miktar Dağılım'!$D4,'Gider Miktar'!$F:$F,1004)</f>
        <v>198.90365612696061</v>
      </c>
      <c r="AC4" s="9">
        <f>+SUMIFS('Gider Miktar'!AL:AL,'Gider Miktar'!$B:$B,'Emanet Miktar Dağılım'!$D4,'Gider Miktar'!$F:$F,1001)+SUMIFS('Gider Miktar'!AL:AL,'Gider Miktar'!$B:$B,'Emanet Miktar Dağılım'!$D4,'Gider Miktar'!$F:$F,1002)+SUMIFS('Gider Miktar'!AL:AL,'Gider Miktar'!$B:$B,'Emanet Miktar Dağılım'!$D4,'Gider Miktar'!$F:$F,1003)+SUMIFS('Gider Miktar'!AL:AL,'Gider Miktar'!$B:$B,'Emanet Miktar Dağılım'!$D4,'Gider Miktar'!$F:$F,1004)</f>
        <v>157.52794092835401</v>
      </c>
      <c r="AD4" s="9">
        <f>+SUMIFS('Gider Miktar'!AM:AM,'Gider Miktar'!$B:$B,'Emanet Miktar Dağılım'!$D4,'Gider Miktar'!$F:$F,1001)+SUMIFS('Gider Miktar'!AM:AM,'Gider Miktar'!$B:$B,'Emanet Miktar Dağılım'!$D4,'Gider Miktar'!$F:$F,1002)+SUMIFS('Gider Miktar'!AM:AM,'Gider Miktar'!$B:$B,'Emanet Miktar Dağılım'!$D4,'Gider Miktar'!$F:$F,1003)+SUMIFS('Gider Miktar'!AM:AM,'Gider Miktar'!$B:$B,'Emanet Miktar Dağılım'!$D4,'Gider Miktar'!$F:$F,1004)</f>
        <v>124.77962004991713</v>
      </c>
      <c r="AE4" s="9">
        <f>+SUMIFS('Gider Miktar'!AN:AN,'Gider Miktar'!$B:$B,'Emanet Miktar Dağılım'!$D4,'Gider Miktar'!$F:$F,1001)+SUMIFS('Gider Miktar'!AN:AN,'Gider Miktar'!$B:$B,'Emanet Miktar Dağılım'!$D4,'Gider Miktar'!$F:$F,1002)+SUMIFS('Gider Miktar'!AN:AN,'Gider Miktar'!$B:$B,'Emanet Miktar Dağılım'!$D4,'Gider Miktar'!$F:$F,1003)+SUMIFS('Gider Miktar'!AN:AN,'Gider Miktar'!$B:$B,'Emanet Miktar Dağılım'!$D4,'Gider Miktar'!$F:$F,1004)</f>
        <v>106.59092027212094</v>
      </c>
      <c r="AF4" s="9">
        <f>+SUMIFS('Gider Miktar'!AO:AO,'Gider Miktar'!$B:$B,'Emanet Miktar Dağılım'!$D4,'Gider Miktar'!$F:$F,1001)+SUMIFS('Gider Miktar'!AO:AO,'Gider Miktar'!$B:$B,'Emanet Miktar Dağılım'!$D4,'Gider Miktar'!$F:$F,1002)+SUMIFS('Gider Miktar'!AO:AO,'Gider Miktar'!$B:$B,'Emanet Miktar Dağılım'!$D4,'Gider Miktar'!$F:$F,1003)+SUMIFS('Gider Miktar'!AO:AO,'Gider Miktar'!$B:$B,'Emanet Miktar Dağılım'!$D4,'Gider Miktar'!$F:$F,1004)</f>
        <v>110.75264170548829</v>
      </c>
      <c r="AG4" s="9">
        <f>+SUMIFS('Gider Miktar'!AP:AP,'Gider Miktar'!$B:$B,'Emanet Miktar Dağılım'!$D4,'Gider Miktar'!$F:$F,1001)+SUMIFS('Gider Miktar'!AP:AP,'Gider Miktar'!$B:$B,'Emanet Miktar Dağılım'!$D4,'Gider Miktar'!$F:$F,1002)+SUMIFS('Gider Miktar'!AP:AP,'Gider Miktar'!$B:$B,'Emanet Miktar Dağılım'!$D4,'Gider Miktar'!$F:$F,1003)+SUMIFS('Gider Miktar'!AP:AP,'Gider Miktar'!$B:$B,'Emanet Miktar Dağılım'!$D4,'Gider Miktar'!$F:$F,1004)</f>
        <v>148.5150305378223</v>
      </c>
      <c r="AH4" s="9">
        <f>+SUMIFS('Gider Miktar'!AQ:AQ,'Gider Miktar'!$B:$B,'Emanet Miktar Dağılım'!$D4,'Gider Miktar'!$F:$F,1001)+SUMIFS('Gider Miktar'!AQ:AQ,'Gider Miktar'!$B:$B,'Emanet Miktar Dağılım'!$D4,'Gider Miktar'!$F:$F,1002)+SUMIFS('Gider Miktar'!AQ:AQ,'Gider Miktar'!$B:$B,'Emanet Miktar Dağılım'!$D4,'Gider Miktar'!$F:$F,1003)+SUMIFS('Gider Miktar'!AQ:AQ,'Gider Miktar'!$B:$B,'Emanet Miktar Dağılım'!$D4,'Gider Miktar'!$F:$F,1004)</f>
        <v>157.11147344395056</v>
      </c>
      <c r="AI4" s="9">
        <f>+SUMIFS('Gider Miktar'!AR:AR,'Gider Miktar'!$B:$B,'Emanet Miktar Dağılım'!$D4,'Gider Miktar'!$F:$F,1001)+SUMIFS('Gider Miktar'!AR:AR,'Gider Miktar'!$B:$B,'Emanet Miktar Dağılım'!$D4,'Gider Miktar'!$F:$F,1002)+SUMIFS('Gider Miktar'!AR:AR,'Gider Miktar'!$B:$B,'Emanet Miktar Dağılım'!$D4,'Gider Miktar'!$F:$F,1003)+SUMIFS('Gider Miktar'!AR:AR,'Gider Miktar'!$B:$B,'Emanet Miktar Dağılım'!$D4,'Gider Miktar'!$F:$F,1004)</f>
        <v>157.11147344395056</v>
      </c>
      <c r="AJ4" s="9">
        <f>+SUMIFS('Gider Miktar'!AS:AS,'Gider Miktar'!$B:$B,'Emanet Miktar Dağılım'!$D4,'Gider Miktar'!$F:$F,1001)+SUMIFS('Gider Miktar'!AS:AS,'Gider Miktar'!$B:$B,'Emanet Miktar Dağılım'!$D4,'Gider Miktar'!$F:$F,1002)+SUMIFS('Gider Miktar'!AS:AS,'Gider Miktar'!$B:$B,'Emanet Miktar Dağılım'!$D4,'Gider Miktar'!$F:$F,1003)+SUMIFS('Gider Miktar'!AS:AS,'Gider Miktar'!$B:$B,'Emanet Miktar Dağılım'!$D4,'Gider Miktar'!$F:$F,1004)</f>
        <v>157.11147344395056</v>
      </c>
      <c r="AK4" s="9">
        <f>+SUMIFS('Gider Miktar'!AT:AT,'Gider Miktar'!$B:$B,'Emanet Miktar Dağılım'!$D4,'Gider Miktar'!$F:$F,1001)+SUMIFS('Gider Miktar'!AT:AT,'Gider Miktar'!$B:$B,'Emanet Miktar Dağılım'!$D4,'Gider Miktar'!$F:$F,1002)+SUMIFS('Gider Miktar'!AT:AT,'Gider Miktar'!$B:$B,'Emanet Miktar Dağılım'!$D4,'Gider Miktar'!$F:$F,1003)+SUMIFS('Gider Miktar'!AT:AT,'Gider Miktar'!$B:$B,'Emanet Miktar Dağılım'!$D4,'Gider Miktar'!$F:$F,1004)</f>
        <v>148.5150305378223</v>
      </c>
      <c r="AL4" s="9">
        <f>+SUMIFS('Gider Miktar'!AU:AU,'Gider Miktar'!$B:$B,'Emanet Miktar Dağılım'!$D4,'Gider Miktar'!$F:$F,1001)+SUMIFS('Gider Miktar'!AU:AU,'Gider Miktar'!$B:$B,'Emanet Miktar Dağılım'!$D4,'Gider Miktar'!$F:$F,1002)+SUMIFS('Gider Miktar'!AU:AU,'Gider Miktar'!$B:$B,'Emanet Miktar Dağılım'!$D4,'Gider Miktar'!$F:$F,1003)+SUMIFS('Gider Miktar'!AU:AU,'Gider Miktar'!$B:$B,'Emanet Miktar Dağılım'!$D4,'Gider Miktar'!$F:$F,1004)</f>
        <v>139.91858763169373</v>
      </c>
      <c r="AM4" s="9">
        <f>+SUMIFS('Gider Miktar'!AV:AV,'Gider Miktar'!$B:$B,'Emanet Miktar Dağılım'!$D4,'Gider Miktar'!$F:$F,1001)+SUMIFS('Gider Miktar'!AV:AV,'Gider Miktar'!$B:$B,'Emanet Miktar Dağılım'!$D4,'Gider Miktar'!$F:$F,1002)+SUMIFS('Gider Miktar'!AV:AV,'Gider Miktar'!$B:$B,'Emanet Miktar Dağılım'!$D4,'Gider Miktar'!$F:$F,1003)+SUMIFS('Gider Miktar'!AV:AV,'Gider Miktar'!$B:$B,'Emanet Miktar Dağılım'!$D4,'Gider Miktar'!$F:$F,1004)</f>
        <v>139.91858763169373</v>
      </c>
      <c r="AN4" s="9">
        <f>+SUMIFS('Gider Miktar'!AW:AW,'Gider Miktar'!$B:$B,'Emanet Miktar Dağılım'!$D4,'Gider Miktar'!$F:$F,1001)+SUMIFS('Gider Miktar'!AW:AW,'Gider Miktar'!$B:$B,'Emanet Miktar Dağılım'!$D4,'Gider Miktar'!$F:$F,1002)+SUMIFS('Gider Miktar'!AW:AW,'Gider Miktar'!$B:$B,'Emanet Miktar Dağılım'!$D4,'Gider Miktar'!$F:$F,1003)+SUMIFS('Gider Miktar'!AW:AW,'Gider Miktar'!$B:$B,'Emanet Miktar Dağılım'!$D4,'Gider Miktar'!$F:$F,1004)</f>
        <v>58.331891852411175</v>
      </c>
      <c r="AO4" s="9">
        <f>+SUMIFS('Gider Miktar'!AX:AX,'Gider Miktar'!$B:$B,'Emanet Miktar Dağılım'!$D4,'Gider Miktar'!$F:$F,1001)+SUMIFS('Gider Miktar'!AX:AX,'Gider Miktar'!$B:$B,'Emanet Miktar Dağılım'!$D4,'Gider Miktar'!$F:$F,1002)+SUMIFS('Gider Miktar'!AX:AX,'Gider Miktar'!$B:$B,'Emanet Miktar Dağılım'!$D4,'Gider Miktar'!$F:$F,1003)+SUMIFS('Gider Miktar'!AX:AX,'Gider Miktar'!$B:$B,'Emanet Miktar Dağılım'!$D4,'Gider Miktar'!$F:$F,1004)</f>
        <v>68.636716371600983</v>
      </c>
      <c r="AP4" s="9">
        <f>+SUMIFS('Gider Miktar'!AY:AY,'Gider Miktar'!$B:$B,'Emanet Miktar Dağılım'!$D4,'Gider Miktar'!$F:$F,1001)+SUMIFS('Gider Miktar'!AY:AY,'Gider Miktar'!$B:$B,'Emanet Miktar Dağılım'!$D4,'Gider Miktar'!$F:$F,1002)+SUMIFS('Gider Miktar'!AY:AY,'Gider Miktar'!$B:$B,'Emanet Miktar Dağılım'!$D4,'Gider Miktar'!$F:$F,1003)+SUMIFS('Gider Miktar'!AY:AY,'Gider Miktar'!$B:$B,'Emanet Miktar Dağılım'!$D4,'Gider Miktar'!$F:$F,1004)</f>
        <v>68.636716371600983</v>
      </c>
      <c r="AQ4" s="9">
        <f>+SUMIFS('Gider Miktar'!AZ:AZ,'Gider Miktar'!$B:$B,'Emanet Miktar Dağılım'!$D4,'Gider Miktar'!$F:$F,1001)+SUMIFS('Gider Miktar'!AZ:AZ,'Gider Miktar'!$B:$B,'Emanet Miktar Dağılım'!$D4,'Gider Miktar'!$F:$F,1002)+SUMIFS('Gider Miktar'!AZ:AZ,'Gider Miktar'!$B:$B,'Emanet Miktar Dağılım'!$D4,'Gider Miktar'!$F:$F,1003)+SUMIFS('Gider Miktar'!AZ:AZ,'Gider Miktar'!$B:$B,'Emanet Miktar Dağılım'!$D4,'Gider Miktar'!$F:$F,1004)</f>
        <v>58.331891852411175</v>
      </c>
      <c r="AR4" s="9">
        <f>+SUMIFS('Gider Miktar'!BA:BA,'Gider Miktar'!$B:$B,'Emanet Miktar Dağılım'!$D4,'Gider Miktar'!$F:$F,1001)+SUMIFS('Gider Miktar'!BA:BA,'Gider Miktar'!$B:$B,'Emanet Miktar Dağılım'!$D4,'Gider Miktar'!$F:$F,1002)+SUMIFS('Gider Miktar'!BA:BA,'Gider Miktar'!$B:$B,'Emanet Miktar Dağılım'!$D4,'Gider Miktar'!$F:$F,1003)+SUMIFS('Gider Miktar'!BA:BA,'Gider Miktar'!$B:$B,'Emanet Miktar Dağılım'!$D4,'Gider Miktar'!$F:$F,1004)</f>
        <v>0</v>
      </c>
      <c r="AS4" s="9">
        <f>+SUMIFS('Gider Miktar'!BB:BB,'Gider Miktar'!$B:$B,'Emanet Miktar Dağılım'!$D4,'Gider Miktar'!$F:$F,1001)+SUMIFS('Gider Miktar'!BB:BB,'Gider Miktar'!$B:$B,'Emanet Miktar Dağılım'!$D4,'Gider Miktar'!$F:$F,1002)+SUMIFS('Gider Miktar'!BB:BB,'Gider Miktar'!$B:$B,'Emanet Miktar Dağılım'!$D4,'Gider Miktar'!$F:$F,1003)+SUMIFS('Gider Miktar'!BB:BB,'Gider Miktar'!$B:$B,'Emanet Miktar Dağılım'!$D4,'Gider Miktar'!$F:$F,1004)</f>
        <v>0</v>
      </c>
      <c r="AT4" s="9">
        <f>+SUMIFS('Gider Miktar'!BC:BC,'Gider Miktar'!$B:$B,'Emanet Miktar Dağılım'!$D4,'Gider Miktar'!$F:$F,1001)+SUMIFS('Gider Miktar'!BC:BC,'Gider Miktar'!$B:$B,'Emanet Miktar Dağılım'!$D4,'Gider Miktar'!$F:$F,1002)+SUMIFS('Gider Miktar'!BC:BC,'Gider Miktar'!$B:$B,'Emanet Miktar Dağılım'!$D4,'Gider Miktar'!$F:$F,1003)+SUMIFS('Gider Miktar'!BC:BC,'Gider Miktar'!$B:$B,'Emanet Miktar Dağılım'!$D4,'Gider Miktar'!$F:$F,1004)</f>
        <v>0</v>
      </c>
      <c r="AU4" s="9">
        <f>+SUMIFS('Gider Miktar'!BD:BD,'Gider Miktar'!$B:$B,'Emanet Miktar Dağılım'!$D4,'Gider Miktar'!$F:$F,1001)+SUMIFS('Gider Miktar'!BD:BD,'Gider Miktar'!$B:$B,'Emanet Miktar Dağılım'!$D4,'Gider Miktar'!$F:$F,1002)+SUMIFS('Gider Miktar'!BD:BD,'Gider Miktar'!$B:$B,'Emanet Miktar Dağılım'!$D4,'Gider Miktar'!$F:$F,1003)+SUMIFS('Gider Miktar'!BD:BD,'Gider Miktar'!$B:$B,'Emanet Miktar Dağılım'!$D4,'Gider Miktar'!$F:$F,1004)</f>
        <v>0</v>
      </c>
      <c r="AV4" s="9">
        <f>+SUMIFS('Gider Miktar'!BE:BE,'Gider Miktar'!$B:$B,'Emanet Miktar Dağılım'!$D4,'Gider Miktar'!$F:$F,1001)+SUMIFS('Gider Miktar'!BE:BE,'Gider Miktar'!$B:$B,'Emanet Miktar Dağılım'!$D4,'Gider Miktar'!$F:$F,1002)+SUMIFS('Gider Miktar'!BE:BE,'Gider Miktar'!$B:$B,'Emanet Miktar Dağılım'!$D4,'Gider Miktar'!$F:$F,1003)+SUMIFS('Gider Miktar'!BE:BE,'Gider Miktar'!$B:$B,'Emanet Miktar Dağılım'!$D4,'Gider Miktar'!$F:$F,1004)</f>
        <v>0</v>
      </c>
      <c r="AW4" s="9">
        <f>+SUMIFS('Gider Miktar'!BF:BF,'Gider Miktar'!$B:$B,'Emanet Miktar Dağılım'!$D4,'Gider Miktar'!$F:$F,1001)+SUMIFS('Gider Miktar'!BF:BF,'Gider Miktar'!$B:$B,'Emanet Miktar Dağılım'!$D4,'Gider Miktar'!$F:$F,1002)+SUMIFS('Gider Miktar'!BF:BF,'Gider Miktar'!$B:$B,'Emanet Miktar Dağılım'!$D4,'Gider Miktar'!$F:$F,1003)+SUMIFS('Gider Miktar'!BF:BF,'Gider Miktar'!$B:$B,'Emanet Miktar Dağılım'!$D4,'Gider Miktar'!$F:$F,1004)</f>
        <v>0</v>
      </c>
      <c r="AX4" s="9">
        <f>+SUMIFS('Gider Miktar'!BG:BG,'Gider Miktar'!$B:$B,'Emanet Miktar Dağılım'!$D4,'Gider Miktar'!$F:$F,1001)+SUMIFS('Gider Miktar'!BG:BG,'Gider Miktar'!$B:$B,'Emanet Miktar Dağılım'!$D4,'Gider Miktar'!$F:$F,1002)+SUMIFS('Gider Miktar'!BG:BG,'Gider Miktar'!$B:$B,'Emanet Miktar Dağılım'!$D4,'Gider Miktar'!$F:$F,1003)+SUMIFS('Gider Miktar'!BG:BG,'Gider Miktar'!$B:$B,'Emanet Miktar Dağılım'!$D4,'Gider Miktar'!$F:$F,1004)</f>
        <v>0</v>
      </c>
      <c r="AY4" s="9">
        <f>+SUMIFS('Gider Miktar'!BH:BH,'Gider Miktar'!$B:$B,'Emanet Miktar Dağılım'!$D4,'Gider Miktar'!$F:$F,1001)+SUMIFS('Gider Miktar'!BH:BH,'Gider Miktar'!$B:$B,'Emanet Miktar Dağılım'!$D4,'Gider Miktar'!$F:$F,1002)+SUMIFS('Gider Miktar'!BH:BH,'Gider Miktar'!$B:$B,'Emanet Miktar Dağılım'!$D4,'Gider Miktar'!$F:$F,1003)+SUMIFS('Gider Miktar'!BH:BH,'Gider Miktar'!$B:$B,'Emanet Miktar Dağılım'!$D4,'Gider Miktar'!$F:$F,1004)</f>
        <v>0</v>
      </c>
      <c r="AZ4" s="9">
        <f>+SUMIFS('Gider Miktar'!BI:BI,'Gider Miktar'!$B:$B,'Emanet Miktar Dağılım'!$D4,'Gider Miktar'!$F:$F,1001)+SUMIFS('Gider Miktar'!BI:BI,'Gider Miktar'!$B:$B,'Emanet Miktar Dağılım'!$D4,'Gider Miktar'!$F:$F,1002)+SUMIFS('Gider Miktar'!BI:BI,'Gider Miktar'!$B:$B,'Emanet Miktar Dağılım'!$D4,'Gider Miktar'!$F:$F,1003)+SUMIFS('Gider Miktar'!BI:BI,'Gider Miktar'!$B:$B,'Emanet Miktar Dağılım'!$D4,'Gider Miktar'!$F:$F,1004)</f>
        <v>0</v>
      </c>
      <c r="BA4" s="9">
        <f>+SUMIFS('Gider Miktar'!BJ:BJ,'Gider Miktar'!$B:$B,'Emanet Miktar Dağılım'!$D4,'Gider Miktar'!$F:$F,1001)+SUMIFS('Gider Miktar'!BJ:BJ,'Gider Miktar'!$B:$B,'Emanet Miktar Dağılım'!$D4,'Gider Miktar'!$F:$F,1002)+SUMIFS('Gider Miktar'!BJ:BJ,'Gider Miktar'!$B:$B,'Emanet Miktar Dağılım'!$D4,'Gider Miktar'!$F:$F,1003)+SUMIFS('Gider Miktar'!BJ:BJ,'Gider Miktar'!$B:$B,'Emanet Miktar Dağılım'!$D4,'Gider Miktar'!$F:$F,1004)</f>
        <v>0</v>
      </c>
      <c r="BB4" s="9">
        <f>+SUMIFS('Gider Miktar'!BK:BK,'Gider Miktar'!$B:$B,'Emanet Miktar Dağılım'!$D4,'Gider Miktar'!$F:$F,1001)+SUMIFS('Gider Miktar'!BK:BK,'Gider Miktar'!$B:$B,'Emanet Miktar Dağılım'!$D4,'Gider Miktar'!$F:$F,1002)+SUMIFS('Gider Miktar'!BK:BK,'Gider Miktar'!$B:$B,'Emanet Miktar Dağılım'!$D4,'Gider Miktar'!$F:$F,1003)+SUMIFS('Gider Miktar'!BK:BK,'Gider Miktar'!$B:$B,'Emanet Miktar Dağılım'!$D4,'Gider Miktar'!$F:$F,1004)</f>
        <v>0</v>
      </c>
      <c r="BC4" s="9">
        <f>+SUMIFS('Gider Miktar'!BL:BL,'Gider Miktar'!$B:$B,'Emanet Miktar Dağılım'!$D4,'Gider Miktar'!$F:$F,1001)+SUMIFS('Gider Miktar'!BL:BL,'Gider Miktar'!$B:$B,'Emanet Miktar Dağılım'!$D4,'Gider Miktar'!$F:$F,1002)+SUMIFS('Gider Miktar'!BL:BL,'Gider Miktar'!$B:$B,'Emanet Miktar Dağılım'!$D4,'Gider Miktar'!$F:$F,1003)+SUMIFS('Gider Miktar'!BL:BL,'Gider Miktar'!$B:$B,'Emanet Miktar Dağılım'!$D4,'Gider Miktar'!$F:$F,1004)</f>
        <v>0</v>
      </c>
      <c r="BD4" s="9">
        <f>+SUMIFS('Gider Miktar'!BM:BM,'Gider Miktar'!$B:$B,'Emanet Miktar Dağılım'!$D4,'Gider Miktar'!$F:$F,1001)+SUMIFS('Gider Miktar'!BM:BM,'Gider Miktar'!$B:$B,'Emanet Miktar Dağılım'!$D4,'Gider Miktar'!$F:$F,1002)+SUMIFS('Gider Miktar'!BM:BM,'Gider Miktar'!$B:$B,'Emanet Miktar Dağılım'!$D4,'Gider Miktar'!$F:$F,1003)+SUMIFS('Gider Miktar'!BM:BM,'Gider Miktar'!$B:$B,'Emanet Miktar Dağılım'!$D4,'Gider Miktar'!$F:$F,1004)</f>
        <v>0</v>
      </c>
      <c r="BE4" s="9">
        <f>+SUMIFS('Gider Miktar'!BN:BN,'Gider Miktar'!$B:$B,'Emanet Miktar Dağılım'!$D4,'Gider Miktar'!$F:$F,1001)+SUMIFS('Gider Miktar'!BN:BN,'Gider Miktar'!$B:$B,'Emanet Miktar Dağılım'!$D4,'Gider Miktar'!$F:$F,1002)+SUMIFS('Gider Miktar'!BN:BN,'Gider Miktar'!$B:$B,'Emanet Miktar Dağılım'!$D4,'Gider Miktar'!$F:$F,1003)+SUMIFS('Gider Miktar'!BN:BN,'Gider Miktar'!$B:$B,'Emanet Miktar Dağılım'!$D4,'Gider Miktar'!$F:$F,1004)</f>
        <v>0</v>
      </c>
      <c r="BF4" s="9">
        <f>+SUMIFS('Gider Miktar'!BO:BO,'Gider Miktar'!$B:$B,'Emanet Miktar Dağılım'!$D4,'Gider Miktar'!$F:$F,1001)+SUMIFS('Gider Miktar'!BO:BO,'Gider Miktar'!$B:$B,'Emanet Miktar Dağılım'!$D4,'Gider Miktar'!$F:$F,1002)+SUMIFS('Gider Miktar'!BO:BO,'Gider Miktar'!$B:$B,'Emanet Miktar Dağılım'!$D4,'Gider Miktar'!$F:$F,1003)+SUMIFS('Gider Miktar'!BO:BO,'Gider Miktar'!$B:$B,'Emanet Miktar Dağılım'!$D4,'Gider Miktar'!$F:$F,1004)</f>
        <v>0</v>
      </c>
      <c r="BG4" s="9">
        <f>+SUMIFS('Gider Miktar'!BP:BP,'Gider Miktar'!$B:$B,'Emanet Miktar Dağılım'!$D4,'Gider Miktar'!$F:$F,1001)+SUMIFS('Gider Miktar'!BP:BP,'Gider Miktar'!$B:$B,'Emanet Miktar Dağılım'!$D4,'Gider Miktar'!$F:$F,1002)+SUMIFS('Gider Miktar'!BP:BP,'Gider Miktar'!$B:$B,'Emanet Miktar Dağılım'!$D4,'Gider Miktar'!$F:$F,1003)+SUMIFS('Gider Miktar'!BP:BP,'Gider Miktar'!$B:$B,'Emanet Miktar Dağılım'!$D4,'Gider Miktar'!$F:$F,1004)</f>
        <v>0</v>
      </c>
      <c r="BH4" s="9">
        <f>+SUMIFS('Gider Miktar'!BQ:BQ,'Gider Miktar'!$B:$B,'Emanet Miktar Dağılım'!$D4,'Gider Miktar'!$F:$F,1001)+SUMIFS('Gider Miktar'!BQ:BQ,'Gider Miktar'!$B:$B,'Emanet Miktar Dağılım'!$D4,'Gider Miktar'!$F:$F,1002)+SUMIFS('Gider Miktar'!BQ:BQ,'Gider Miktar'!$B:$B,'Emanet Miktar Dağılım'!$D4,'Gider Miktar'!$F:$F,1003)+SUMIFS('Gider Miktar'!BQ:BQ,'Gider Miktar'!$B:$B,'Emanet Miktar Dağılım'!$D4,'Gider Miktar'!$F:$F,1004)</f>
        <v>0</v>
      </c>
      <c r="BI4" s="9">
        <f>+SUMIFS('Gider Miktar'!BR:BR,'Gider Miktar'!$B:$B,'Emanet Miktar Dağılım'!$D4,'Gider Miktar'!$F:$F,1001)+SUMIFS('Gider Miktar'!BR:BR,'Gider Miktar'!$B:$B,'Emanet Miktar Dağılım'!$D4,'Gider Miktar'!$F:$F,1002)+SUMIFS('Gider Miktar'!BR:BR,'Gider Miktar'!$B:$B,'Emanet Miktar Dağılım'!$D4,'Gider Miktar'!$F:$F,1003)+SUMIFS('Gider Miktar'!BR:BR,'Gider Miktar'!$B:$B,'Emanet Miktar Dağılım'!$D4,'Gider Miktar'!$F:$F,1004)</f>
        <v>0</v>
      </c>
      <c r="BJ4" s="9">
        <f>+SUMIFS('Gider Miktar'!BS:BS,'Gider Miktar'!$B:$B,'Emanet Miktar Dağılım'!$D4,'Gider Miktar'!$F:$F,1001)+SUMIFS('Gider Miktar'!BS:BS,'Gider Miktar'!$B:$B,'Emanet Miktar Dağılım'!$D4,'Gider Miktar'!$F:$F,1002)+SUMIFS('Gider Miktar'!BS:BS,'Gider Miktar'!$B:$B,'Emanet Miktar Dağılım'!$D4,'Gider Miktar'!$F:$F,1003)+SUMIFS('Gider Miktar'!BS:BS,'Gider Miktar'!$B:$B,'Emanet Miktar Dağılım'!$D4,'Gider Miktar'!$F:$F,1004)</f>
        <v>0</v>
      </c>
      <c r="BK4" s="9">
        <f>+SUMIFS('Gider Miktar'!BT:BT,'Gider Miktar'!$B:$B,'Emanet Miktar Dağılım'!$D4,'Gider Miktar'!$F:$F,1001)+SUMIFS('Gider Miktar'!BT:BT,'Gider Miktar'!$B:$B,'Emanet Miktar Dağılım'!$D4,'Gider Miktar'!$F:$F,1002)+SUMIFS('Gider Miktar'!BT:BT,'Gider Miktar'!$B:$B,'Emanet Miktar Dağılım'!$D4,'Gider Miktar'!$F:$F,1003)+SUMIFS('Gider Miktar'!BT:BT,'Gider Miktar'!$B:$B,'Emanet Miktar Dağılım'!$D4,'Gider Miktar'!$F:$F,1004)</f>
        <v>0</v>
      </c>
      <c r="BL4" s="9">
        <f>+SUMIFS('Gider Miktar'!BU:BU,'Gider Miktar'!$B:$B,'Emanet Miktar Dağılım'!$D4,'Gider Miktar'!$F:$F,1001)+SUMIFS('Gider Miktar'!BU:BU,'Gider Miktar'!$B:$B,'Emanet Miktar Dağılım'!$D4,'Gider Miktar'!$F:$F,1002)+SUMIFS('Gider Miktar'!BU:BU,'Gider Miktar'!$B:$B,'Emanet Miktar Dağılım'!$D4,'Gider Miktar'!$F:$F,1003)+SUMIFS('Gider Miktar'!BU:BU,'Gider Miktar'!$B:$B,'Emanet Miktar Dağılım'!$D4,'Gider Miktar'!$F:$F,1004)</f>
        <v>0</v>
      </c>
      <c r="BM4" s="9">
        <f>+SUMIFS('Gider Miktar'!BV:BV,'Gider Miktar'!$B:$B,'Emanet Miktar Dağılım'!$D4,'Gider Miktar'!$F:$F,1001)+SUMIFS('Gider Miktar'!BV:BV,'Gider Miktar'!$B:$B,'Emanet Miktar Dağılım'!$D4,'Gider Miktar'!$F:$F,1002)+SUMIFS('Gider Miktar'!BV:BV,'Gider Miktar'!$B:$B,'Emanet Miktar Dağılım'!$D4,'Gider Miktar'!$F:$F,1003)+SUMIFS('Gider Miktar'!BV:BV,'Gider Miktar'!$B:$B,'Emanet Miktar Dağılım'!$D4,'Gider Miktar'!$F:$F,1004)</f>
        <v>0</v>
      </c>
      <c r="BN4" s="9">
        <f>+SUMIFS('Gider Miktar'!BW:BW,'Gider Miktar'!$B:$B,'Emanet Miktar Dağılım'!$D4,'Gider Miktar'!$F:$F,1001)+SUMIFS('Gider Miktar'!BW:BW,'Gider Miktar'!$B:$B,'Emanet Miktar Dağılım'!$D4,'Gider Miktar'!$F:$F,1002)+SUMIFS('Gider Miktar'!BW:BW,'Gider Miktar'!$B:$B,'Emanet Miktar Dağılım'!$D4,'Gider Miktar'!$F:$F,1003)+SUMIFS('Gider Miktar'!BW:BW,'Gider Miktar'!$B:$B,'Emanet Miktar Dağılım'!$D4,'Gider Miktar'!$F:$F,1004)</f>
        <v>0</v>
      </c>
      <c r="BO4" s="9">
        <f>+SUMIFS('Gider Miktar'!BX:BX,'Gider Miktar'!$B:$B,'Emanet Miktar Dağılım'!$D4,'Gider Miktar'!$F:$F,1001)+SUMIFS('Gider Miktar'!BX:BX,'Gider Miktar'!$B:$B,'Emanet Miktar Dağılım'!$D4,'Gider Miktar'!$F:$F,1002)+SUMIFS('Gider Miktar'!BX:BX,'Gider Miktar'!$B:$B,'Emanet Miktar Dağılım'!$D4,'Gider Miktar'!$F:$F,1003)+SUMIFS('Gider Miktar'!BX:BX,'Gider Miktar'!$B:$B,'Emanet Miktar Dağılım'!$D4,'Gider Miktar'!$F:$F,1004)</f>
        <v>0</v>
      </c>
    </row>
    <row r="5" spans="2:67">
      <c r="D5" t="s">
        <v>7</v>
      </c>
      <c r="E5" s="9">
        <f>+SUMIFS('Gider Miktar'!N:N,'Gider Miktar'!$B:$B,'Emanet Miktar Dağılım'!$D5,'Gider Miktar'!$F:$F,1001)+SUMIFS('Gider Miktar'!N:N,'Gider Miktar'!$B:$B,'Emanet Miktar Dağılım'!$D5,'Gider Miktar'!$F:$F,1002)+SUMIFS('Gider Miktar'!N:N,'Gider Miktar'!$B:$B,'Emanet Miktar Dağılım'!$D5,'Gider Miktar'!$F:$F,1003)+SUMIFS('Gider Miktar'!N:N,'Gider Miktar'!$B:$B,'Emanet Miktar Dağılım'!$D5,'Gider Miktar'!$F:$F,1004)</f>
        <v>0</v>
      </c>
      <c r="F5" s="9">
        <f>+SUMIFS('Gider Miktar'!O:O,'Gider Miktar'!$B:$B,'Emanet Miktar Dağılım'!$D5,'Gider Miktar'!$F:$F,1001)+SUMIFS('Gider Miktar'!O:O,'Gider Miktar'!$B:$B,'Emanet Miktar Dağılım'!$D5,'Gider Miktar'!$F:$F,1002)+SUMIFS('Gider Miktar'!O:O,'Gider Miktar'!$B:$B,'Emanet Miktar Dağılım'!$D5,'Gider Miktar'!$F:$F,1003)+SUMIFS('Gider Miktar'!O:O,'Gider Miktar'!$B:$B,'Emanet Miktar Dağılım'!$D5,'Gider Miktar'!$F:$F,1004)</f>
        <v>0</v>
      </c>
      <c r="G5" s="9">
        <f>+SUMIFS('Gider Miktar'!P:P,'Gider Miktar'!$B:$B,'Emanet Miktar Dağılım'!$D5,'Gider Miktar'!$F:$F,1001)+SUMIFS('Gider Miktar'!P:P,'Gider Miktar'!$B:$B,'Emanet Miktar Dağılım'!$D5,'Gider Miktar'!$F:$F,1002)+SUMIFS('Gider Miktar'!P:P,'Gider Miktar'!$B:$B,'Emanet Miktar Dağılım'!$D5,'Gider Miktar'!$F:$F,1003)+SUMIFS('Gider Miktar'!P:P,'Gider Miktar'!$B:$B,'Emanet Miktar Dağılım'!$D5,'Gider Miktar'!$F:$F,1004)</f>
        <v>323.02</v>
      </c>
      <c r="H5" s="9">
        <f>+SUMIFS('Gider Miktar'!Q:Q,'Gider Miktar'!$B:$B,'Emanet Miktar Dağılım'!$D5,'Gider Miktar'!$F:$F,1001)+SUMIFS('Gider Miktar'!Q:Q,'Gider Miktar'!$B:$B,'Emanet Miktar Dağılım'!$D5,'Gider Miktar'!$F:$F,1002)+SUMIFS('Gider Miktar'!Q:Q,'Gider Miktar'!$B:$B,'Emanet Miktar Dağılım'!$D5,'Gider Miktar'!$F:$F,1003)+SUMIFS('Gider Miktar'!Q:Q,'Gider Miktar'!$B:$B,'Emanet Miktar Dağılım'!$D5,'Gider Miktar'!$F:$F,1004)</f>
        <v>362.56000000000006</v>
      </c>
      <c r="I5" s="9">
        <f>+SUMIFS('Gider Miktar'!R:R,'Gider Miktar'!$B:$B,'Emanet Miktar Dağılım'!$D5,'Gider Miktar'!$F:$F,1001)+SUMIFS('Gider Miktar'!R:R,'Gider Miktar'!$B:$B,'Emanet Miktar Dağılım'!$D5,'Gider Miktar'!$F:$F,1002)+SUMIFS('Gider Miktar'!R:R,'Gider Miktar'!$B:$B,'Emanet Miktar Dağılım'!$D5,'Gider Miktar'!$F:$F,1003)+SUMIFS('Gider Miktar'!R:R,'Gider Miktar'!$B:$B,'Emanet Miktar Dağılım'!$D5,'Gider Miktar'!$F:$F,1004)</f>
        <v>301.04999999999995</v>
      </c>
      <c r="J5" s="9">
        <f>+SUMIFS('Gider Miktar'!S:S,'Gider Miktar'!$B:$B,'Emanet Miktar Dağılım'!$D5,'Gider Miktar'!$F:$F,1001)+SUMIFS('Gider Miktar'!S:S,'Gider Miktar'!$B:$B,'Emanet Miktar Dağılım'!$D5,'Gider Miktar'!$F:$F,1002)+SUMIFS('Gider Miktar'!S:S,'Gider Miktar'!$B:$B,'Emanet Miktar Dağılım'!$D5,'Gider Miktar'!$F:$F,1003)+SUMIFS('Gider Miktar'!S:S,'Gider Miktar'!$B:$B,'Emanet Miktar Dağılım'!$D5,'Gider Miktar'!$F:$F,1004)</f>
        <v>270.52499999999998</v>
      </c>
      <c r="K5" s="9">
        <f>+SUMIFS('Gider Miktar'!T:T,'Gider Miktar'!$B:$B,'Emanet Miktar Dağılım'!$D5,'Gider Miktar'!$F:$F,1001)+SUMIFS('Gider Miktar'!T:T,'Gider Miktar'!$B:$B,'Emanet Miktar Dağılım'!$D5,'Gider Miktar'!$F:$F,1002)+SUMIFS('Gider Miktar'!T:T,'Gider Miktar'!$B:$B,'Emanet Miktar Dağılım'!$D5,'Gider Miktar'!$F:$F,1003)+SUMIFS('Gider Miktar'!T:T,'Gider Miktar'!$B:$B,'Emanet Miktar Dağılım'!$D5,'Gider Miktar'!$F:$F,1004)</f>
        <v>271.42940399999998</v>
      </c>
      <c r="L5" s="9">
        <f>+SUMIFS('Gider Miktar'!U:U,'Gider Miktar'!$B:$B,'Emanet Miktar Dağılım'!$D5,'Gider Miktar'!$F:$F,1001)+SUMIFS('Gider Miktar'!U:U,'Gider Miktar'!$B:$B,'Emanet Miktar Dağılım'!$D5,'Gider Miktar'!$F:$F,1002)+SUMIFS('Gider Miktar'!U:U,'Gider Miktar'!$B:$B,'Emanet Miktar Dağılım'!$D5,'Gider Miktar'!$F:$F,1003)+SUMIFS('Gider Miktar'!U:U,'Gider Miktar'!$B:$B,'Emanet Miktar Dağılım'!$D5,'Gider Miktar'!$F:$F,1004)</f>
        <v>0.17012089999998467</v>
      </c>
      <c r="M5" s="9">
        <f>+SUMIFS('Gider Miktar'!V:V,'Gider Miktar'!$B:$B,'Emanet Miktar Dağılım'!$D5,'Gider Miktar'!$F:$F,1001)+SUMIFS('Gider Miktar'!V:V,'Gider Miktar'!$B:$B,'Emanet Miktar Dağılım'!$D5,'Gider Miktar'!$F:$F,1002)+SUMIFS('Gider Miktar'!V:V,'Gider Miktar'!$B:$B,'Emanet Miktar Dağılım'!$D5,'Gider Miktar'!$F:$F,1003)+SUMIFS('Gider Miktar'!V:V,'Gider Miktar'!$B:$B,'Emanet Miktar Dağılım'!$D5,'Gider Miktar'!$F:$F,1004)</f>
        <v>426.18700000000024</v>
      </c>
      <c r="N5" s="11">
        <f>+SUMIFS('Gider Miktar'!W:W,'Gider Miktar'!$B:$B,'Emanet Miktar Dağılım'!$D5,'Gider Miktar'!$F:$F,1001)+SUMIFS('Gider Miktar'!W:W,'Gider Miktar'!$B:$B,'Emanet Miktar Dağılım'!$D5,'Gider Miktar'!$F:$F,1002)+SUMIFS('Gider Miktar'!W:W,'Gider Miktar'!$B:$B,'Emanet Miktar Dağılım'!$D5,'Gider Miktar'!$F:$F,1003)+SUMIFS('Gider Miktar'!W:W,'Gider Miktar'!$B:$B,'Emanet Miktar Dağılım'!$D5,'Gider Miktar'!$F:$F,1004)</f>
        <v>0</v>
      </c>
      <c r="O5" s="9">
        <f>+SUMIFS('Gider Miktar'!X:X,'Gider Miktar'!$B:$B,'Emanet Miktar Dağılım'!$D5,'Gider Miktar'!$F:$F,1001)+SUMIFS('Gider Miktar'!X:X,'Gider Miktar'!$B:$B,'Emanet Miktar Dağılım'!$D5,'Gider Miktar'!$F:$F,1002)+SUMIFS('Gider Miktar'!X:X,'Gider Miktar'!$B:$B,'Emanet Miktar Dağılım'!$D5,'Gider Miktar'!$F:$F,1003)+SUMIFS('Gider Miktar'!X:X,'Gider Miktar'!$B:$B,'Emanet Miktar Dağılım'!$D5,'Gider Miktar'!$F:$F,1004)</f>
        <v>20.2818705298181</v>
      </c>
      <c r="P5" s="9">
        <f>+SUMIFS('Gider Miktar'!Y:Y,'Gider Miktar'!$B:$B,'Emanet Miktar Dağılım'!$D5,'Gider Miktar'!$F:$F,1001)+SUMIFS('Gider Miktar'!Y:Y,'Gider Miktar'!$B:$B,'Emanet Miktar Dağılım'!$D5,'Gider Miktar'!$F:$F,1002)+SUMIFS('Gider Miktar'!Y:Y,'Gider Miktar'!$B:$B,'Emanet Miktar Dağılım'!$D5,'Gider Miktar'!$F:$F,1003)+SUMIFS('Gider Miktar'!Y:Y,'Gider Miktar'!$B:$B,'Emanet Miktar Dağılım'!$D5,'Gider Miktar'!$F:$F,1004)</f>
        <v>47.671812333785205</v>
      </c>
      <c r="Q5" s="9">
        <f>+SUMIFS('Gider Miktar'!Z:Z,'Gider Miktar'!$B:$B,'Emanet Miktar Dağılım'!$D5,'Gider Miktar'!$F:$F,1001)+SUMIFS('Gider Miktar'!Z:Z,'Gider Miktar'!$B:$B,'Emanet Miktar Dağılım'!$D5,'Gider Miktar'!$F:$F,1002)+SUMIFS('Gider Miktar'!Z:Z,'Gider Miktar'!$B:$B,'Emanet Miktar Dağılım'!$D5,'Gider Miktar'!$F:$F,1003)+SUMIFS('Gider Miktar'!Z:Z,'Gider Miktar'!$B:$B,'Emanet Miktar Dağılım'!$D5,'Gider Miktar'!$F:$F,1004)</f>
        <v>280.23476428648905</v>
      </c>
      <c r="R5" s="9">
        <f>+SUMIFS('Gider Miktar'!AA:AA,'Gider Miktar'!$B:$B,'Emanet Miktar Dağılım'!$D5,'Gider Miktar'!$F:$F,1001)+SUMIFS('Gider Miktar'!AA:AA,'Gider Miktar'!$B:$B,'Emanet Miktar Dağılım'!$D5,'Gider Miktar'!$F:$F,1002)+SUMIFS('Gider Miktar'!AA:AA,'Gider Miktar'!$B:$B,'Emanet Miktar Dağılım'!$D5,'Gider Miktar'!$F:$F,1003)+SUMIFS('Gider Miktar'!AA:AA,'Gider Miktar'!$B:$B,'Emanet Miktar Dağılım'!$D5,'Gider Miktar'!$F:$F,1004)</f>
        <v>298.39947750036021</v>
      </c>
      <c r="S5" s="9">
        <f>+SUMIFS('Gider Miktar'!AB:AB,'Gider Miktar'!$B:$B,'Emanet Miktar Dağılım'!$D5,'Gider Miktar'!$F:$F,1001)+SUMIFS('Gider Miktar'!AB:AB,'Gider Miktar'!$B:$B,'Emanet Miktar Dağılım'!$D5,'Gider Miktar'!$F:$F,1002)+SUMIFS('Gider Miktar'!AB:AB,'Gider Miktar'!$B:$B,'Emanet Miktar Dağılım'!$D5,'Gider Miktar'!$F:$F,1003)+SUMIFS('Gider Miktar'!AB:AB,'Gider Miktar'!$B:$B,'Emanet Miktar Dağılım'!$D5,'Gider Miktar'!$F:$F,1004)</f>
        <v>283.26887360629593</v>
      </c>
      <c r="T5" s="9">
        <f>+SUMIFS('Gider Miktar'!AC:AC,'Gider Miktar'!$B:$B,'Emanet Miktar Dağılım'!$D5,'Gider Miktar'!$F:$F,1001)+SUMIFS('Gider Miktar'!AC:AC,'Gider Miktar'!$B:$B,'Emanet Miktar Dağılım'!$D5,'Gider Miktar'!$F:$F,1002)+SUMIFS('Gider Miktar'!AC:AC,'Gider Miktar'!$B:$B,'Emanet Miktar Dağılım'!$D5,'Gider Miktar'!$F:$F,1003)+SUMIFS('Gider Miktar'!AC:AC,'Gider Miktar'!$B:$B,'Emanet Miktar Dağılım'!$D5,'Gider Miktar'!$F:$F,1004)</f>
        <v>293.17020593033271</v>
      </c>
      <c r="U5" s="9">
        <f>+SUMIFS('Gider Miktar'!AD:AD,'Gider Miktar'!$B:$B,'Emanet Miktar Dağılım'!$D5,'Gider Miktar'!$F:$F,1001)+SUMIFS('Gider Miktar'!AD:AD,'Gider Miktar'!$B:$B,'Emanet Miktar Dağılım'!$D5,'Gider Miktar'!$F:$F,1002)+SUMIFS('Gider Miktar'!AD:AD,'Gider Miktar'!$B:$B,'Emanet Miktar Dağılım'!$D5,'Gider Miktar'!$F:$F,1003)+SUMIFS('Gider Miktar'!AD:AD,'Gider Miktar'!$B:$B,'Emanet Miktar Dağılım'!$D5,'Gider Miktar'!$F:$F,1004)</f>
        <v>583.90907201308028</v>
      </c>
      <c r="V5" s="9">
        <f>+SUMIFS('Gider Miktar'!AE:AE,'Gider Miktar'!$B:$B,'Emanet Miktar Dağılım'!$D5,'Gider Miktar'!$F:$F,1001)+SUMIFS('Gider Miktar'!AE:AE,'Gider Miktar'!$B:$B,'Emanet Miktar Dağılım'!$D5,'Gider Miktar'!$F:$F,1002)+SUMIFS('Gider Miktar'!AE:AE,'Gider Miktar'!$B:$B,'Emanet Miktar Dağılım'!$D5,'Gider Miktar'!$F:$F,1003)+SUMIFS('Gider Miktar'!AE:AE,'Gider Miktar'!$B:$B,'Emanet Miktar Dağılım'!$D5,'Gider Miktar'!$F:$F,1004)</f>
        <v>324.77653996616965</v>
      </c>
      <c r="W5" s="9">
        <f>+SUMIFS('Gider Miktar'!AF:AF,'Gider Miktar'!$B:$B,'Emanet Miktar Dağılım'!$D5,'Gider Miktar'!$F:$F,1001)+SUMIFS('Gider Miktar'!AF:AF,'Gider Miktar'!$B:$B,'Emanet Miktar Dağılım'!$D5,'Gider Miktar'!$F:$F,1002)+SUMIFS('Gider Miktar'!AF:AF,'Gider Miktar'!$B:$B,'Emanet Miktar Dağılım'!$D5,'Gider Miktar'!$F:$F,1003)+SUMIFS('Gider Miktar'!AF:AF,'Gider Miktar'!$B:$B,'Emanet Miktar Dağılım'!$D5,'Gider Miktar'!$F:$F,1004)</f>
        <v>312.5172020562668</v>
      </c>
      <c r="X5" s="9">
        <f>+SUMIFS('Gider Miktar'!AG:AG,'Gider Miktar'!$B:$B,'Emanet Miktar Dağılım'!$D5,'Gider Miktar'!$F:$F,1001)+SUMIFS('Gider Miktar'!AG:AG,'Gider Miktar'!$B:$B,'Emanet Miktar Dağılım'!$D5,'Gider Miktar'!$F:$F,1002)+SUMIFS('Gider Miktar'!AG:AG,'Gider Miktar'!$B:$B,'Emanet Miktar Dağılım'!$D5,'Gider Miktar'!$F:$F,1003)+SUMIFS('Gider Miktar'!AG:AG,'Gider Miktar'!$B:$B,'Emanet Miktar Dağılım'!$D5,'Gider Miktar'!$F:$F,1004)</f>
        <v>558.40025831852438</v>
      </c>
      <c r="Y5" s="9">
        <f>+SUMIFS('Gider Miktar'!AH:AH,'Gider Miktar'!$B:$B,'Emanet Miktar Dağılım'!$D5,'Gider Miktar'!$F:$F,1001)+SUMIFS('Gider Miktar'!AH:AH,'Gider Miktar'!$B:$B,'Emanet Miktar Dağılım'!$D5,'Gider Miktar'!$F:$F,1002)+SUMIFS('Gider Miktar'!AH:AH,'Gider Miktar'!$B:$B,'Emanet Miktar Dağılım'!$D5,'Gider Miktar'!$F:$F,1003)+SUMIFS('Gider Miktar'!AH:AH,'Gider Miktar'!$B:$B,'Emanet Miktar Dağılım'!$D5,'Gider Miktar'!$F:$F,1004)</f>
        <v>803.36186941777908</v>
      </c>
      <c r="Z5" s="9">
        <f>+SUMIFS('Gider Miktar'!AI:AI,'Gider Miktar'!$B:$B,'Emanet Miktar Dağılım'!$D5,'Gider Miktar'!$F:$F,1001)+SUMIFS('Gider Miktar'!AI:AI,'Gider Miktar'!$B:$B,'Emanet Miktar Dağılım'!$D5,'Gider Miktar'!$F:$F,1002)+SUMIFS('Gider Miktar'!AI:AI,'Gider Miktar'!$B:$B,'Emanet Miktar Dağılım'!$D5,'Gider Miktar'!$F:$F,1003)+SUMIFS('Gider Miktar'!AI:AI,'Gider Miktar'!$B:$B,'Emanet Miktar Dağılım'!$D5,'Gider Miktar'!$F:$F,1004)</f>
        <v>791.10253150787594</v>
      </c>
      <c r="AA5" s="9">
        <f>+SUMIFS('Gider Miktar'!AJ:AJ,'Gider Miktar'!$B:$B,'Emanet Miktar Dağılım'!$D5,'Gider Miktar'!$F:$F,1001)+SUMIFS('Gider Miktar'!AJ:AJ,'Gider Miktar'!$B:$B,'Emanet Miktar Dağılım'!$D5,'Gider Miktar'!$F:$F,1002)+SUMIFS('Gider Miktar'!AJ:AJ,'Gider Miktar'!$B:$B,'Emanet Miktar Dağılım'!$D5,'Gider Miktar'!$F:$F,1003)+SUMIFS('Gider Miktar'!AJ:AJ,'Gider Miktar'!$B:$B,'Emanet Miktar Dağılım'!$D5,'Gider Miktar'!$F:$F,1004)</f>
        <v>791.10253150787594</v>
      </c>
      <c r="AB5" s="9">
        <f>+SUMIFS('Gider Miktar'!AK:AK,'Gider Miktar'!$B:$B,'Emanet Miktar Dağılım'!$D5,'Gider Miktar'!$F:$F,1001)+SUMIFS('Gider Miktar'!AK:AK,'Gider Miktar'!$B:$B,'Emanet Miktar Dağılım'!$D5,'Gider Miktar'!$F:$F,1002)+SUMIFS('Gider Miktar'!AK:AK,'Gider Miktar'!$B:$B,'Emanet Miktar Dağılım'!$D5,'Gider Miktar'!$F:$F,1003)+SUMIFS('Gider Miktar'!AK:AK,'Gider Miktar'!$B:$B,'Emanet Miktar Dağılım'!$D5,'Gider Miktar'!$F:$F,1004)</f>
        <v>693.67022345925363</v>
      </c>
      <c r="AC5" s="9">
        <f>+SUMIFS('Gider Miktar'!AL:AL,'Gider Miktar'!$B:$B,'Emanet Miktar Dağılım'!$D5,'Gider Miktar'!$F:$F,1001)+SUMIFS('Gider Miktar'!AL:AL,'Gider Miktar'!$B:$B,'Emanet Miktar Dağılım'!$D5,'Gider Miktar'!$F:$F,1002)+SUMIFS('Gider Miktar'!AL:AL,'Gider Miktar'!$B:$B,'Emanet Miktar Dağılım'!$D5,'Gider Miktar'!$F:$F,1003)+SUMIFS('Gider Miktar'!AL:AL,'Gider Miktar'!$B:$B,'Emanet Miktar Dağılım'!$D5,'Gider Miktar'!$F:$F,1004)</f>
        <v>455.45543639451222</v>
      </c>
      <c r="AD5" s="9">
        <f>+SUMIFS('Gider Miktar'!AM:AM,'Gider Miktar'!$B:$B,'Emanet Miktar Dağılım'!$D5,'Gider Miktar'!$F:$F,1001)+SUMIFS('Gider Miktar'!AM:AM,'Gider Miktar'!$B:$B,'Emanet Miktar Dağılım'!$D5,'Gider Miktar'!$F:$F,1002)+SUMIFS('Gider Miktar'!AM:AM,'Gider Miktar'!$B:$B,'Emanet Miktar Dağılım'!$D5,'Gider Miktar'!$F:$F,1003)+SUMIFS('Gider Miktar'!AM:AM,'Gider Miktar'!$B:$B,'Emanet Miktar Dağılım'!$D5,'Gider Miktar'!$F:$F,1004)</f>
        <v>308.49934852156542</v>
      </c>
      <c r="AE5" s="9">
        <f>+SUMIFS('Gider Miktar'!AN:AN,'Gider Miktar'!$B:$B,'Emanet Miktar Dağılım'!$D5,'Gider Miktar'!$F:$F,1001)+SUMIFS('Gider Miktar'!AN:AN,'Gider Miktar'!$B:$B,'Emanet Miktar Dağılım'!$D5,'Gider Miktar'!$F:$F,1002)+SUMIFS('Gider Miktar'!AN:AN,'Gider Miktar'!$B:$B,'Emanet Miktar Dağılım'!$D5,'Gider Miktar'!$F:$F,1003)+SUMIFS('Gider Miktar'!AN:AN,'Gider Miktar'!$B:$B,'Emanet Miktar Dağılım'!$D5,'Gider Miktar'!$F:$F,1004)</f>
        <v>272.60928605976756</v>
      </c>
      <c r="AF5" s="9">
        <f>+SUMIFS('Gider Miktar'!AO:AO,'Gider Miktar'!$B:$B,'Emanet Miktar Dağılım'!$D5,'Gider Miktar'!$F:$F,1001)+SUMIFS('Gider Miktar'!AO:AO,'Gider Miktar'!$B:$B,'Emanet Miktar Dağılım'!$D5,'Gider Miktar'!$F:$F,1002)+SUMIFS('Gider Miktar'!AO:AO,'Gider Miktar'!$B:$B,'Emanet Miktar Dağılım'!$D5,'Gider Miktar'!$F:$F,1003)+SUMIFS('Gider Miktar'!AO:AO,'Gider Miktar'!$B:$B,'Emanet Miktar Dağılım'!$D5,'Gider Miktar'!$F:$F,1004)</f>
        <v>274.58454307566552</v>
      </c>
      <c r="AG5" s="9">
        <f>+SUMIFS('Gider Miktar'!AP:AP,'Gider Miktar'!$B:$B,'Emanet Miktar Dağılım'!$D5,'Gider Miktar'!$F:$F,1001)+SUMIFS('Gider Miktar'!AP:AP,'Gider Miktar'!$B:$B,'Emanet Miktar Dağılım'!$D5,'Gider Miktar'!$F:$F,1002)+SUMIFS('Gider Miktar'!AP:AP,'Gider Miktar'!$B:$B,'Emanet Miktar Dağılım'!$D5,'Gider Miktar'!$F:$F,1003)+SUMIFS('Gider Miktar'!AP:AP,'Gider Miktar'!$B:$B,'Emanet Miktar Dağılım'!$D5,'Gider Miktar'!$F:$F,1004)</f>
        <v>317.10508877369693</v>
      </c>
      <c r="AH5" s="9">
        <f>+SUMIFS('Gider Miktar'!AQ:AQ,'Gider Miktar'!$B:$B,'Emanet Miktar Dağılım'!$D5,'Gider Miktar'!$F:$F,1001)+SUMIFS('Gider Miktar'!AQ:AQ,'Gider Miktar'!$B:$B,'Emanet Miktar Dağılım'!$D5,'Gider Miktar'!$F:$F,1002)+SUMIFS('Gider Miktar'!AQ:AQ,'Gider Miktar'!$B:$B,'Emanet Miktar Dağılım'!$D5,'Gider Miktar'!$F:$F,1003)+SUMIFS('Gider Miktar'!AQ:AQ,'Gider Miktar'!$B:$B,'Emanet Miktar Dağılım'!$D5,'Gider Miktar'!$F:$F,1004)</f>
        <v>329.36442668359973</v>
      </c>
      <c r="AI5" s="9">
        <f>+SUMIFS('Gider Miktar'!AR:AR,'Gider Miktar'!$B:$B,'Emanet Miktar Dağılım'!$D5,'Gider Miktar'!$F:$F,1001)+SUMIFS('Gider Miktar'!AR:AR,'Gider Miktar'!$B:$B,'Emanet Miktar Dağılım'!$D5,'Gider Miktar'!$F:$F,1002)+SUMIFS('Gider Miktar'!AR:AR,'Gider Miktar'!$B:$B,'Emanet Miktar Dağılım'!$D5,'Gider Miktar'!$F:$F,1003)+SUMIFS('Gider Miktar'!AR:AR,'Gider Miktar'!$B:$B,'Emanet Miktar Dağılım'!$D5,'Gider Miktar'!$F:$F,1004)</f>
        <v>329.36442668359973</v>
      </c>
      <c r="AJ5" s="9">
        <f>+SUMIFS('Gider Miktar'!AS:AS,'Gider Miktar'!$B:$B,'Emanet Miktar Dağılım'!$D5,'Gider Miktar'!$F:$F,1001)+SUMIFS('Gider Miktar'!AS:AS,'Gider Miktar'!$B:$B,'Emanet Miktar Dağılım'!$D5,'Gider Miktar'!$F:$F,1002)+SUMIFS('Gider Miktar'!AS:AS,'Gider Miktar'!$B:$B,'Emanet Miktar Dağılım'!$D5,'Gider Miktar'!$F:$F,1003)+SUMIFS('Gider Miktar'!AS:AS,'Gider Miktar'!$B:$B,'Emanet Miktar Dağılım'!$D5,'Gider Miktar'!$F:$F,1004)</f>
        <v>329.36442668359973</v>
      </c>
      <c r="AK5" s="9">
        <f>+SUMIFS('Gider Miktar'!AT:AT,'Gider Miktar'!$B:$B,'Emanet Miktar Dağılım'!$D5,'Gider Miktar'!$F:$F,1001)+SUMIFS('Gider Miktar'!AT:AT,'Gider Miktar'!$B:$B,'Emanet Miktar Dağılım'!$D5,'Gider Miktar'!$F:$F,1002)+SUMIFS('Gider Miktar'!AT:AT,'Gider Miktar'!$B:$B,'Emanet Miktar Dağılım'!$D5,'Gider Miktar'!$F:$F,1003)+SUMIFS('Gider Miktar'!AT:AT,'Gider Miktar'!$B:$B,'Emanet Miktar Dağılım'!$D5,'Gider Miktar'!$F:$F,1004)</f>
        <v>317.10508877369693</v>
      </c>
      <c r="AL5" s="9">
        <f>+SUMIFS('Gider Miktar'!AU:AU,'Gider Miktar'!$B:$B,'Emanet Miktar Dağılım'!$D5,'Gider Miktar'!$F:$F,1001)+SUMIFS('Gider Miktar'!AU:AU,'Gider Miktar'!$B:$B,'Emanet Miktar Dağılım'!$D5,'Gider Miktar'!$F:$F,1002)+SUMIFS('Gider Miktar'!AU:AU,'Gider Miktar'!$B:$B,'Emanet Miktar Dağılım'!$D5,'Gider Miktar'!$F:$F,1003)+SUMIFS('Gider Miktar'!AU:AU,'Gider Miktar'!$B:$B,'Emanet Miktar Dağılım'!$D5,'Gider Miktar'!$F:$F,1004)</f>
        <v>304.84575086379414</v>
      </c>
      <c r="AM5" s="9">
        <f>+SUMIFS('Gider Miktar'!AV:AV,'Gider Miktar'!$B:$B,'Emanet Miktar Dağılım'!$D5,'Gider Miktar'!$F:$F,1001)+SUMIFS('Gider Miktar'!AV:AV,'Gider Miktar'!$B:$B,'Emanet Miktar Dağılım'!$D5,'Gider Miktar'!$F:$F,1002)+SUMIFS('Gider Miktar'!AV:AV,'Gider Miktar'!$B:$B,'Emanet Miktar Dağılım'!$D5,'Gider Miktar'!$F:$F,1003)+SUMIFS('Gider Miktar'!AV:AV,'Gider Miktar'!$B:$B,'Emanet Miktar Dağılım'!$D5,'Gider Miktar'!$F:$F,1004)</f>
        <v>304.84575086379414</v>
      </c>
      <c r="AN5" s="9">
        <f>+SUMIFS('Gider Miktar'!AW:AW,'Gider Miktar'!$B:$B,'Emanet Miktar Dağılım'!$D5,'Gider Miktar'!$F:$F,1001)+SUMIFS('Gider Miktar'!AW:AW,'Gider Miktar'!$B:$B,'Emanet Miktar Dağılım'!$D5,'Gider Miktar'!$F:$F,1002)+SUMIFS('Gider Miktar'!AW:AW,'Gider Miktar'!$B:$B,'Emanet Miktar Dağılım'!$D5,'Gider Miktar'!$F:$F,1003)+SUMIFS('Gider Miktar'!AW:AW,'Gider Miktar'!$B:$B,'Emanet Miktar Dağılım'!$D5,'Gider Miktar'!$F:$F,1004)</f>
        <v>60.522415576257167</v>
      </c>
      <c r="AO5" s="9">
        <f>+SUMIFS('Gider Miktar'!AX:AX,'Gider Miktar'!$B:$B,'Emanet Miktar Dağılım'!$D5,'Gider Miktar'!$F:$F,1001)+SUMIFS('Gider Miktar'!AX:AX,'Gider Miktar'!$B:$B,'Emanet Miktar Dağılım'!$D5,'Gider Miktar'!$F:$F,1002)+SUMIFS('Gider Miktar'!AX:AX,'Gider Miktar'!$B:$B,'Emanet Miktar Dağılım'!$D5,'Gider Miktar'!$F:$F,1003)+SUMIFS('Gider Miktar'!AX:AX,'Gider Miktar'!$B:$B,'Emanet Miktar Dağılım'!$D5,'Gider Miktar'!$F:$F,1004)</f>
        <v>75.23362106814065</v>
      </c>
      <c r="AP5" s="9">
        <f>+SUMIFS('Gider Miktar'!AY:AY,'Gider Miktar'!$B:$B,'Emanet Miktar Dağılım'!$D5,'Gider Miktar'!$F:$F,1001)+SUMIFS('Gider Miktar'!AY:AY,'Gider Miktar'!$B:$B,'Emanet Miktar Dağılım'!$D5,'Gider Miktar'!$F:$F,1002)+SUMIFS('Gider Miktar'!AY:AY,'Gider Miktar'!$B:$B,'Emanet Miktar Dağılım'!$D5,'Gider Miktar'!$F:$F,1003)+SUMIFS('Gider Miktar'!AY:AY,'Gider Miktar'!$B:$B,'Emanet Miktar Dağılım'!$D5,'Gider Miktar'!$F:$F,1004)</f>
        <v>75.23362106814065</v>
      </c>
      <c r="AQ5" s="9">
        <f>+SUMIFS('Gider Miktar'!AZ:AZ,'Gider Miktar'!$B:$B,'Emanet Miktar Dağılım'!$D5,'Gider Miktar'!$F:$F,1001)+SUMIFS('Gider Miktar'!AZ:AZ,'Gider Miktar'!$B:$B,'Emanet Miktar Dağılım'!$D5,'Gider Miktar'!$F:$F,1002)+SUMIFS('Gider Miktar'!AZ:AZ,'Gider Miktar'!$B:$B,'Emanet Miktar Dağılım'!$D5,'Gider Miktar'!$F:$F,1003)+SUMIFS('Gider Miktar'!AZ:AZ,'Gider Miktar'!$B:$B,'Emanet Miktar Dağılım'!$D5,'Gider Miktar'!$F:$F,1004)</f>
        <v>60.522415576257167</v>
      </c>
      <c r="AR5" s="9">
        <f>+SUMIFS('Gider Miktar'!BA:BA,'Gider Miktar'!$B:$B,'Emanet Miktar Dağılım'!$D5,'Gider Miktar'!$F:$F,1001)+SUMIFS('Gider Miktar'!BA:BA,'Gider Miktar'!$B:$B,'Emanet Miktar Dağılım'!$D5,'Gider Miktar'!$F:$F,1002)+SUMIFS('Gider Miktar'!BA:BA,'Gider Miktar'!$B:$B,'Emanet Miktar Dağılım'!$D5,'Gider Miktar'!$F:$F,1003)+SUMIFS('Gider Miktar'!BA:BA,'Gider Miktar'!$B:$B,'Emanet Miktar Dağılım'!$D5,'Gider Miktar'!$F:$F,1004)</f>
        <v>0</v>
      </c>
      <c r="AS5" s="9">
        <f>+SUMIFS('Gider Miktar'!BB:BB,'Gider Miktar'!$B:$B,'Emanet Miktar Dağılım'!$D5,'Gider Miktar'!$F:$F,1001)+SUMIFS('Gider Miktar'!BB:BB,'Gider Miktar'!$B:$B,'Emanet Miktar Dağılım'!$D5,'Gider Miktar'!$F:$F,1002)+SUMIFS('Gider Miktar'!BB:BB,'Gider Miktar'!$B:$B,'Emanet Miktar Dağılım'!$D5,'Gider Miktar'!$F:$F,1003)+SUMIFS('Gider Miktar'!BB:BB,'Gider Miktar'!$B:$B,'Emanet Miktar Dağılım'!$D5,'Gider Miktar'!$F:$F,1004)</f>
        <v>0</v>
      </c>
      <c r="AT5" s="9">
        <f>+SUMIFS('Gider Miktar'!BC:BC,'Gider Miktar'!$B:$B,'Emanet Miktar Dağılım'!$D5,'Gider Miktar'!$F:$F,1001)+SUMIFS('Gider Miktar'!BC:BC,'Gider Miktar'!$B:$B,'Emanet Miktar Dağılım'!$D5,'Gider Miktar'!$F:$F,1002)+SUMIFS('Gider Miktar'!BC:BC,'Gider Miktar'!$B:$B,'Emanet Miktar Dağılım'!$D5,'Gider Miktar'!$F:$F,1003)+SUMIFS('Gider Miktar'!BC:BC,'Gider Miktar'!$B:$B,'Emanet Miktar Dağılım'!$D5,'Gider Miktar'!$F:$F,1004)</f>
        <v>0</v>
      </c>
      <c r="AU5" s="9">
        <f>+SUMIFS('Gider Miktar'!BD:BD,'Gider Miktar'!$B:$B,'Emanet Miktar Dağılım'!$D5,'Gider Miktar'!$F:$F,1001)+SUMIFS('Gider Miktar'!BD:BD,'Gider Miktar'!$B:$B,'Emanet Miktar Dağılım'!$D5,'Gider Miktar'!$F:$F,1002)+SUMIFS('Gider Miktar'!BD:BD,'Gider Miktar'!$B:$B,'Emanet Miktar Dağılım'!$D5,'Gider Miktar'!$F:$F,1003)+SUMIFS('Gider Miktar'!BD:BD,'Gider Miktar'!$B:$B,'Emanet Miktar Dağılım'!$D5,'Gider Miktar'!$F:$F,1004)</f>
        <v>0</v>
      </c>
      <c r="AV5" s="9">
        <f>+SUMIFS('Gider Miktar'!BE:BE,'Gider Miktar'!$B:$B,'Emanet Miktar Dağılım'!$D5,'Gider Miktar'!$F:$F,1001)+SUMIFS('Gider Miktar'!BE:BE,'Gider Miktar'!$B:$B,'Emanet Miktar Dağılım'!$D5,'Gider Miktar'!$F:$F,1002)+SUMIFS('Gider Miktar'!BE:BE,'Gider Miktar'!$B:$B,'Emanet Miktar Dağılım'!$D5,'Gider Miktar'!$F:$F,1003)+SUMIFS('Gider Miktar'!BE:BE,'Gider Miktar'!$B:$B,'Emanet Miktar Dağılım'!$D5,'Gider Miktar'!$F:$F,1004)</f>
        <v>0</v>
      </c>
      <c r="AW5" s="9">
        <f>+SUMIFS('Gider Miktar'!BF:BF,'Gider Miktar'!$B:$B,'Emanet Miktar Dağılım'!$D5,'Gider Miktar'!$F:$F,1001)+SUMIFS('Gider Miktar'!BF:BF,'Gider Miktar'!$B:$B,'Emanet Miktar Dağılım'!$D5,'Gider Miktar'!$F:$F,1002)+SUMIFS('Gider Miktar'!BF:BF,'Gider Miktar'!$B:$B,'Emanet Miktar Dağılım'!$D5,'Gider Miktar'!$F:$F,1003)+SUMIFS('Gider Miktar'!BF:BF,'Gider Miktar'!$B:$B,'Emanet Miktar Dağılım'!$D5,'Gider Miktar'!$F:$F,1004)</f>
        <v>0</v>
      </c>
      <c r="AX5" s="9">
        <f>+SUMIFS('Gider Miktar'!BG:BG,'Gider Miktar'!$B:$B,'Emanet Miktar Dağılım'!$D5,'Gider Miktar'!$F:$F,1001)+SUMIFS('Gider Miktar'!BG:BG,'Gider Miktar'!$B:$B,'Emanet Miktar Dağılım'!$D5,'Gider Miktar'!$F:$F,1002)+SUMIFS('Gider Miktar'!BG:BG,'Gider Miktar'!$B:$B,'Emanet Miktar Dağılım'!$D5,'Gider Miktar'!$F:$F,1003)+SUMIFS('Gider Miktar'!BG:BG,'Gider Miktar'!$B:$B,'Emanet Miktar Dağılım'!$D5,'Gider Miktar'!$F:$F,1004)</f>
        <v>0</v>
      </c>
      <c r="AY5" s="9">
        <f>+SUMIFS('Gider Miktar'!BH:BH,'Gider Miktar'!$B:$B,'Emanet Miktar Dağılım'!$D5,'Gider Miktar'!$F:$F,1001)+SUMIFS('Gider Miktar'!BH:BH,'Gider Miktar'!$B:$B,'Emanet Miktar Dağılım'!$D5,'Gider Miktar'!$F:$F,1002)+SUMIFS('Gider Miktar'!BH:BH,'Gider Miktar'!$B:$B,'Emanet Miktar Dağılım'!$D5,'Gider Miktar'!$F:$F,1003)+SUMIFS('Gider Miktar'!BH:BH,'Gider Miktar'!$B:$B,'Emanet Miktar Dağılım'!$D5,'Gider Miktar'!$F:$F,1004)</f>
        <v>0</v>
      </c>
      <c r="AZ5" s="9">
        <f>+SUMIFS('Gider Miktar'!BI:BI,'Gider Miktar'!$B:$B,'Emanet Miktar Dağılım'!$D5,'Gider Miktar'!$F:$F,1001)+SUMIFS('Gider Miktar'!BI:BI,'Gider Miktar'!$B:$B,'Emanet Miktar Dağılım'!$D5,'Gider Miktar'!$F:$F,1002)+SUMIFS('Gider Miktar'!BI:BI,'Gider Miktar'!$B:$B,'Emanet Miktar Dağılım'!$D5,'Gider Miktar'!$F:$F,1003)+SUMIFS('Gider Miktar'!BI:BI,'Gider Miktar'!$B:$B,'Emanet Miktar Dağılım'!$D5,'Gider Miktar'!$F:$F,1004)</f>
        <v>0</v>
      </c>
      <c r="BA5" s="9">
        <f>+SUMIFS('Gider Miktar'!BJ:BJ,'Gider Miktar'!$B:$B,'Emanet Miktar Dağılım'!$D5,'Gider Miktar'!$F:$F,1001)+SUMIFS('Gider Miktar'!BJ:BJ,'Gider Miktar'!$B:$B,'Emanet Miktar Dağılım'!$D5,'Gider Miktar'!$F:$F,1002)+SUMIFS('Gider Miktar'!BJ:BJ,'Gider Miktar'!$B:$B,'Emanet Miktar Dağılım'!$D5,'Gider Miktar'!$F:$F,1003)+SUMIFS('Gider Miktar'!BJ:BJ,'Gider Miktar'!$B:$B,'Emanet Miktar Dağılım'!$D5,'Gider Miktar'!$F:$F,1004)</f>
        <v>0</v>
      </c>
      <c r="BB5" s="9">
        <f>+SUMIFS('Gider Miktar'!BK:BK,'Gider Miktar'!$B:$B,'Emanet Miktar Dağılım'!$D5,'Gider Miktar'!$F:$F,1001)+SUMIFS('Gider Miktar'!BK:BK,'Gider Miktar'!$B:$B,'Emanet Miktar Dağılım'!$D5,'Gider Miktar'!$F:$F,1002)+SUMIFS('Gider Miktar'!BK:BK,'Gider Miktar'!$B:$B,'Emanet Miktar Dağılım'!$D5,'Gider Miktar'!$F:$F,1003)+SUMIFS('Gider Miktar'!BK:BK,'Gider Miktar'!$B:$B,'Emanet Miktar Dağılım'!$D5,'Gider Miktar'!$F:$F,1004)</f>
        <v>0</v>
      </c>
      <c r="BC5" s="9">
        <f>+SUMIFS('Gider Miktar'!BL:BL,'Gider Miktar'!$B:$B,'Emanet Miktar Dağılım'!$D5,'Gider Miktar'!$F:$F,1001)+SUMIFS('Gider Miktar'!BL:BL,'Gider Miktar'!$B:$B,'Emanet Miktar Dağılım'!$D5,'Gider Miktar'!$F:$F,1002)+SUMIFS('Gider Miktar'!BL:BL,'Gider Miktar'!$B:$B,'Emanet Miktar Dağılım'!$D5,'Gider Miktar'!$F:$F,1003)+SUMIFS('Gider Miktar'!BL:BL,'Gider Miktar'!$B:$B,'Emanet Miktar Dağılım'!$D5,'Gider Miktar'!$F:$F,1004)</f>
        <v>0</v>
      </c>
      <c r="BD5" s="9">
        <f>+SUMIFS('Gider Miktar'!BM:BM,'Gider Miktar'!$B:$B,'Emanet Miktar Dağılım'!$D5,'Gider Miktar'!$F:$F,1001)+SUMIFS('Gider Miktar'!BM:BM,'Gider Miktar'!$B:$B,'Emanet Miktar Dağılım'!$D5,'Gider Miktar'!$F:$F,1002)+SUMIFS('Gider Miktar'!BM:BM,'Gider Miktar'!$B:$B,'Emanet Miktar Dağılım'!$D5,'Gider Miktar'!$F:$F,1003)+SUMIFS('Gider Miktar'!BM:BM,'Gider Miktar'!$B:$B,'Emanet Miktar Dağılım'!$D5,'Gider Miktar'!$F:$F,1004)</f>
        <v>0</v>
      </c>
      <c r="BE5" s="9">
        <f>+SUMIFS('Gider Miktar'!BN:BN,'Gider Miktar'!$B:$B,'Emanet Miktar Dağılım'!$D5,'Gider Miktar'!$F:$F,1001)+SUMIFS('Gider Miktar'!BN:BN,'Gider Miktar'!$B:$B,'Emanet Miktar Dağılım'!$D5,'Gider Miktar'!$F:$F,1002)+SUMIFS('Gider Miktar'!BN:BN,'Gider Miktar'!$B:$B,'Emanet Miktar Dağılım'!$D5,'Gider Miktar'!$F:$F,1003)+SUMIFS('Gider Miktar'!BN:BN,'Gider Miktar'!$B:$B,'Emanet Miktar Dağılım'!$D5,'Gider Miktar'!$F:$F,1004)</f>
        <v>0</v>
      </c>
      <c r="BF5" s="9">
        <f>+SUMIFS('Gider Miktar'!BO:BO,'Gider Miktar'!$B:$B,'Emanet Miktar Dağılım'!$D5,'Gider Miktar'!$F:$F,1001)+SUMIFS('Gider Miktar'!BO:BO,'Gider Miktar'!$B:$B,'Emanet Miktar Dağılım'!$D5,'Gider Miktar'!$F:$F,1002)+SUMIFS('Gider Miktar'!BO:BO,'Gider Miktar'!$B:$B,'Emanet Miktar Dağılım'!$D5,'Gider Miktar'!$F:$F,1003)+SUMIFS('Gider Miktar'!BO:BO,'Gider Miktar'!$B:$B,'Emanet Miktar Dağılım'!$D5,'Gider Miktar'!$F:$F,1004)</f>
        <v>0</v>
      </c>
      <c r="BG5" s="9">
        <f>+SUMIFS('Gider Miktar'!BP:BP,'Gider Miktar'!$B:$B,'Emanet Miktar Dağılım'!$D5,'Gider Miktar'!$F:$F,1001)+SUMIFS('Gider Miktar'!BP:BP,'Gider Miktar'!$B:$B,'Emanet Miktar Dağılım'!$D5,'Gider Miktar'!$F:$F,1002)+SUMIFS('Gider Miktar'!BP:BP,'Gider Miktar'!$B:$B,'Emanet Miktar Dağılım'!$D5,'Gider Miktar'!$F:$F,1003)+SUMIFS('Gider Miktar'!BP:BP,'Gider Miktar'!$B:$B,'Emanet Miktar Dağılım'!$D5,'Gider Miktar'!$F:$F,1004)</f>
        <v>0</v>
      </c>
      <c r="BH5" s="9">
        <f>+SUMIFS('Gider Miktar'!BQ:BQ,'Gider Miktar'!$B:$B,'Emanet Miktar Dağılım'!$D5,'Gider Miktar'!$F:$F,1001)+SUMIFS('Gider Miktar'!BQ:BQ,'Gider Miktar'!$B:$B,'Emanet Miktar Dağılım'!$D5,'Gider Miktar'!$F:$F,1002)+SUMIFS('Gider Miktar'!BQ:BQ,'Gider Miktar'!$B:$B,'Emanet Miktar Dağılım'!$D5,'Gider Miktar'!$F:$F,1003)+SUMIFS('Gider Miktar'!BQ:BQ,'Gider Miktar'!$B:$B,'Emanet Miktar Dağılım'!$D5,'Gider Miktar'!$F:$F,1004)</f>
        <v>0</v>
      </c>
      <c r="BI5" s="9">
        <f>+SUMIFS('Gider Miktar'!BR:BR,'Gider Miktar'!$B:$B,'Emanet Miktar Dağılım'!$D5,'Gider Miktar'!$F:$F,1001)+SUMIFS('Gider Miktar'!BR:BR,'Gider Miktar'!$B:$B,'Emanet Miktar Dağılım'!$D5,'Gider Miktar'!$F:$F,1002)+SUMIFS('Gider Miktar'!BR:BR,'Gider Miktar'!$B:$B,'Emanet Miktar Dağılım'!$D5,'Gider Miktar'!$F:$F,1003)+SUMIFS('Gider Miktar'!BR:BR,'Gider Miktar'!$B:$B,'Emanet Miktar Dağılım'!$D5,'Gider Miktar'!$F:$F,1004)</f>
        <v>0</v>
      </c>
      <c r="BJ5" s="9">
        <f>+SUMIFS('Gider Miktar'!BS:BS,'Gider Miktar'!$B:$B,'Emanet Miktar Dağılım'!$D5,'Gider Miktar'!$F:$F,1001)+SUMIFS('Gider Miktar'!BS:BS,'Gider Miktar'!$B:$B,'Emanet Miktar Dağılım'!$D5,'Gider Miktar'!$F:$F,1002)+SUMIFS('Gider Miktar'!BS:BS,'Gider Miktar'!$B:$B,'Emanet Miktar Dağılım'!$D5,'Gider Miktar'!$F:$F,1003)+SUMIFS('Gider Miktar'!BS:BS,'Gider Miktar'!$B:$B,'Emanet Miktar Dağılım'!$D5,'Gider Miktar'!$F:$F,1004)</f>
        <v>0</v>
      </c>
      <c r="BK5" s="9">
        <f>+SUMIFS('Gider Miktar'!BT:BT,'Gider Miktar'!$B:$B,'Emanet Miktar Dağılım'!$D5,'Gider Miktar'!$F:$F,1001)+SUMIFS('Gider Miktar'!BT:BT,'Gider Miktar'!$B:$B,'Emanet Miktar Dağılım'!$D5,'Gider Miktar'!$F:$F,1002)+SUMIFS('Gider Miktar'!BT:BT,'Gider Miktar'!$B:$B,'Emanet Miktar Dağılım'!$D5,'Gider Miktar'!$F:$F,1003)+SUMIFS('Gider Miktar'!BT:BT,'Gider Miktar'!$B:$B,'Emanet Miktar Dağılım'!$D5,'Gider Miktar'!$F:$F,1004)</f>
        <v>0</v>
      </c>
      <c r="BL5" s="9">
        <f>+SUMIFS('Gider Miktar'!BU:BU,'Gider Miktar'!$B:$B,'Emanet Miktar Dağılım'!$D5,'Gider Miktar'!$F:$F,1001)+SUMIFS('Gider Miktar'!BU:BU,'Gider Miktar'!$B:$B,'Emanet Miktar Dağılım'!$D5,'Gider Miktar'!$F:$F,1002)+SUMIFS('Gider Miktar'!BU:BU,'Gider Miktar'!$B:$B,'Emanet Miktar Dağılım'!$D5,'Gider Miktar'!$F:$F,1003)+SUMIFS('Gider Miktar'!BU:BU,'Gider Miktar'!$B:$B,'Emanet Miktar Dağılım'!$D5,'Gider Miktar'!$F:$F,1004)</f>
        <v>0</v>
      </c>
      <c r="BM5" s="9">
        <f>+SUMIFS('Gider Miktar'!BV:BV,'Gider Miktar'!$B:$B,'Emanet Miktar Dağılım'!$D5,'Gider Miktar'!$F:$F,1001)+SUMIFS('Gider Miktar'!BV:BV,'Gider Miktar'!$B:$B,'Emanet Miktar Dağılım'!$D5,'Gider Miktar'!$F:$F,1002)+SUMIFS('Gider Miktar'!BV:BV,'Gider Miktar'!$B:$B,'Emanet Miktar Dağılım'!$D5,'Gider Miktar'!$F:$F,1003)+SUMIFS('Gider Miktar'!BV:BV,'Gider Miktar'!$B:$B,'Emanet Miktar Dağılım'!$D5,'Gider Miktar'!$F:$F,1004)</f>
        <v>0</v>
      </c>
      <c r="BN5" s="9">
        <f>+SUMIFS('Gider Miktar'!BW:BW,'Gider Miktar'!$B:$B,'Emanet Miktar Dağılım'!$D5,'Gider Miktar'!$F:$F,1001)+SUMIFS('Gider Miktar'!BW:BW,'Gider Miktar'!$B:$B,'Emanet Miktar Dağılım'!$D5,'Gider Miktar'!$F:$F,1002)+SUMIFS('Gider Miktar'!BW:BW,'Gider Miktar'!$B:$B,'Emanet Miktar Dağılım'!$D5,'Gider Miktar'!$F:$F,1003)+SUMIFS('Gider Miktar'!BW:BW,'Gider Miktar'!$B:$B,'Emanet Miktar Dağılım'!$D5,'Gider Miktar'!$F:$F,1004)</f>
        <v>0</v>
      </c>
      <c r="BO5" s="9">
        <f>+SUMIFS('Gider Miktar'!BX:BX,'Gider Miktar'!$B:$B,'Emanet Miktar Dağılım'!$D5,'Gider Miktar'!$F:$F,1001)+SUMIFS('Gider Miktar'!BX:BX,'Gider Miktar'!$B:$B,'Emanet Miktar Dağılım'!$D5,'Gider Miktar'!$F:$F,1002)+SUMIFS('Gider Miktar'!BX:BX,'Gider Miktar'!$B:$B,'Emanet Miktar Dağılım'!$D5,'Gider Miktar'!$F:$F,1003)+SUMIFS('Gider Miktar'!BX:BX,'Gider Miktar'!$B:$B,'Emanet Miktar Dağılım'!$D5,'Gider Miktar'!$F:$F,1004)</f>
        <v>0</v>
      </c>
    </row>
    <row r="6" spans="2:67">
      <c r="D6" t="s">
        <v>8</v>
      </c>
      <c r="E6" s="9">
        <f>+SUMIFS('Gider Miktar'!N:N,'Gider Miktar'!$B:$B,'Emanet Miktar Dağılım'!$D6,'Gider Miktar'!$F:$F,1001)+SUMIFS('Gider Miktar'!N:N,'Gider Miktar'!$B:$B,'Emanet Miktar Dağılım'!$D6,'Gider Miktar'!$F:$F,1002)+SUMIFS('Gider Miktar'!N:N,'Gider Miktar'!$B:$B,'Emanet Miktar Dağılım'!$D6,'Gider Miktar'!$F:$F,1003)+SUMIFS('Gider Miktar'!N:N,'Gider Miktar'!$B:$B,'Emanet Miktar Dağılım'!$D6,'Gider Miktar'!$F:$F,1004)</f>
        <v>0</v>
      </c>
      <c r="F6" s="9">
        <f>+SUMIFS('Gider Miktar'!O:O,'Gider Miktar'!$B:$B,'Emanet Miktar Dağılım'!$D6,'Gider Miktar'!$F:$F,1001)+SUMIFS('Gider Miktar'!O:O,'Gider Miktar'!$B:$B,'Emanet Miktar Dağılım'!$D6,'Gider Miktar'!$F:$F,1002)+SUMIFS('Gider Miktar'!O:O,'Gider Miktar'!$B:$B,'Emanet Miktar Dağılım'!$D6,'Gider Miktar'!$F:$F,1003)+SUMIFS('Gider Miktar'!O:O,'Gider Miktar'!$B:$B,'Emanet Miktar Dağılım'!$D6,'Gider Miktar'!$F:$F,1004)</f>
        <v>0</v>
      </c>
      <c r="G6" s="9">
        <f>+SUMIFS('Gider Miktar'!P:P,'Gider Miktar'!$B:$B,'Emanet Miktar Dağılım'!$D6,'Gider Miktar'!$F:$F,1001)+SUMIFS('Gider Miktar'!P:P,'Gider Miktar'!$B:$B,'Emanet Miktar Dağılım'!$D6,'Gider Miktar'!$F:$F,1002)+SUMIFS('Gider Miktar'!P:P,'Gider Miktar'!$B:$B,'Emanet Miktar Dağılım'!$D6,'Gider Miktar'!$F:$F,1003)+SUMIFS('Gider Miktar'!P:P,'Gider Miktar'!$B:$B,'Emanet Miktar Dağılım'!$D6,'Gider Miktar'!$F:$F,1004)</f>
        <v>0</v>
      </c>
      <c r="H6" s="9">
        <f>+SUMIFS('Gider Miktar'!Q:Q,'Gider Miktar'!$B:$B,'Emanet Miktar Dağılım'!$D6,'Gider Miktar'!$F:$F,1001)+SUMIFS('Gider Miktar'!Q:Q,'Gider Miktar'!$B:$B,'Emanet Miktar Dağılım'!$D6,'Gider Miktar'!$F:$F,1002)+SUMIFS('Gider Miktar'!Q:Q,'Gider Miktar'!$B:$B,'Emanet Miktar Dağılım'!$D6,'Gider Miktar'!$F:$F,1003)+SUMIFS('Gider Miktar'!Q:Q,'Gider Miktar'!$B:$B,'Emanet Miktar Dağılım'!$D6,'Gider Miktar'!$F:$F,1004)</f>
        <v>0</v>
      </c>
      <c r="I6" s="9">
        <f>+SUMIFS('Gider Miktar'!R:R,'Gider Miktar'!$B:$B,'Emanet Miktar Dağılım'!$D6,'Gider Miktar'!$F:$F,1001)+SUMIFS('Gider Miktar'!R:R,'Gider Miktar'!$B:$B,'Emanet Miktar Dağılım'!$D6,'Gider Miktar'!$F:$F,1002)+SUMIFS('Gider Miktar'!R:R,'Gider Miktar'!$B:$B,'Emanet Miktar Dağılım'!$D6,'Gider Miktar'!$F:$F,1003)+SUMIFS('Gider Miktar'!R:R,'Gider Miktar'!$B:$B,'Emanet Miktar Dağılım'!$D6,'Gider Miktar'!$F:$F,1004)</f>
        <v>3.6120000000000001</v>
      </c>
      <c r="J6" s="9">
        <f>+SUMIFS('Gider Miktar'!S:S,'Gider Miktar'!$B:$B,'Emanet Miktar Dağılım'!$D6,'Gider Miktar'!$F:$F,1001)+SUMIFS('Gider Miktar'!S:S,'Gider Miktar'!$B:$B,'Emanet Miktar Dağılım'!$D6,'Gider Miktar'!$F:$F,1002)+SUMIFS('Gider Miktar'!S:S,'Gider Miktar'!$B:$B,'Emanet Miktar Dağılım'!$D6,'Gider Miktar'!$F:$F,1003)+SUMIFS('Gider Miktar'!S:S,'Gider Miktar'!$B:$B,'Emanet Miktar Dağılım'!$D6,'Gider Miktar'!$F:$F,1004)</f>
        <v>-3.61</v>
      </c>
      <c r="K6" s="9">
        <f>+SUMIFS('Gider Miktar'!T:T,'Gider Miktar'!$B:$B,'Emanet Miktar Dağılım'!$D6,'Gider Miktar'!$F:$F,1001)+SUMIFS('Gider Miktar'!T:T,'Gider Miktar'!$B:$B,'Emanet Miktar Dağılım'!$D6,'Gider Miktar'!$F:$F,1002)+SUMIFS('Gider Miktar'!T:T,'Gider Miktar'!$B:$B,'Emanet Miktar Dağılım'!$D6,'Gider Miktar'!$F:$F,1003)+SUMIFS('Gider Miktar'!T:T,'Gider Miktar'!$B:$B,'Emanet Miktar Dağılım'!$D6,'Gider Miktar'!$F:$F,1004)</f>
        <v>33.952000000000005</v>
      </c>
      <c r="L6" s="9">
        <f>+SUMIFS('Gider Miktar'!U:U,'Gider Miktar'!$B:$B,'Emanet Miktar Dağılım'!$D6,'Gider Miktar'!$F:$F,1001)+SUMIFS('Gider Miktar'!U:U,'Gider Miktar'!$B:$B,'Emanet Miktar Dağılım'!$D6,'Gider Miktar'!$F:$F,1002)+SUMIFS('Gider Miktar'!U:U,'Gider Miktar'!$B:$B,'Emanet Miktar Dağılım'!$D6,'Gider Miktar'!$F:$F,1003)+SUMIFS('Gider Miktar'!U:U,'Gider Miktar'!$B:$B,'Emanet Miktar Dağılım'!$D6,'Gider Miktar'!$F:$F,1004)</f>
        <v>78.061855175321966</v>
      </c>
      <c r="M6" s="9">
        <f>+SUMIFS('Gider Miktar'!V:V,'Gider Miktar'!$B:$B,'Emanet Miktar Dağılım'!$D6,'Gider Miktar'!$F:$F,1001)+SUMIFS('Gider Miktar'!V:V,'Gider Miktar'!$B:$B,'Emanet Miktar Dağılım'!$D6,'Gider Miktar'!$F:$F,1002)+SUMIFS('Gider Miktar'!V:V,'Gider Miktar'!$B:$B,'Emanet Miktar Dağılım'!$D6,'Gider Miktar'!$F:$F,1003)+SUMIFS('Gider Miktar'!V:V,'Gider Miktar'!$B:$B,'Emanet Miktar Dağılım'!$D6,'Gider Miktar'!$F:$F,1004)</f>
        <v>69.416449624678052</v>
      </c>
      <c r="N6" s="11">
        <f>+SUMIFS('Gider Miktar'!W:W,'Gider Miktar'!$B:$B,'Emanet Miktar Dağılım'!$D6,'Gider Miktar'!$F:$F,1001)+SUMIFS('Gider Miktar'!W:W,'Gider Miktar'!$B:$B,'Emanet Miktar Dağılım'!$D6,'Gider Miktar'!$F:$F,1002)+SUMIFS('Gider Miktar'!W:W,'Gider Miktar'!$B:$B,'Emanet Miktar Dağılım'!$D6,'Gider Miktar'!$F:$F,1003)+SUMIFS('Gider Miktar'!W:W,'Gider Miktar'!$B:$B,'Emanet Miktar Dağılım'!$D6,'Gider Miktar'!$F:$F,1004)</f>
        <v>1.2886549907954707</v>
      </c>
      <c r="O6" s="9">
        <f>+SUMIFS('Gider Miktar'!X:X,'Gider Miktar'!$B:$B,'Emanet Miktar Dağılım'!$D6,'Gider Miktar'!$F:$F,1001)+SUMIFS('Gider Miktar'!X:X,'Gider Miktar'!$B:$B,'Emanet Miktar Dağılım'!$D6,'Gider Miktar'!$F:$F,1002)+SUMIFS('Gider Miktar'!X:X,'Gider Miktar'!$B:$B,'Emanet Miktar Dağılım'!$D6,'Gider Miktar'!$F:$F,1003)+SUMIFS('Gider Miktar'!X:X,'Gider Miktar'!$B:$B,'Emanet Miktar Dağılım'!$D6,'Gider Miktar'!$F:$F,1004)</f>
        <v>14.911375698197872</v>
      </c>
      <c r="P6" s="9">
        <f>+SUMIFS('Gider Miktar'!Y:Y,'Gider Miktar'!$B:$B,'Emanet Miktar Dağılım'!$D6,'Gider Miktar'!$F:$F,1001)+SUMIFS('Gider Miktar'!Y:Y,'Gider Miktar'!$B:$B,'Emanet Miktar Dağılım'!$D6,'Gider Miktar'!$F:$F,1002)+SUMIFS('Gider Miktar'!Y:Y,'Gider Miktar'!$B:$B,'Emanet Miktar Dağılım'!$D6,'Gider Miktar'!$F:$F,1003)+SUMIFS('Gider Miktar'!Y:Y,'Gider Miktar'!$B:$B,'Emanet Miktar Dağılım'!$D6,'Gider Miktar'!$F:$F,1004)</f>
        <v>27.082210844424225</v>
      </c>
      <c r="Q6" s="9">
        <f>+SUMIFS('Gider Miktar'!Z:Z,'Gider Miktar'!$B:$B,'Emanet Miktar Dağılım'!$D6,'Gider Miktar'!$F:$F,1001)+SUMIFS('Gider Miktar'!Z:Z,'Gider Miktar'!$B:$B,'Emanet Miktar Dağılım'!$D6,'Gider Miktar'!$F:$F,1002)+SUMIFS('Gider Miktar'!Z:Z,'Gider Miktar'!$B:$B,'Emanet Miktar Dağılım'!$D6,'Gider Miktar'!$F:$F,1003)+SUMIFS('Gider Miktar'!Z:Z,'Gider Miktar'!$B:$B,'Emanet Miktar Dağılım'!$D6,'Gider Miktar'!$F:$F,1004)</f>
        <v>45.402886729712996</v>
      </c>
      <c r="R6" s="9">
        <f>+SUMIFS('Gider Miktar'!AA:AA,'Gider Miktar'!$B:$B,'Emanet Miktar Dağılım'!$D6,'Gider Miktar'!$F:$F,1001)+SUMIFS('Gider Miktar'!AA:AA,'Gider Miktar'!$B:$B,'Emanet Miktar Dağılım'!$D6,'Gider Miktar'!$F:$F,1002)+SUMIFS('Gider Miktar'!AA:AA,'Gider Miktar'!$B:$B,'Emanet Miktar Dağılım'!$D6,'Gider Miktar'!$F:$F,1003)+SUMIFS('Gider Miktar'!AA:AA,'Gider Miktar'!$B:$B,'Emanet Miktar Dağılım'!$D6,'Gider Miktar'!$F:$F,1004)</f>
        <v>54.035043622322696</v>
      </c>
      <c r="S6" s="9">
        <f>+SUMIFS('Gider Miktar'!AB:AB,'Gider Miktar'!$B:$B,'Emanet Miktar Dağılım'!$D6,'Gider Miktar'!$F:$F,1001)+SUMIFS('Gider Miktar'!AB:AB,'Gider Miktar'!$B:$B,'Emanet Miktar Dağılım'!$D6,'Gider Miktar'!$F:$F,1002)+SUMIFS('Gider Miktar'!AB:AB,'Gider Miktar'!$B:$B,'Emanet Miktar Dağılım'!$D6,'Gider Miktar'!$F:$F,1003)+SUMIFS('Gider Miktar'!AB:AB,'Gider Miktar'!$B:$B,'Emanet Miktar Dağılım'!$D6,'Gider Miktar'!$F:$F,1004)</f>
        <v>47.296234955034109</v>
      </c>
      <c r="T6" s="9">
        <f>+SUMIFS('Gider Miktar'!AC:AC,'Gider Miktar'!$B:$B,'Emanet Miktar Dağılım'!$D6,'Gider Miktar'!$F:$F,1001)+SUMIFS('Gider Miktar'!AC:AC,'Gider Miktar'!$B:$B,'Emanet Miktar Dağılım'!$D6,'Gider Miktar'!$F:$F,1002)+SUMIFS('Gider Miktar'!AC:AC,'Gider Miktar'!$B:$B,'Emanet Miktar Dağılım'!$D6,'Gider Miktar'!$F:$F,1003)+SUMIFS('Gider Miktar'!AC:AC,'Gider Miktar'!$B:$B,'Emanet Miktar Dağılım'!$D6,'Gider Miktar'!$F:$F,1004)</f>
        <v>58.47891573374914</v>
      </c>
      <c r="U6" s="9">
        <f>+SUMIFS('Gider Miktar'!AD:AD,'Gider Miktar'!$B:$B,'Emanet Miktar Dağılım'!$D6,'Gider Miktar'!$F:$F,1001)+SUMIFS('Gider Miktar'!AD:AD,'Gider Miktar'!$B:$B,'Emanet Miktar Dağılım'!$D6,'Gider Miktar'!$F:$F,1002)+SUMIFS('Gider Miktar'!AD:AD,'Gider Miktar'!$B:$B,'Emanet Miktar Dağılım'!$D6,'Gider Miktar'!$F:$F,1003)+SUMIFS('Gider Miktar'!AD:AD,'Gider Miktar'!$B:$B,'Emanet Miktar Dağılım'!$D6,'Gider Miktar'!$F:$F,1004)</f>
        <v>105.73692282596949</v>
      </c>
      <c r="V6" s="9">
        <f>+SUMIFS('Gider Miktar'!AE:AE,'Gider Miktar'!$B:$B,'Emanet Miktar Dağılım'!$D6,'Gider Miktar'!$F:$F,1001)+SUMIFS('Gider Miktar'!AE:AE,'Gider Miktar'!$B:$B,'Emanet Miktar Dağılım'!$D6,'Gider Miktar'!$F:$F,1002)+SUMIFS('Gider Miktar'!AE:AE,'Gider Miktar'!$B:$B,'Emanet Miktar Dağılım'!$D6,'Gider Miktar'!$F:$F,1003)+SUMIFS('Gider Miktar'!AE:AE,'Gider Miktar'!$B:$B,'Emanet Miktar Dağılım'!$D6,'Gider Miktar'!$F:$F,1004)</f>
        <v>70.575765360763498</v>
      </c>
      <c r="W6" s="9">
        <f>+SUMIFS('Gider Miktar'!AF:AF,'Gider Miktar'!$B:$B,'Emanet Miktar Dağılım'!$D6,'Gider Miktar'!$F:$F,1001)+SUMIFS('Gider Miktar'!AF:AF,'Gider Miktar'!$B:$B,'Emanet Miktar Dağılım'!$D6,'Gider Miktar'!$F:$F,1002)+SUMIFS('Gider Miktar'!AF:AF,'Gider Miktar'!$B:$B,'Emanet Miktar Dağılım'!$D6,'Gider Miktar'!$F:$F,1003)+SUMIFS('Gider Miktar'!AF:AF,'Gider Miktar'!$B:$B,'Emanet Miktar Dağılım'!$D6,'Gider Miktar'!$F:$F,1004)</f>
        <v>65.143738881825669</v>
      </c>
      <c r="X6" s="9">
        <f>+SUMIFS('Gider Miktar'!AG:AG,'Gider Miktar'!$B:$B,'Emanet Miktar Dağılım'!$D6,'Gider Miktar'!$F:$F,1001)+SUMIFS('Gider Miktar'!AG:AG,'Gider Miktar'!$B:$B,'Emanet Miktar Dağılım'!$D6,'Gider Miktar'!$F:$F,1002)+SUMIFS('Gider Miktar'!AG:AG,'Gider Miktar'!$B:$B,'Emanet Miktar Dağılım'!$D6,'Gider Miktar'!$F:$F,1003)+SUMIFS('Gider Miktar'!AG:AG,'Gider Miktar'!$B:$B,'Emanet Miktar Dağılım'!$D6,'Gider Miktar'!$F:$F,1004)</f>
        <v>92.62540247683701</v>
      </c>
      <c r="Y6" s="9">
        <f>+SUMIFS('Gider Miktar'!AH:AH,'Gider Miktar'!$B:$B,'Emanet Miktar Dağılım'!$D6,'Gider Miktar'!$F:$F,1001)+SUMIFS('Gider Miktar'!AH:AH,'Gider Miktar'!$B:$B,'Emanet Miktar Dağılım'!$D6,'Gider Miktar'!$F:$F,1002)+SUMIFS('Gider Miktar'!AH:AH,'Gider Miktar'!$B:$B,'Emanet Miktar Dağılım'!$D6,'Gider Miktar'!$F:$F,1003)+SUMIFS('Gider Miktar'!AH:AH,'Gider Miktar'!$B:$B,'Emanet Miktar Dağılım'!$D6,'Gider Miktar'!$F:$F,1004)</f>
        <v>117.40849256705226</v>
      </c>
      <c r="Z6" s="9">
        <f>+SUMIFS('Gider Miktar'!AI:AI,'Gider Miktar'!$B:$B,'Emanet Miktar Dağılım'!$D6,'Gider Miktar'!$F:$F,1001)+SUMIFS('Gider Miktar'!AI:AI,'Gider Miktar'!$B:$B,'Emanet Miktar Dağılım'!$D6,'Gider Miktar'!$F:$F,1002)+SUMIFS('Gider Miktar'!AI:AI,'Gider Miktar'!$B:$B,'Emanet Miktar Dağılım'!$D6,'Gider Miktar'!$F:$F,1003)+SUMIFS('Gider Miktar'!AI:AI,'Gider Miktar'!$B:$B,'Emanet Miktar Dağılım'!$D6,'Gider Miktar'!$F:$F,1004)</f>
        <v>111.97646608811438</v>
      </c>
      <c r="AA6" s="9">
        <f>+SUMIFS('Gider Miktar'!AJ:AJ,'Gider Miktar'!$B:$B,'Emanet Miktar Dağılım'!$D6,'Gider Miktar'!$F:$F,1001)+SUMIFS('Gider Miktar'!AJ:AJ,'Gider Miktar'!$B:$B,'Emanet Miktar Dağılım'!$D6,'Gider Miktar'!$F:$F,1002)+SUMIFS('Gider Miktar'!AJ:AJ,'Gider Miktar'!$B:$B,'Emanet Miktar Dağılım'!$D6,'Gider Miktar'!$F:$F,1003)+SUMIFS('Gider Miktar'!AJ:AJ,'Gider Miktar'!$B:$B,'Emanet Miktar Dağılım'!$D6,'Gider Miktar'!$F:$F,1004)</f>
        <v>111.97646608811438</v>
      </c>
      <c r="AB6" s="9">
        <f>+SUMIFS('Gider Miktar'!AK:AK,'Gider Miktar'!$B:$B,'Emanet Miktar Dağılım'!$D6,'Gider Miktar'!$F:$F,1001)+SUMIFS('Gider Miktar'!AK:AK,'Gider Miktar'!$B:$B,'Emanet Miktar Dağılım'!$D6,'Gider Miktar'!$F:$F,1002)+SUMIFS('Gider Miktar'!AK:AK,'Gider Miktar'!$B:$B,'Emanet Miktar Dağılım'!$D6,'Gider Miktar'!$F:$F,1003)+SUMIFS('Gider Miktar'!AK:AK,'Gider Miktar'!$B:$B,'Emanet Miktar Dağılım'!$D6,'Gider Miktar'!$F:$F,1004)</f>
        <v>100.18618197374226</v>
      </c>
      <c r="AC6" s="9">
        <f>+SUMIFS('Gider Miktar'!AL:AL,'Gider Miktar'!$B:$B,'Emanet Miktar Dağılım'!$D6,'Gider Miktar'!$F:$F,1001)+SUMIFS('Gider Miktar'!AL:AL,'Gider Miktar'!$B:$B,'Emanet Miktar Dağılım'!$D6,'Gider Miktar'!$F:$F,1002)+SUMIFS('Gider Miktar'!AL:AL,'Gider Miktar'!$B:$B,'Emanet Miktar Dağılım'!$D6,'Gider Miktar'!$F:$F,1003)+SUMIFS('Gider Miktar'!AL:AL,'Gider Miktar'!$B:$B,'Emanet Miktar Dağılım'!$D6,'Gider Miktar'!$F:$F,1004)</f>
        <v>76.08567699194387</v>
      </c>
      <c r="AD6" s="9">
        <f>+SUMIFS('Gider Miktar'!AM:AM,'Gider Miktar'!$B:$B,'Emanet Miktar Dağılım'!$D6,'Gider Miktar'!$F:$F,1001)+SUMIFS('Gider Miktar'!AM:AM,'Gider Miktar'!$B:$B,'Emanet Miktar Dağılım'!$D6,'Gider Miktar'!$F:$F,1002)+SUMIFS('Gider Miktar'!AM:AM,'Gider Miktar'!$B:$B,'Emanet Miktar Dağılım'!$D6,'Gider Miktar'!$F:$F,1003)+SUMIFS('Gider Miktar'!AM:AM,'Gider Miktar'!$B:$B,'Emanet Miktar Dağılım'!$D6,'Gider Miktar'!$F:$F,1004)</f>
        <v>59.27511765959661</v>
      </c>
      <c r="AE6" s="9">
        <f>+SUMIFS('Gider Miktar'!AN:AN,'Gider Miktar'!$B:$B,'Emanet Miktar Dağılım'!$D6,'Gider Miktar'!$F:$F,1001)+SUMIFS('Gider Miktar'!AN:AN,'Gider Miktar'!$B:$B,'Emanet Miktar Dağılım'!$D6,'Gider Miktar'!$F:$F,1002)+SUMIFS('Gider Miktar'!AN:AN,'Gider Miktar'!$B:$B,'Emanet Miktar Dağılım'!$D6,'Gider Miktar'!$F:$F,1003)+SUMIFS('Gider Miktar'!AN:AN,'Gider Miktar'!$B:$B,'Emanet Miktar Dağılım'!$D6,'Gider Miktar'!$F:$F,1004)</f>
        <v>50.436047120255751</v>
      </c>
      <c r="AF6" s="9">
        <f>+SUMIFS('Gider Miktar'!AO:AO,'Gider Miktar'!$B:$B,'Emanet Miktar Dağılım'!$D6,'Gider Miktar'!$F:$F,1001)+SUMIFS('Gider Miktar'!AO:AO,'Gider Miktar'!$B:$B,'Emanet Miktar Dağılım'!$D6,'Gider Miktar'!$F:$F,1002)+SUMIFS('Gider Miktar'!AO:AO,'Gider Miktar'!$B:$B,'Emanet Miktar Dağılım'!$D6,'Gider Miktar'!$F:$F,1003)+SUMIFS('Gider Miktar'!AO:AO,'Gider Miktar'!$B:$B,'Emanet Miktar Dağılım'!$D6,'Gider Miktar'!$F:$F,1004)</f>
        <v>51.928431807900765</v>
      </c>
      <c r="AG6" s="9">
        <f>+SUMIFS('Gider Miktar'!AP:AP,'Gider Miktar'!$B:$B,'Emanet Miktar Dağılım'!$D6,'Gider Miktar'!$F:$F,1001)+SUMIFS('Gider Miktar'!AP:AP,'Gider Miktar'!$B:$B,'Emanet Miktar Dağılım'!$D6,'Gider Miktar'!$F:$F,1002)+SUMIFS('Gider Miktar'!AP:AP,'Gider Miktar'!$B:$B,'Emanet Miktar Dağılım'!$D6,'Gider Miktar'!$F:$F,1003)+SUMIFS('Gider Miktar'!AP:AP,'Gider Miktar'!$B:$B,'Emanet Miktar Dağılım'!$D6,'Gider Miktar'!$F:$F,1004)</f>
        <v>70.838075621415896</v>
      </c>
      <c r="AH6" s="9">
        <f>+SUMIFS('Gider Miktar'!AQ:AQ,'Gider Miktar'!$B:$B,'Emanet Miktar Dağılım'!$D6,'Gider Miktar'!$F:$F,1001)+SUMIFS('Gider Miktar'!AQ:AQ,'Gider Miktar'!$B:$B,'Emanet Miktar Dağılım'!$D6,'Gider Miktar'!$F:$F,1002)+SUMIFS('Gider Miktar'!AQ:AQ,'Gider Miktar'!$B:$B,'Emanet Miktar Dağılım'!$D6,'Gider Miktar'!$F:$F,1003)+SUMIFS('Gider Miktar'!AQ:AQ,'Gider Miktar'!$B:$B,'Emanet Miktar Dağılım'!$D6,'Gider Miktar'!$F:$F,1004)</f>
        <v>76.270102100353739</v>
      </c>
      <c r="AI6" s="9">
        <f>+SUMIFS('Gider Miktar'!AR:AR,'Gider Miktar'!$B:$B,'Emanet Miktar Dağılım'!$D6,'Gider Miktar'!$F:$F,1001)+SUMIFS('Gider Miktar'!AR:AR,'Gider Miktar'!$B:$B,'Emanet Miktar Dağılım'!$D6,'Gider Miktar'!$F:$F,1002)+SUMIFS('Gider Miktar'!AR:AR,'Gider Miktar'!$B:$B,'Emanet Miktar Dağılım'!$D6,'Gider Miktar'!$F:$F,1003)+SUMIFS('Gider Miktar'!AR:AR,'Gider Miktar'!$B:$B,'Emanet Miktar Dağılım'!$D6,'Gider Miktar'!$F:$F,1004)</f>
        <v>76.270102100353739</v>
      </c>
      <c r="AJ6" s="9">
        <f>+SUMIFS('Gider Miktar'!AS:AS,'Gider Miktar'!$B:$B,'Emanet Miktar Dağılım'!$D6,'Gider Miktar'!$F:$F,1001)+SUMIFS('Gider Miktar'!AS:AS,'Gider Miktar'!$B:$B,'Emanet Miktar Dağılım'!$D6,'Gider Miktar'!$F:$F,1002)+SUMIFS('Gider Miktar'!AS:AS,'Gider Miktar'!$B:$B,'Emanet Miktar Dağılım'!$D6,'Gider Miktar'!$F:$F,1003)+SUMIFS('Gider Miktar'!AS:AS,'Gider Miktar'!$B:$B,'Emanet Miktar Dağılım'!$D6,'Gider Miktar'!$F:$F,1004)</f>
        <v>76.270102100353739</v>
      </c>
      <c r="AK6" s="9">
        <f>+SUMIFS('Gider Miktar'!AT:AT,'Gider Miktar'!$B:$B,'Emanet Miktar Dağılım'!$D6,'Gider Miktar'!$F:$F,1001)+SUMIFS('Gider Miktar'!AT:AT,'Gider Miktar'!$B:$B,'Emanet Miktar Dağılım'!$D6,'Gider Miktar'!$F:$F,1002)+SUMIFS('Gider Miktar'!AT:AT,'Gider Miktar'!$B:$B,'Emanet Miktar Dağılım'!$D6,'Gider Miktar'!$F:$F,1003)+SUMIFS('Gider Miktar'!AT:AT,'Gider Miktar'!$B:$B,'Emanet Miktar Dağılım'!$D6,'Gider Miktar'!$F:$F,1004)</f>
        <v>70.838075621415896</v>
      </c>
      <c r="AL6" s="9">
        <f>+SUMIFS('Gider Miktar'!AU:AU,'Gider Miktar'!$B:$B,'Emanet Miktar Dağılım'!$D6,'Gider Miktar'!$F:$F,1001)+SUMIFS('Gider Miktar'!AU:AU,'Gider Miktar'!$B:$B,'Emanet Miktar Dağılım'!$D6,'Gider Miktar'!$F:$F,1002)+SUMIFS('Gider Miktar'!AU:AU,'Gider Miktar'!$B:$B,'Emanet Miktar Dağılım'!$D6,'Gider Miktar'!$F:$F,1003)+SUMIFS('Gider Miktar'!AU:AU,'Gider Miktar'!$B:$B,'Emanet Miktar Dağılım'!$D6,'Gider Miktar'!$F:$F,1004)</f>
        <v>65.406049142478068</v>
      </c>
      <c r="AM6" s="9">
        <f>+SUMIFS('Gider Miktar'!AV:AV,'Gider Miktar'!$B:$B,'Emanet Miktar Dağılım'!$D6,'Gider Miktar'!$F:$F,1001)+SUMIFS('Gider Miktar'!AV:AV,'Gider Miktar'!$B:$B,'Emanet Miktar Dağılım'!$D6,'Gider Miktar'!$F:$F,1002)+SUMIFS('Gider Miktar'!AV:AV,'Gider Miktar'!$B:$B,'Emanet Miktar Dağılım'!$D6,'Gider Miktar'!$F:$F,1003)+SUMIFS('Gider Miktar'!AV:AV,'Gider Miktar'!$B:$B,'Emanet Miktar Dağılım'!$D6,'Gider Miktar'!$F:$F,1004)</f>
        <v>65.406049142478068</v>
      </c>
      <c r="AN6" s="9">
        <f>+SUMIFS('Gider Miktar'!AW:AW,'Gider Miktar'!$B:$B,'Emanet Miktar Dağılım'!$D6,'Gider Miktar'!$F:$F,1001)+SUMIFS('Gider Miktar'!AW:AW,'Gider Miktar'!$B:$B,'Emanet Miktar Dağılım'!$D6,'Gider Miktar'!$F:$F,1002)+SUMIFS('Gider Miktar'!AW:AW,'Gider Miktar'!$B:$B,'Emanet Miktar Dağılım'!$D6,'Gider Miktar'!$F:$F,1003)+SUMIFS('Gider Miktar'!AW:AW,'Gider Miktar'!$B:$B,'Emanet Miktar Dağılım'!$D6,'Gider Miktar'!$F:$F,1004)</f>
        <v>26.955234669154564</v>
      </c>
      <c r="AO6" s="9">
        <f>+SUMIFS('Gider Miktar'!AX:AX,'Gider Miktar'!$B:$B,'Emanet Miktar Dağılım'!$D6,'Gider Miktar'!$F:$F,1001)+SUMIFS('Gider Miktar'!AX:AX,'Gider Miktar'!$B:$B,'Emanet Miktar Dağılım'!$D6,'Gider Miktar'!$F:$F,1002)+SUMIFS('Gider Miktar'!AX:AX,'Gider Miktar'!$B:$B,'Emanet Miktar Dağılım'!$D6,'Gider Miktar'!$F:$F,1003)+SUMIFS('Gider Miktar'!AX:AX,'Gider Miktar'!$B:$B,'Emanet Miktar Dağılım'!$D6,'Gider Miktar'!$F:$F,1004)</f>
        <v>33.754318808244648</v>
      </c>
      <c r="AP6" s="9">
        <f>+SUMIFS('Gider Miktar'!AY:AY,'Gider Miktar'!$B:$B,'Emanet Miktar Dağılım'!$D6,'Gider Miktar'!$F:$F,1001)+SUMIFS('Gider Miktar'!AY:AY,'Gider Miktar'!$B:$B,'Emanet Miktar Dağılım'!$D6,'Gider Miktar'!$F:$F,1002)+SUMIFS('Gider Miktar'!AY:AY,'Gider Miktar'!$B:$B,'Emanet Miktar Dağılım'!$D6,'Gider Miktar'!$F:$F,1003)+SUMIFS('Gider Miktar'!AY:AY,'Gider Miktar'!$B:$B,'Emanet Miktar Dağılım'!$D6,'Gider Miktar'!$F:$F,1004)</f>
        <v>33.754318808244648</v>
      </c>
      <c r="AQ6" s="9">
        <f>+SUMIFS('Gider Miktar'!AZ:AZ,'Gider Miktar'!$B:$B,'Emanet Miktar Dağılım'!$D6,'Gider Miktar'!$F:$F,1001)+SUMIFS('Gider Miktar'!AZ:AZ,'Gider Miktar'!$B:$B,'Emanet Miktar Dağılım'!$D6,'Gider Miktar'!$F:$F,1002)+SUMIFS('Gider Miktar'!AZ:AZ,'Gider Miktar'!$B:$B,'Emanet Miktar Dağılım'!$D6,'Gider Miktar'!$F:$F,1003)+SUMIFS('Gider Miktar'!AZ:AZ,'Gider Miktar'!$B:$B,'Emanet Miktar Dağılım'!$D6,'Gider Miktar'!$F:$F,1004)</f>
        <v>26.955234669154564</v>
      </c>
      <c r="AR6" s="9">
        <f>+SUMIFS('Gider Miktar'!BA:BA,'Gider Miktar'!$B:$B,'Emanet Miktar Dağılım'!$D6,'Gider Miktar'!$F:$F,1001)+SUMIFS('Gider Miktar'!BA:BA,'Gider Miktar'!$B:$B,'Emanet Miktar Dağılım'!$D6,'Gider Miktar'!$F:$F,1002)+SUMIFS('Gider Miktar'!BA:BA,'Gider Miktar'!$B:$B,'Emanet Miktar Dağılım'!$D6,'Gider Miktar'!$F:$F,1003)+SUMIFS('Gider Miktar'!BA:BA,'Gider Miktar'!$B:$B,'Emanet Miktar Dağılım'!$D6,'Gider Miktar'!$F:$F,1004)</f>
        <v>0</v>
      </c>
      <c r="AS6" s="9">
        <f>+SUMIFS('Gider Miktar'!BB:BB,'Gider Miktar'!$B:$B,'Emanet Miktar Dağılım'!$D6,'Gider Miktar'!$F:$F,1001)+SUMIFS('Gider Miktar'!BB:BB,'Gider Miktar'!$B:$B,'Emanet Miktar Dağılım'!$D6,'Gider Miktar'!$F:$F,1002)+SUMIFS('Gider Miktar'!BB:BB,'Gider Miktar'!$B:$B,'Emanet Miktar Dağılım'!$D6,'Gider Miktar'!$F:$F,1003)+SUMIFS('Gider Miktar'!BB:BB,'Gider Miktar'!$B:$B,'Emanet Miktar Dağılım'!$D6,'Gider Miktar'!$F:$F,1004)</f>
        <v>0</v>
      </c>
      <c r="AT6" s="9">
        <f>+SUMIFS('Gider Miktar'!BC:BC,'Gider Miktar'!$B:$B,'Emanet Miktar Dağılım'!$D6,'Gider Miktar'!$F:$F,1001)+SUMIFS('Gider Miktar'!BC:BC,'Gider Miktar'!$B:$B,'Emanet Miktar Dağılım'!$D6,'Gider Miktar'!$F:$F,1002)+SUMIFS('Gider Miktar'!BC:BC,'Gider Miktar'!$B:$B,'Emanet Miktar Dağılım'!$D6,'Gider Miktar'!$F:$F,1003)+SUMIFS('Gider Miktar'!BC:BC,'Gider Miktar'!$B:$B,'Emanet Miktar Dağılım'!$D6,'Gider Miktar'!$F:$F,1004)</f>
        <v>0</v>
      </c>
      <c r="AU6" s="9">
        <f>+SUMIFS('Gider Miktar'!BD:BD,'Gider Miktar'!$B:$B,'Emanet Miktar Dağılım'!$D6,'Gider Miktar'!$F:$F,1001)+SUMIFS('Gider Miktar'!BD:BD,'Gider Miktar'!$B:$B,'Emanet Miktar Dağılım'!$D6,'Gider Miktar'!$F:$F,1002)+SUMIFS('Gider Miktar'!BD:BD,'Gider Miktar'!$B:$B,'Emanet Miktar Dağılım'!$D6,'Gider Miktar'!$F:$F,1003)+SUMIFS('Gider Miktar'!BD:BD,'Gider Miktar'!$B:$B,'Emanet Miktar Dağılım'!$D6,'Gider Miktar'!$F:$F,1004)</f>
        <v>0</v>
      </c>
      <c r="AV6" s="9">
        <f>+SUMIFS('Gider Miktar'!BE:BE,'Gider Miktar'!$B:$B,'Emanet Miktar Dağılım'!$D6,'Gider Miktar'!$F:$F,1001)+SUMIFS('Gider Miktar'!BE:BE,'Gider Miktar'!$B:$B,'Emanet Miktar Dağılım'!$D6,'Gider Miktar'!$F:$F,1002)+SUMIFS('Gider Miktar'!BE:BE,'Gider Miktar'!$B:$B,'Emanet Miktar Dağılım'!$D6,'Gider Miktar'!$F:$F,1003)+SUMIFS('Gider Miktar'!BE:BE,'Gider Miktar'!$B:$B,'Emanet Miktar Dağılım'!$D6,'Gider Miktar'!$F:$F,1004)</f>
        <v>0</v>
      </c>
      <c r="AW6" s="9">
        <f>+SUMIFS('Gider Miktar'!BF:BF,'Gider Miktar'!$B:$B,'Emanet Miktar Dağılım'!$D6,'Gider Miktar'!$F:$F,1001)+SUMIFS('Gider Miktar'!BF:BF,'Gider Miktar'!$B:$B,'Emanet Miktar Dağılım'!$D6,'Gider Miktar'!$F:$F,1002)+SUMIFS('Gider Miktar'!BF:BF,'Gider Miktar'!$B:$B,'Emanet Miktar Dağılım'!$D6,'Gider Miktar'!$F:$F,1003)+SUMIFS('Gider Miktar'!BF:BF,'Gider Miktar'!$B:$B,'Emanet Miktar Dağılım'!$D6,'Gider Miktar'!$F:$F,1004)</f>
        <v>0</v>
      </c>
      <c r="AX6" s="9">
        <f>+SUMIFS('Gider Miktar'!BG:BG,'Gider Miktar'!$B:$B,'Emanet Miktar Dağılım'!$D6,'Gider Miktar'!$F:$F,1001)+SUMIFS('Gider Miktar'!BG:BG,'Gider Miktar'!$B:$B,'Emanet Miktar Dağılım'!$D6,'Gider Miktar'!$F:$F,1002)+SUMIFS('Gider Miktar'!BG:BG,'Gider Miktar'!$B:$B,'Emanet Miktar Dağılım'!$D6,'Gider Miktar'!$F:$F,1003)+SUMIFS('Gider Miktar'!BG:BG,'Gider Miktar'!$B:$B,'Emanet Miktar Dağılım'!$D6,'Gider Miktar'!$F:$F,1004)</f>
        <v>0</v>
      </c>
      <c r="AY6" s="9">
        <f>+SUMIFS('Gider Miktar'!BH:BH,'Gider Miktar'!$B:$B,'Emanet Miktar Dağılım'!$D6,'Gider Miktar'!$F:$F,1001)+SUMIFS('Gider Miktar'!BH:BH,'Gider Miktar'!$B:$B,'Emanet Miktar Dağılım'!$D6,'Gider Miktar'!$F:$F,1002)+SUMIFS('Gider Miktar'!BH:BH,'Gider Miktar'!$B:$B,'Emanet Miktar Dağılım'!$D6,'Gider Miktar'!$F:$F,1003)+SUMIFS('Gider Miktar'!BH:BH,'Gider Miktar'!$B:$B,'Emanet Miktar Dağılım'!$D6,'Gider Miktar'!$F:$F,1004)</f>
        <v>0</v>
      </c>
      <c r="AZ6" s="9">
        <f>+SUMIFS('Gider Miktar'!BI:BI,'Gider Miktar'!$B:$B,'Emanet Miktar Dağılım'!$D6,'Gider Miktar'!$F:$F,1001)+SUMIFS('Gider Miktar'!BI:BI,'Gider Miktar'!$B:$B,'Emanet Miktar Dağılım'!$D6,'Gider Miktar'!$F:$F,1002)+SUMIFS('Gider Miktar'!BI:BI,'Gider Miktar'!$B:$B,'Emanet Miktar Dağılım'!$D6,'Gider Miktar'!$F:$F,1003)+SUMIFS('Gider Miktar'!BI:BI,'Gider Miktar'!$B:$B,'Emanet Miktar Dağılım'!$D6,'Gider Miktar'!$F:$F,1004)</f>
        <v>0</v>
      </c>
      <c r="BA6" s="9">
        <f>+SUMIFS('Gider Miktar'!BJ:BJ,'Gider Miktar'!$B:$B,'Emanet Miktar Dağılım'!$D6,'Gider Miktar'!$F:$F,1001)+SUMIFS('Gider Miktar'!BJ:BJ,'Gider Miktar'!$B:$B,'Emanet Miktar Dağılım'!$D6,'Gider Miktar'!$F:$F,1002)+SUMIFS('Gider Miktar'!BJ:BJ,'Gider Miktar'!$B:$B,'Emanet Miktar Dağılım'!$D6,'Gider Miktar'!$F:$F,1003)+SUMIFS('Gider Miktar'!BJ:BJ,'Gider Miktar'!$B:$B,'Emanet Miktar Dağılım'!$D6,'Gider Miktar'!$F:$F,1004)</f>
        <v>0</v>
      </c>
      <c r="BB6" s="9">
        <f>+SUMIFS('Gider Miktar'!BK:BK,'Gider Miktar'!$B:$B,'Emanet Miktar Dağılım'!$D6,'Gider Miktar'!$F:$F,1001)+SUMIFS('Gider Miktar'!BK:BK,'Gider Miktar'!$B:$B,'Emanet Miktar Dağılım'!$D6,'Gider Miktar'!$F:$F,1002)+SUMIFS('Gider Miktar'!BK:BK,'Gider Miktar'!$B:$B,'Emanet Miktar Dağılım'!$D6,'Gider Miktar'!$F:$F,1003)+SUMIFS('Gider Miktar'!BK:BK,'Gider Miktar'!$B:$B,'Emanet Miktar Dağılım'!$D6,'Gider Miktar'!$F:$F,1004)</f>
        <v>0</v>
      </c>
      <c r="BC6" s="9">
        <f>+SUMIFS('Gider Miktar'!BL:BL,'Gider Miktar'!$B:$B,'Emanet Miktar Dağılım'!$D6,'Gider Miktar'!$F:$F,1001)+SUMIFS('Gider Miktar'!BL:BL,'Gider Miktar'!$B:$B,'Emanet Miktar Dağılım'!$D6,'Gider Miktar'!$F:$F,1002)+SUMIFS('Gider Miktar'!BL:BL,'Gider Miktar'!$B:$B,'Emanet Miktar Dağılım'!$D6,'Gider Miktar'!$F:$F,1003)+SUMIFS('Gider Miktar'!BL:BL,'Gider Miktar'!$B:$B,'Emanet Miktar Dağılım'!$D6,'Gider Miktar'!$F:$F,1004)</f>
        <v>0</v>
      </c>
      <c r="BD6" s="9">
        <f>+SUMIFS('Gider Miktar'!BM:BM,'Gider Miktar'!$B:$B,'Emanet Miktar Dağılım'!$D6,'Gider Miktar'!$F:$F,1001)+SUMIFS('Gider Miktar'!BM:BM,'Gider Miktar'!$B:$B,'Emanet Miktar Dağılım'!$D6,'Gider Miktar'!$F:$F,1002)+SUMIFS('Gider Miktar'!BM:BM,'Gider Miktar'!$B:$B,'Emanet Miktar Dağılım'!$D6,'Gider Miktar'!$F:$F,1003)+SUMIFS('Gider Miktar'!BM:BM,'Gider Miktar'!$B:$B,'Emanet Miktar Dağılım'!$D6,'Gider Miktar'!$F:$F,1004)</f>
        <v>0</v>
      </c>
      <c r="BE6" s="9">
        <f>+SUMIFS('Gider Miktar'!BN:BN,'Gider Miktar'!$B:$B,'Emanet Miktar Dağılım'!$D6,'Gider Miktar'!$F:$F,1001)+SUMIFS('Gider Miktar'!BN:BN,'Gider Miktar'!$B:$B,'Emanet Miktar Dağılım'!$D6,'Gider Miktar'!$F:$F,1002)+SUMIFS('Gider Miktar'!BN:BN,'Gider Miktar'!$B:$B,'Emanet Miktar Dağılım'!$D6,'Gider Miktar'!$F:$F,1003)+SUMIFS('Gider Miktar'!BN:BN,'Gider Miktar'!$B:$B,'Emanet Miktar Dağılım'!$D6,'Gider Miktar'!$F:$F,1004)</f>
        <v>0</v>
      </c>
      <c r="BF6" s="9">
        <f>+SUMIFS('Gider Miktar'!BO:BO,'Gider Miktar'!$B:$B,'Emanet Miktar Dağılım'!$D6,'Gider Miktar'!$F:$F,1001)+SUMIFS('Gider Miktar'!BO:BO,'Gider Miktar'!$B:$B,'Emanet Miktar Dağılım'!$D6,'Gider Miktar'!$F:$F,1002)+SUMIFS('Gider Miktar'!BO:BO,'Gider Miktar'!$B:$B,'Emanet Miktar Dağılım'!$D6,'Gider Miktar'!$F:$F,1003)+SUMIFS('Gider Miktar'!BO:BO,'Gider Miktar'!$B:$B,'Emanet Miktar Dağılım'!$D6,'Gider Miktar'!$F:$F,1004)</f>
        <v>0</v>
      </c>
      <c r="BG6" s="9">
        <f>+SUMIFS('Gider Miktar'!BP:BP,'Gider Miktar'!$B:$B,'Emanet Miktar Dağılım'!$D6,'Gider Miktar'!$F:$F,1001)+SUMIFS('Gider Miktar'!BP:BP,'Gider Miktar'!$B:$B,'Emanet Miktar Dağılım'!$D6,'Gider Miktar'!$F:$F,1002)+SUMIFS('Gider Miktar'!BP:BP,'Gider Miktar'!$B:$B,'Emanet Miktar Dağılım'!$D6,'Gider Miktar'!$F:$F,1003)+SUMIFS('Gider Miktar'!BP:BP,'Gider Miktar'!$B:$B,'Emanet Miktar Dağılım'!$D6,'Gider Miktar'!$F:$F,1004)</f>
        <v>0</v>
      </c>
      <c r="BH6" s="9">
        <f>+SUMIFS('Gider Miktar'!BQ:BQ,'Gider Miktar'!$B:$B,'Emanet Miktar Dağılım'!$D6,'Gider Miktar'!$F:$F,1001)+SUMIFS('Gider Miktar'!BQ:BQ,'Gider Miktar'!$B:$B,'Emanet Miktar Dağılım'!$D6,'Gider Miktar'!$F:$F,1002)+SUMIFS('Gider Miktar'!BQ:BQ,'Gider Miktar'!$B:$B,'Emanet Miktar Dağılım'!$D6,'Gider Miktar'!$F:$F,1003)+SUMIFS('Gider Miktar'!BQ:BQ,'Gider Miktar'!$B:$B,'Emanet Miktar Dağılım'!$D6,'Gider Miktar'!$F:$F,1004)</f>
        <v>0</v>
      </c>
      <c r="BI6" s="9">
        <f>+SUMIFS('Gider Miktar'!BR:BR,'Gider Miktar'!$B:$B,'Emanet Miktar Dağılım'!$D6,'Gider Miktar'!$F:$F,1001)+SUMIFS('Gider Miktar'!BR:BR,'Gider Miktar'!$B:$B,'Emanet Miktar Dağılım'!$D6,'Gider Miktar'!$F:$F,1002)+SUMIFS('Gider Miktar'!BR:BR,'Gider Miktar'!$B:$B,'Emanet Miktar Dağılım'!$D6,'Gider Miktar'!$F:$F,1003)+SUMIFS('Gider Miktar'!BR:BR,'Gider Miktar'!$B:$B,'Emanet Miktar Dağılım'!$D6,'Gider Miktar'!$F:$F,1004)</f>
        <v>0</v>
      </c>
      <c r="BJ6" s="9">
        <f>+SUMIFS('Gider Miktar'!BS:BS,'Gider Miktar'!$B:$B,'Emanet Miktar Dağılım'!$D6,'Gider Miktar'!$F:$F,1001)+SUMIFS('Gider Miktar'!BS:BS,'Gider Miktar'!$B:$B,'Emanet Miktar Dağılım'!$D6,'Gider Miktar'!$F:$F,1002)+SUMIFS('Gider Miktar'!BS:BS,'Gider Miktar'!$B:$B,'Emanet Miktar Dağılım'!$D6,'Gider Miktar'!$F:$F,1003)+SUMIFS('Gider Miktar'!BS:BS,'Gider Miktar'!$B:$B,'Emanet Miktar Dağılım'!$D6,'Gider Miktar'!$F:$F,1004)</f>
        <v>0</v>
      </c>
      <c r="BK6" s="9">
        <f>+SUMIFS('Gider Miktar'!BT:BT,'Gider Miktar'!$B:$B,'Emanet Miktar Dağılım'!$D6,'Gider Miktar'!$F:$F,1001)+SUMIFS('Gider Miktar'!BT:BT,'Gider Miktar'!$B:$B,'Emanet Miktar Dağılım'!$D6,'Gider Miktar'!$F:$F,1002)+SUMIFS('Gider Miktar'!BT:BT,'Gider Miktar'!$B:$B,'Emanet Miktar Dağılım'!$D6,'Gider Miktar'!$F:$F,1003)+SUMIFS('Gider Miktar'!BT:BT,'Gider Miktar'!$B:$B,'Emanet Miktar Dağılım'!$D6,'Gider Miktar'!$F:$F,1004)</f>
        <v>0</v>
      </c>
      <c r="BL6" s="9">
        <f>+SUMIFS('Gider Miktar'!BU:BU,'Gider Miktar'!$B:$B,'Emanet Miktar Dağılım'!$D6,'Gider Miktar'!$F:$F,1001)+SUMIFS('Gider Miktar'!BU:BU,'Gider Miktar'!$B:$B,'Emanet Miktar Dağılım'!$D6,'Gider Miktar'!$F:$F,1002)+SUMIFS('Gider Miktar'!BU:BU,'Gider Miktar'!$B:$B,'Emanet Miktar Dağılım'!$D6,'Gider Miktar'!$F:$F,1003)+SUMIFS('Gider Miktar'!BU:BU,'Gider Miktar'!$B:$B,'Emanet Miktar Dağılım'!$D6,'Gider Miktar'!$F:$F,1004)</f>
        <v>0</v>
      </c>
      <c r="BM6" s="9">
        <f>+SUMIFS('Gider Miktar'!BV:BV,'Gider Miktar'!$B:$B,'Emanet Miktar Dağılım'!$D6,'Gider Miktar'!$F:$F,1001)+SUMIFS('Gider Miktar'!BV:BV,'Gider Miktar'!$B:$B,'Emanet Miktar Dağılım'!$D6,'Gider Miktar'!$F:$F,1002)+SUMIFS('Gider Miktar'!BV:BV,'Gider Miktar'!$B:$B,'Emanet Miktar Dağılım'!$D6,'Gider Miktar'!$F:$F,1003)+SUMIFS('Gider Miktar'!BV:BV,'Gider Miktar'!$B:$B,'Emanet Miktar Dağılım'!$D6,'Gider Miktar'!$F:$F,1004)</f>
        <v>0</v>
      </c>
      <c r="BN6" s="9">
        <f>+SUMIFS('Gider Miktar'!BW:BW,'Gider Miktar'!$B:$B,'Emanet Miktar Dağılım'!$D6,'Gider Miktar'!$F:$F,1001)+SUMIFS('Gider Miktar'!BW:BW,'Gider Miktar'!$B:$B,'Emanet Miktar Dağılım'!$D6,'Gider Miktar'!$F:$F,1002)+SUMIFS('Gider Miktar'!BW:BW,'Gider Miktar'!$B:$B,'Emanet Miktar Dağılım'!$D6,'Gider Miktar'!$F:$F,1003)+SUMIFS('Gider Miktar'!BW:BW,'Gider Miktar'!$B:$B,'Emanet Miktar Dağılım'!$D6,'Gider Miktar'!$F:$F,1004)</f>
        <v>0</v>
      </c>
      <c r="BO6" s="9">
        <f>+SUMIFS('Gider Miktar'!BX:BX,'Gider Miktar'!$B:$B,'Emanet Miktar Dağılım'!$D6,'Gider Miktar'!$F:$F,1001)+SUMIFS('Gider Miktar'!BX:BX,'Gider Miktar'!$B:$B,'Emanet Miktar Dağılım'!$D6,'Gider Miktar'!$F:$F,1002)+SUMIFS('Gider Miktar'!BX:BX,'Gider Miktar'!$B:$B,'Emanet Miktar Dağılım'!$D6,'Gider Miktar'!$F:$F,1003)+SUMIFS('Gider Miktar'!BX:BX,'Gider Miktar'!$B:$B,'Emanet Miktar Dağılım'!$D6,'Gider Miktar'!$F:$F,1004)</f>
        <v>0</v>
      </c>
    </row>
    <row r="7" spans="2:67">
      <c r="D7" t="s">
        <v>9</v>
      </c>
      <c r="E7" s="9">
        <f>+SUMIFS('Gider Miktar'!N:N,'Gider Miktar'!$B:$B,'Emanet Miktar Dağılım'!$D7,'Gider Miktar'!$F:$F,1001)+SUMIFS('Gider Miktar'!N:N,'Gider Miktar'!$B:$B,'Emanet Miktar Dağılım'!$D7,'Gider Miktar'!$F:$F,1002)+SUMIFS('Gider Miktar'!N:N,'Gider Miktar'!$B:$B,'Emanet Miktar Dağılım'!$D7,'Gider Miktar'!$F:$F,1003)+SUMIFS('Gider Miktar'!N:N,'Gider Miktar'!$B:$B,'Emanet Miktar Dağılım'!$D7,'Gider Miktar'!$F:$F,1004)</f>
        <v>0</v>
      </c>
      <c r="F7" s="9">
        <f>+SUMIFS('Gider Miktar'!O:O,'Gider Miktar'!$B:$B,'Emanet Miktar Dağılım'!$D7,'Gider Miktar'!$F:$F,1001)+SUMIFS('Gider Miktar'!O:O,'Gider Miktar'!$B:$B,'Emanet Miktar Dağılım'!$D7,'Gider Miktar'!$F:$F,1002)+SUMIFS('Gider Miktar'!O:O,'Gider Miktar'!$B:$B,'Emanet Miktar Dağılım'!$D7,'Gider Miktar'!$F:$F,1003)+SUMIFS('Gider Miktar'!O:O,'Gider Miktar'!$B:$B,'Emanet Miktar Dağılım'!$D7,'Gider Miktar'!$F:$F,1004)</f>
        <v>0</v>
      </c>
      <c r="G7" s="9">
        <f>+SUMIFS('Gider Miktar'!P:P,'Gider Miktar'!$B:$B,'Emanet Miktar Dağılım'!$D7,'Gider Miktar'!$F:$F,1001)+SUMIFS('Gider Miktar'!P:P,'Gider Miktar'!$B:$B,'Emanet Miktar Dağılım'!$D7,'Gider Miktar'!$F:$F,1002)+SUMIFS('Gider Miktar'!P:P,'Gider Miktar'!$B:$B,'Emanet Miktar Dağılım'!$D7,'Gider Miktar'!$F:$F,1003)+SUMIFS('Gider Miktar'!P:P,'Gider Miktar'!$B:$B,'Emanet Miktar Dağılım'!$D7,'Gider Miktar'!$F:$F,1004)</f>
        <v>0</v>
      </c>
      <c r="H7" s="9">
        <f>+SUMIFS('Gider Miktar'!Q:Q,'Gider Miktar'!$B:$B,'Emanet Miktar Dağılım'!$D7,'Gider Miktar'!$F:$F,1001)+SUMIFS('Gider Miktar'!Q:Q,'Gider Miktar'!$B:$B,'Emanet Miktar Dağılım'!$D7,'Gider Miktar'!$F:$F,1002)+SUMIFS('Gider Miktar'!Q:Q,'Gider Miktar'!$B:$B,'Emanet Miktar Dağılım'!$D7,'Gider Miktar'!$F:$F,1003)+SUMIFS('Gider Miktar'!Q:Q,'Gider Miktar'!$B:$B,'Emanet Miktar Dağılım'!$D7,'Gider Miktar'!$F:$F,1004)</f>
        <v>0</v>
      </c>
      <c r="I7" s="9">
        <f>+SUMIFS('Gider Miktar'!R:R,'Gider Miktar'!$B:$B,'Emanet Miktar Dağılım'!$D7,'Gider Miktar'!$F:$F,1001)+SUMIFS('Gider Miktar'!R:R,'Gider Miktar'!$B:$B,'Emanet Miktar Dağılım'!$D7,'Gider Miktar'!$F:$F,1002)+SUMIFS('Gider Miktar'!R:R,'Gider Miktar'!$B:$B,'Emanet Miktar Dağılım'!$D7,'Gider Miktar'!$F:$F,1003)+SUMIFS('Gider Miktar'!R:R,'Gider Miktar'!$B:$B,'Emanet Miktar Dağılım'!$D7,'Gider Miktar'!$F:$F,1004)</f>
        <v>0</v>
      </c>
      <c r="J7" s="9">
        <f>+SUMIFS('Gider Miktar'!S:S,'Gider Miktar'!$B:$B,'Emanet Miktar Dağılım'!$D7,'Gider Miktar'!$F:$F,1001)+SUMIFS('Gider Miktar'!S:S,'Gider Miktar'!$B:$B,'Emanet Miktar Dağılım'!$D7,'Gider Miktar'!$F:$F,1002)+SUMIFS('Gider Miktar'!S:S,'Gider Miktar'!$B:$B,'Emanet Miktar Dağılım'!$D7,'Gider Miktar'!$F:$F,1003)+SUMIFS('Gider Miktar'!S:S,'Gider Miktar'!$B:$B,'Emanet Miktar Dağılım'!$D7,'Gider Miktar'!$F:$F,1004)</f>
        <v>0</v>
      </c>
      <c r="K7" s="9">
        <f>+SUMIFS('Gider Miktar'!T:T,'Gider Miktar'!$B:$B,'Emanet Miktar Dağılım'!$D7,'Gider Miktar'!$F:$F,1001)+SUMIFS('Gider Miktar'!T:T,'Gider Miktar'!$B:$B,'Emanet Miktar Dağılım'!$D7,'Gider Miktar'!$F:$F,1002)+SUMIFS('Gider Miktar'!T:T,'Gider Miktar'!$B:$B,'Emanet Miktar Dağılım'!$D7,'Gider Miktar'!$F:$F,1003)+SUMIFS('Gider Miktar'!T:T,'Gider Miktar'!$B:$B,'Emanet Miktar Dağılım'!$D7,'Gider Miktar'!$F:$F,1004)</f>
        <v>0</v>
      </c>
      <c r="L7" s="9">
        <f>+SUMIFS('Gider Miktar'!U:U,'Gider Miktar'!$B:$B,'Emanet Miktar Dağılım'!$D7,'Gider Miktar'!$F:$F,1001)+SUMIFS('Gider Miktar'!U:U,'Gider Miktar'!$B:$B,'Emanet Miktar Dağılım'!$D7,'Gider Miktar'!$F:$F,1002)+SUMIFS('Gider Miktar'!U:U,'Gider Miktar'!$B:$B,'Emanet Miktar Dağılım'!$D7,'Gider Miktar'!$F:$F,1003)+SUMIFS('Gider Miktar'!U:U,'Gider Miktar'!$B:$B,'Emanet Miktar Dağılım'!$D7,'Gider Miktar'!$F:$F,1004)</f>
        <v>0</v>
      </c>
      <c r="M7" s="9">
        <f>+SUMIFS('Gider Miktar'!V:V,'Gider Miktar'!$B:$B,'Emanet Miktar Dağılım'!$D7,'Gider Miktar'!$F:$F,1001)+SUMIFS('Gider Miktar'!V:V,'Gider Miktar'!$B:$B,'Emanet Miktar Dağılım'!$D7,'Gider Miktar'!$F:$F,1002)+SUMIFS('Gider Miktar'!V:V,'Gider Miktar'!$B:$B,'Emanet Miktar Dağılım'!$D7,'Gider Miktar'!$F:$F,1003)+SUMIFS('Gider Miktar'!V:V,'Gider Miktar'!$B:$B,'Emanet Miktar Dağılım'!$D7,'Gider Miktar'!$F:$F,1004)</f>
        <v>0</v>
      </c>
      <c r="N7" s="11">
        <f>+SUMIFS('Gider Miktar'!W:W,'Gider Miktar'!$B:$B,'Emanet Miktar Dağılım'!$D7,'Gider Miktar'!$F:$F,1001)+SUMIFS('Gider Miktar'!W:W,'Gider Miktar'!$B:$B,'Emanet Miktar Dağılım'!$D7,'Gider Miktar'!$F:$F,1002)+SUMIFS('Gider Miktar'!W:W,'Gider Miktar'!$B:$B,'Emanet Miktar Dağılım'!$D7,'Gider Miktar'!$F:$F,1003)+SUMIFS('Gider Miktar'!W:W,'Gider Miktar'!$B:$B,'Emanet Miktar Dağılım'!$D7,'Gider Miktar'!$F:$F,1004)</f>
        <v>0</v>
      </c>
      <c r="O7" s="9">
        <f>+SUMIFS('Gider Miktar'!X:X,'Gider Miktar'!$B:$B,'Emanet Miktar Dağılım'!$D7,'Gider Miktar'!$F:$F,1001)+SUMIFS('Gider Miktar'!X:X,'Gider Miktar'!$B:$B,'Emanet Miktar Dağılım'!$D7,'Gider Miktar'!$F:$F,1002)+SUMIFS('Gider Miktar'!X:X,'Gider Miktar'!$B:$B,'Emanet Miktar Dağılım'!$D7,'Gider Miktar'!$F:$F,1003)+SUMIFS('Gider Miktar'!X:X,'Gider Miktar'!$B:$B,'Emanet Miktar Dağılım'!$D7,'Gider Miktar'!$F:$F,1004)</f>
        <v>8.1389799055260035</v>
      </c>
      <c r="P7" s="9">
        <f>+SUMIFS('Gider Miktar'!Y:Y,'Gider Miktar'!$B:$B,'Emanet Miktar Dağılım'!$D7,'Gider Miktar'!$F:$F,1001)+SUMIFS('Gider Miktar'!Y:Y,'Gider Miktar'!$B:$B,'Emanet Miktar Dağılım'!$D7,'Gider Miktar'!$F:$F,1002)+SUMIFS('Gider Miktar'!Y:Y,'Gider Miktar'!$B:$B,'Emanet Miktar Dağılım'!$D7,'Gider Miktar'!$F:$F,1003)+SUMIFS('Gider Miktar'!Y:Y,'Gider Miktar'!$B:$B,'Emanet Miktar Dağılım'!$D7,'Gider Miktar'!$F:$F,1004)</f>
        <v>19.130381592479491</v>
      </c>
      <c r="Q7" s="9">
        <f>+SUMIFS('Gider Miktar'!Z:Z,'Gider Miktar'!$B:$B,'Emanet Miktar Dağılım'!$D7,'Gider Miktar'!$F:$F,1001)+SUMIFS('Gider Miktar'!Z:Z,'Gider Miktar'!$B:$B,'Emanet Miktar Dağılım'!$D7,'Gider Miktar'!$F:$F,1002)+SUMIFS('Gider Miktar'!Z:Z,'Gider Miktar'!$B:$B,'Emanet Miktar Dağılım'!$D7,'Gider Miktar'!$F:$F,1003)+SUMIFS('Gider Miktar'!Z:Z,'Gider Miktar'!$B:$B,'Emanet Miktar Dağılım'!$D7,'Gider Miktar'!$F:$F,1004)</f>
        <v>84.256862862307969</v>
      </c>
      <c r="R7" s="9">
        <f>+SUMIFS('Gider Miktar'!AA:AA,'Gider Miktar'!$B:$B,'Emanet Miktar Dağılım'!$D7,'Gider Miktar'!$F:$F,1001)+SUMIFS('Gider Miktar'!AA:AA,'Gider Miktar'!$B:$B,'Emanet Miktar Dağılım'!$D7,'Gider Miktar'!$F:$F,1002)+SUMIFS('Gider Miktar'!AA:AA,'Gider Miktar'!$B:$B,'Emanet Miktar Dağılım'!$D7,'Gider Miktar'!$F:$F,1003)+SUMIFS('Gider Miktar'!AA:AA,'Gider Miktar'!$B:$B,'Emanet Miktar Dağılım'!$D7,'Gider Miktar'!$F:$F,1004)</f>
        <v>91.54624160180758</v>
      </c>
      <c r="S7" s="9">
        <f>+SUMIFS('Gider Miktar'!AB:AB,'Gider Miktar'!$B:$B,'Emanet Miktar Dağılım'!$D7,'Gider Miktar'!$F:$F,1001)+SUMIFS('Gider Miktar'!AB:AB,'Gider Miktar'!$B:$B,'Emanet Miktar Dağılım'!$D7,'Gider Miktar'!$F:$F,1002)+SUMIFS('Gider Miktar'!AB:AB,'Gider Miktar'!$B:$B,'Emanet Miktar Dağılım'!$D7,'Gider Miktar'!$F:$F,1003)+SUMIFS('Gider Miktar'!AB:AB,'Gider Miktar'!$B:$B,'Emanet Miktar Dağılım'!$D7,'Gider Miktar'!$F:$F,1004)</f>
        <v>85.4744307759169</v>
      </c>
      <c r="T7" s="9">
        <f>+SUMIFS('Gider Miktar'!AC:AC,'Gider Miktar'!$B:$B,'Emanet Miktar Dağılım'!$D7,'Gider Miktar'!$F:$F,1001)+SUMIFS('Gider Miktar'!AC:AC,'Gider Miktar'!$B:$B,'Emanet Miktar Dağılım'!$D7,'Gider Miktar'!$F:$F,1002)+SUMIFS('Gider Miktar'!AC:AC,'Gider Miktar'!$B:$B,'Emanet Miktar Dağılım'!$D7,'Gider Miktar'!$F:$F,1003)+SUMIFS('Gider Miktar'!AC:AC,'Gider Miktar'!$B:$B,'Emanet Miktar Dağılım'!$D7,'Gider Miktar'!$F:$F,1004)</f>
        <v>89.447769660256625</v>
      </c>
      <c r="U7" s="9">
        <f>+SUMIFS('Gider Miktar'!AD:AD,'Gider Miktar'!$B:$B,'Emanet Miktar Dağılım'!$D7,'Gider Miktar'!$F:$F,1001)+SUMIFS('Gider Miktar'!AD:AD,'Gider Miktar'!$B:$B,'Emanet Miktar Dağılım'!$D7,'Gider Miktar'!$F:$F,1002)+SUMIFS('Gider Miktar'!AD:AD,'Gider Miktar'!$B:$B,'Emanet Miktar Dağılım'!$D7,'Gider Miktar'!$F:$F,1003)+SUMIFS('Gider Miktar'!AD:AD,'Gider Miktar'!$B:$B,'Emanet Miktar Dağılım'!$D7,'Gider Miktar'!$F:$F,1004)</f>
        <v>178.99900035497831</v>
      </c>
      <c r="V7" s="9">
        <f>+SUMIFS('Gider Miktar'!AE:AE,'Gider Miktar'!$B:$B,'Emanet Miktar Dağılım'!$D7,'Gider Miktar'!$F:$F,1001)+SUMIFS('Gider Miktar'!AE:AE,'Gider Miktar'!$B:$B,'Emanet Miktar Dağılım'!$D7,'Gider Miktar'!$F:$F,1002)+SUMIFS('Gider Miktar'!AE:AE,'Gider Miktar'!$B:$B,'Emanet Miktar Dağılım'!$D7,'Gider Miktar'!$F:$F,1003)+SUMIFS('Gider Miktar'!AE:AE,'Gider Miktar'!$B:$B,'Emanet Miktar Dağılım'!$D7,'Gider Miktar'!$F:$F,1004)</f>
        <v>103.21032310243285</v>
      </c>
      <c r="W7" s="9">
        <f>+SUMIFS('Gider Miktar'!AF:AF,'Gider Miktar'!$B:$B,'Emanet Miktar Dağılım'!$D7,'Gider Miktar'!$F:$F,1001)+SUMIFS('Gider Miktar'!AF:AF,'Gider Miktar'!$B:$B,'Emanet Miktar Dağılım'!$D7,'Gider Miktar'!$F:$F,1002)+SUMIFS('Gider Miktar'!AF:AF,'Gider Miktar'!$B:$B,'Emanet Miktar Dağılım'!$D7,'Gider Miktar'!$F:$F,1003)+SUMIFS('Gider Miktar'!AF:AF,'Gider Miktar'!$B:$B,'Emanet Miktar Dağılım'!$D7,'Gider Miktar'!$F:$F,1004)</f>
        <v>98.290732241370037</v>
      </c>
      <c r="X7" s="9">
        <f>+SUMIFS('Gider Miktar'!AG:AG,'Gider Miktar'!$B:$B,'Emanet Miktar Dağılım'!$D7,'Gider Miktar'!$F:$F,1001)+SUMIFS('Gider Miktar'!AG:AG,'Gider Miktar'!$B:$B,'Emanet Miktar Dağılım'!$D7,'Gider Miktar'!$F:$F,1002)+SUMIFS('Gider Miktar'!AG:AG,'Gider Miktar'!$B:$B,'Emanet Miktar Dağılım'!$D7,'Gider Miktar'!$F:$F,1003)+SUMIFS('Gider Miktar'!AG:AG,'Gider Miktar'!$B:$B,'Emanet Miktar Dağılım'!$D7,'Gider Miktar'!$F:$F,1004)</f>
        <v>170.01888160030271</v>
      </c>
      <c r="Y7" s="9">
        <f>+SUMIFS('Gider Miktar'!AH:AH,'Gider Miktar'!$B:$B,'Emanet Miktar Dağılım'!$D7,'Gider Miktar'!$F:$F,1001)+SUMIFS('Gider Miktar'!AH:AH,'Gider Miktar'!$B:$B,'Emanet Miktar Dağılım'!$D7,'Gider Miktar'!$F:$F,1002)+SUMIFS('Gider Miktar'!AH:AH,'Gider Miktar'!$B:$B,'Emanet Miktar Dağılım'!$D7,'Gider Miktar'!$F:$F,1003)+SUMIFS('Gider Miktar'!AH:AH,'Gider Miktar'!$B:$B,'Emanet Miktar Dağılım'!$D7,'Gider Miktar'!$F:$F,1004)</f>
        <v>240.4318896402543</v>
      </c>
      <c r="Z7" s="9">
        <f>+SUMIFS('Gider Miktar'!AI:AI,'Gider Miktar'!$B:$B,'Emanet Miktar Dağılım'!$D7,'Gider Miktar'!$F:$F,1001)+SUMIFS('Gider Miktar'!AI:AI,'Gider Miktar'!$B:$B,'Emanet Miktar Dağılım'!$D7,'Gider Miktar'!$F:$F,1002)+SUMIFS('Gider Miktar'!AI:AI,'Gider Miktar'!$B:$B,'Emanet Miktar Dağılım'!$D7,'Gider Miktar'!$F:$F,1003)+SUMIFS('Gider Miktar'!AI:AI,'Gider Miktar'!$B:$B,'Emanet Miktar Dağılım'!$D7,'Gider Miktar'!$F:$F,1004)</f>
        <v>235.51229877919141</v>
      </c>
      <c r="AA7" s="9">
        <f>+SUMIFS('Gider Miktar'!AJ:AJ,'Gider Miktar'!$B:$B,'Emanet Miktar Dağılım'!$D7,'Gider Miktar'!$F:$F,1001)+SUMIFS('Gider Miktar'!AJ:AJ,'Gider Miktar'!$B:$B,'Emanet Miktar Dağılım'!$D7,'Gider Miktar'!$F:$F,1002)+SUMIFS('Gider Miktar'!AJ:AJ,'Gider Miktar'!$B:$B,'Emanet Miktar Dağılım'!$D7,'Gider Miktar'!$F:$F,1003)+SUMIFS('Gider Miktar'!AJ:AJ,'Gider Miktar'!$B:$B,'Emanet Miktar Dağılım'!$D7,'Gider Miktar'!$F:$F,1004)</f>
        <v>235.51229877919141</v>
      </c>
      <c r="AB7" s="9">
        <f>+SUMIFS('Gider Miktar'!AK:AK,'Gider Miktar'!$B:$B,'Emanet Miktar Dağılım'!$D7,'Gider Miktar'!$F:$F,1001)+SUMIFS('Gider Miktar'!AK:AK,'Gider Miktar'!$B:$B,'Emanet Miktar Dağılım'!$D7,'Gider Miktar'!$F:$F,1002)+SUMIFS('Gider Miktar'!AK:AK,'Gider Miktar'!$B:$B,'Emanet Miktar Dağılım'!$D7,'Gider Miktar'!$F:$F,1003)+SUMIFS('Gider Miktar'!AK:AK,'Gider Miktar'!$B:$B,'Emanet Miktar Dağılım'!$D7,'Gider Miktar'!$F:$F,1004)</f>
        <v>207.04879016456118</v>
      </c>
      <c r="AC7" s="9">
        <f>+SUMIFS('Gider Miktar'!AL:AL,'Gider Miktar'!$B:$B,'Emanet Miktar Dağılım'!$D7,'Gider Miktar'!$F:$F,1001)+SUMIFS('Gider Miktar'!AL:AL,'Gider Miktar'!$B:$B,'Emanet Miktar Dağılım'!$D7,'Gider Miktar'!$F:$F,1002)+SUMIFS('Gider Miktar'!AL:AL,'Gider Miktar'!$B:$B,'Emanet Miktar Dağılım'!$D7,'Gider Miktar'!$F:$F,1003)+SUMIFS('Gider Miktar'!AL:AL,'Gider Miktar'!$B:$B,'Emanet Miktar Dağılım'!$D7,'Gider Miktar'!$F:$F,1004)</f>
        <v>138.57512344774375</v>
      </c>
      <c r="AD7" s="9">
        <f>+SUMIFS('Gider Miktar'!AM:AM,'Gider Miktar'!$B:$B,'Emanet Miktar Dağılım'!$D7,'Gider Miktar'!$F:$F,1001)+SUMIFS('Gider Miktar'!AM:AM,'Gider Miktar'!$B:$B,'Emanet Miktar Dağılım'!$D7,'Gider Miktar'!$F:$F,1002)+SUMIFS('Gider Miktar'!AM:AM,'Gider Miktar'!$B:$B,'Emanet Miktar Dağılım'!$D7,'Gider Miktar'!$F:$F,1003)+SUMIFS('Gider Miktar'!AM:AM,'Gider Miktar'!$B:$B,'Emanet Miktar Dağılım'!$D7,'Gider Miktar'!$F:$F,1004)</f>
        <v>95.910279968716495</v>
      </c>
      <c r="AE7" s="9">
        <f>+SUMIFS('Gider Miktar'!AN:AN,'Gider Miktar'!$B:$B,'Emanet Miktar Dağılım'!$D7,'Gider Miktar'!$F:$F,1001)+SUMIFS('Gider Miktar'!AN:AN,'Gider Miktar'!$B:$B,'Emanet Miktar Dağılım'!$D7,'Gider Miktar'!$F:$F,1002)+SUMIFS('Gider Miktar'!AN:AN,'Gider Miktar'!$B:$B,'Emanet Miktar Dağılım'!$D7,'Gider Miktar'!$F:$F,1003)+SUMIFS('Gider Miktar'!AN:AN,'Gider Miktar'!$B:$B,'Emanet Miktar Dağılım'!$D7,'Gider Miktar'!$F:$F,1004)</f>
        <v>83.871265071643407</v>
      </c>
      <c r="AF7" s="9">
        <f>+SUMIFS('Gider Miktar'!AO:AO,'Gider Miktar'!$B:$B,'Emanet Miktar Dağılım'!$D7,'Gider Miktar'!$F:$F,1001)+SUMIFS('Gider Miktar'!AO:AO,'Gider Miktar'!$B:$B,'Emanet Miktar Dağılım'!$D7,'Gider Miktar'!$F:$F,1002)+SUMIFS('Gider Miktar'!AO:AO,'Gider Miktar'!$B:$B,'Emanet Miktar Dağılım'!$D7,'Gider Miktar'!$F:$F,1003)+SUMIFS('Gider Miktar'!AO:AO,'Gider Miktar'!$B:$B,'Emanet Miktar Dağılım'!$D7,'Gider Miktar'!$F:$F,1004)</f>
        <v>84.663922589943169</v>
      </c>
      <c r="AG7" s="9">
        <f>+SUMIFS('Gider Miktar'!AP:AP,'Gider Miktar'!$B:$B,'Emanet Miktar Dağılım'!$D7,'Gider Miktar'!$F:$F,1001)+SUMIFS('Gider Miktar'!AP:AP,'Gider Miktar'!$B:$B,'Emanet Miktar Dağılım'!$D7,'Gider Miktar'!$F:$F,1002)+SUMIFS('Gider Miktar'!AP:AP,'Gider Miktar'!$B:$B,'Emanet Miktar Dağılım'!$D7,'Gider Miktar'!$F:$F,1003)+SUMIFS('Gider Miktar'!AP:AP,'Gider Miktar'!$B:$B,'Emanet Miktar Dağılım'!$D7,'Gider Miktar'!$F:$F,1004)</f>
        <v>101.72713510278734</v>
      </c>
      <c r="AH7" s="9">
        <f>+SUMIFS('Gider Miktar'!AQ:AQ,'Gider Miktar'!$B:$B,'Emanet Miktar Dağılım'!$D7,'Gider Miktar'!$F:$F,1001)+SUMIFS('Gider Miktar'!AQ:AQ,'Gider Miktar'!$B:$B,'Emanet Miktar Dağılım'!$D7,'Gider Miktar'!$F:$F,1002)+SUMIFS('Gider Miktar'!AQ:AQ,'Gider Miktar'!$B:$B,'Emanet Miktar Dağılım'!$D7,'Gider Miktar'!$F:$F,1003)+SUMIFS('Gider Miktar'!AQ:AQ,'Gider Miktar'!$B:$B,'Emanet Miktar Dağılım'!$D7,'Gider Miktar'!$F:$F,1004)</f>
        <v>106.64672596385017</v>
      </c>
      <c r="AI7" s="9">
        <f>+SUMIFS('Gider Miktar'!AR:AR,'Gider Miktar'!$B:$B,'Emanet Miktar Dağılım'!$D7,'Gider Miktar'!$F:$F,1001)+SUMIFS('Gider Miktar'!AR:AR,'Gider Miktar'!$B:$B,'Emanet Miktar Dağılım'!$D7,'Gider Miktar'!$F:$F,1002)+SUMIFS('Gider Miktar'!AR:AR,'Gider Miktar'!$B:$B,'Emanet Miktar Dağılım'!$D7,'Gider Miktar'!$F:$F,1003)+SUMIFS('Gider Miktar'!AR:AR,'Gider Miktar'!$B:$B,'Emanet Miktar Dağılım'!$D7,'Gider Miktar'!$F:$F,1004)</f>
        <v>106.64672596385017</v>
      </c>
      <c r="AJ7" s="9">
        <f>+SUMIFS('Gider Miktar'!AS:AS,'Gider Miktar'!$B:$B,'Emanet Miktar Dağılım'!$D7,'Gider Miktar'!$F:$F,1001)+SUMIFS('Gider Miktar'!AS:AS,'Gider Miktar'!$B:$B,'Emanet Miktar Dağılım'!$D7,'Gider Miktar'!$F:$F,1002)+SUMIFS('Gider Miktar'!AS:AS,'Gider Miktar'!$B:$B,'Emanet Miktar Dağılım'!$D7,'Gider Miktar'!$F:$F,1003)+SUMIFS('Gider Miktar'!AS:AS,'Gider Miktar'!$B:$B,'Emanet Miktar Dağılım'!$D7,'Gider Miktar'!$F:$F,1004)</f>
        <v>106.64672596385017</v>
      </c>
      <c r="AK7" s="9">
        <f>+SUMIFS('Gider Miktar'!AT:AT,'Gider Miktar'!$B:$B,'Emanet Miktar Dağılım'!$D7,'Gider Miktar'!$F:$F,1001)+SUMIFS('Gider Miktar'!AT:AT,'Gider Miktar'!$B:$B,'Emanet Miktar Dağılım'!$D7,'Gider Miktar'!$F:$F,1002)+SUMIFS('Gider Miktar'!AT:AT,'Gider Miktar'!$B:$B,'Emanet Miktar Dağılım'!$D7,'Gider Miktar'!$F:$F,1003)+SUMIFS('Gider Miktar'!AT:AT,'Gider Miktar'!$B:$B,'Emanet Miktar Dağılım'!$D7,'Gider Miktar'!$F:$F,1004)</f>
        <v>101.72713510278734</v>
      </c>
      <c r="AL7" s="9">
        <f>+SUMIFS('Gider Miktar'!AU:AU,'Gider Miktar'!$B:$B,'Emanet Miktar Dağılım'!$D7,'Gider Miktar'!$F:$F,1001)+SUMIFS('Gider Miktar'!AU:AU,'Gider Miktar'!$B:$B,'Emanet Miktar Dağılım'!$D7,'Gider Miktar'!$F:$F,1002)+SUMIFS('Gider Miktar'!AU:AU,'Gider Miktar'!$B:$B,'Emanet Miktar Dağılım'!$D7,'Gider Miktar'!$F:$F,1003)+SUMIFS('Gider Miktar'!AU:AU,'Gider Miktar'!$B:$B,'Emanet Miktar Dağılım'!$D7,'Gider Miktar'!$F:$F,1004)</f>
        <v>96.807544241724543</v>
      </c>
      <c r="AM7" s="9">
        <f>+SUMIFS('Gider Miktar'!AV:AV,'Gider Miktar'!$B:$B,'Emanet Miktar Dağılım'!$D7,'Gider Miktar'!$F:$F,1001)+SUMIFS('Gider Miktar'!AV:AV,'Gider Miktar'!$B:$B,'Emanet Miktar Dağılım'!$D7,'Gider Miktar'!$F:$F,1002)+SUMIFS('Gider Miktar'!AV:AV,'Gider Miktar'!$B:$B,'Emanet Miktar Dağılım'!$D7,'Gider Miktar'!$F:$F,1003)+SUMIFS('Gider Miktar'!AV:AV,'Gider Miktar'!$B:$B,'Emanet Miktar Dağılım'!$D7,'Gider Miktar'!$F:$F,1004)</f>
        <v>96.807544241724543</v>
      </c>
      <c r="AN7" s="9">
        <f>+SUMIFS('Gider Miktar'!AW:AW,'Gider Miktar'!$B:$B,'Emanet Miktar Dağılım'!$D7,'Gider Miktar'!$F:$F,1001)+SUMIFS('Gider Miktar'!AW:AW,'Gider Miktar'!$B:$B,'Emanet Miktar Dağılım'!$D7,'Gider Miktar'!$F:$F,1002)+SUMIFS('Gider Miktar'!AW:AW,'Gider Miktar'!$B:$B,'Emanet Miktar Dağılım'!$D7,'Gider Miktar'!$F:$F,1003)+SUMIFS('Gider Miktar'!AW:AW,'Gider Miktar'!$B:$B,'Emanet Miktar Dağılım'!$D7,'Gider Miktar'!$F:$F,1004)</f>
        <v>24.287243303562732</v>
      </c>
      <c r="AO7" s="9">
        <f>+SUMIFS('Gider Miktar'!AX:AX,'Gider Miktar'!$B:$B,'Emanet Miktar Dağılım'!$D7,'Gider Miktar'!$F:$F,1001)+SUMIFS('Gider Miktar'!AX:AX,'Gider Miktar'!$B:$B,'Emanet Miktar Dağılım'!$D7,'Gider Miktar'!$F:$F,1002)+SUMIFS('Gider Miktar'!AX:AX,'Gider Miktar'!$B:$B,'Emanet Miktar Dağılım'!$D7,'Gider Miktar'!$F:$F,1003)+SUMIFS('Gider Miktar'!AX:AX,'Gider Miktar'!$B:$B,'Emanet Miktar Dağılım'!$D7,'Gider Miktar'!$F:$F,1004)</f>
        <v>30.190752336838145</v>
      </c>
      <c r="AP7" s="9">
        <f>+SUMIFS('Gider Miktar'!AY:AY,'Gider Miktar'!$B:$B,'Emanet Miktar Dağılım'!$D7,'Gider Miktar'!$F:$F,1001)+SUMIFS('Gider Miktar'!AY:AY,'Gider Miktar'!$B:$B,'Emanet Miktar Dağılım'!$D7,'Gider Miktar'!$F:$F,1002)+SUMIFS('Gider Miktar'!AY:AY,'Gider Miktar'!$B:$B,'Emanet Miktar Dağılım'!$D7,'Gider Miktar'!$F:$F,1003)+SUMIFS('Gider Miktar'!AY:AY,'Gider Miktar'!$B:$B,'Emanet Miktar Dağılım'!$D7,'Gider Miktar'!$F:$F,1004)</f>
        <v>30.190752336838145</v>
      </c>
      <c r="AQ7" s="9">
        <f>+SUMIFS('Gider Miktar'!AZ:AZ,'Gider Miktar'!$B:$B,'Emanet Miktar Dağılım'!$D7,'Gider Miktar'!$F:$F,1001)+SUMIFS('Gider Miktar'!AZ:AZ,'Gider Miktar'!$B:$B,'Emanet Miktar Dağılım'!$D7,'Gider Miktar'!$F:$F,1002)+SUMIFS('Gider Miktar'!AZ:AZ,'Gider Miktar'!$B:$B,'Emanet Miktar Dağılım'!$D7,'Gider Miktar'!$F:$F,1003)+SUMIFS('Gider Miktar'!AZ:AZ,'Gider Miktar'!$B:$B,'Emanet Miktar Dağılım'!$D7,'Gider Miktar'!$F:$F,1004)</f>
        <v>24.287243303562732</v>
      </c>
      <c r="AR7" s="9">
        <f>+SUMIFS('Gider Miktar'!BA:BA,'Gider Miktar'!$B:$B,'Emanet Miktar Dağılım'!$D7,'Gider Miktar'!$F:$F,1001)+SUMIFS('Gider Miktar'!BA:BA,'Gider Miktar'!$B:$B,'Emanet Miktar Dağılım'!$D7,'Gider Miktar'!$F:$F,1002)+SUMIFS('Gider Miktar'!BA:BA,'Gider Miktar'!$B:$B,'Emanet Miktar Dağılım'!$D7,'Gider Miktar'!$F:$F,1003)+SUMIFS('Gider Miktar'!BA:BA,'Gider Miktar'!$B:$B,'Emanet Miktar Dağılım'!$D7,'Gider Miktar'!$F:$F,1004)</f>
        <v>0</v>
      </c>
      <c r="AS7" s="9">
        <f>+SUMIFS('Gider Miktar'!BB:BB,'Gider Miktar'!$B:$B,'Emanet Miktar Dağılım'!$D7,'Gider Miktar'!$F:$F,1001)+SUMIFS('Gider Miktar'!BB:BB,'Gider Miktar'!$B:$B,'Emanet Miktar Dağılım'!$D7,'Gider Miktar'!$F:$F,1002)+SUMIFS('Gider Miktar'!BB:BB,'Gider Miktar'!$B:$B,'Emanet Miktar Dağılım'!$D7,'Gider Miktar'!$F:$F,1003)+SUMIFS('Gider Miktar'!BB:BB,'Gider Miktar'!$B:$B,'Emanet Miktar Dağılım'!$D7,'Gider Miktar'!$F:$F,1004)</f>
        <v>0</v>
      </c>
      <c r="AT7" s="9">
        <f>+SUMIFS('Gider Miktar'!BC:BC,'Gider Miktar'!$B:$B,'Emanet Miktar Dağılım'!$D7,'Gider Miktar'!$F:$F,1001)+SUMIFS('Gider Miktar'!BC:BC,'Gider Miktar'!$B:$B,'Emanet Miktar Dağılım'!$D7,'Gider Miktar'!$F:$F,1002)+SUMIFS('Gider Miktar'!BC:BC,'Gider Miktar'!$B:$B,'Emanet Miktar Dağılım'!$D7,'Gider Miktar'!$F:$F,1003)+SUMIFS('Gider Miktar'!BC:BC,'Gider Miktar'!$B:$B,'Emanet Miktar Dağılım'!$D7,'Gider Miktar'!$F:$F,1004)</f>
        <v>0</v>
      </c>
      <c r="AU7" s="9">
        <f>+SUMIFS('Gider Miktar'!BD:BD,'Gider Miktar'!$B:$B,'Emanet Miktar Dağılım'!$D7,'Gider Miktar'!$F:$F,1001)+SUMIFS('Gider Miktar'!BD:BD,'Gider Miktar'!$B:$B,'Emanet Miktar Dağılım'!$D7,'Gider Miktar'!$F:$F,1002)+SUMIFS('Gider Miktar'!BD:BD,'Gider Miktar'!$B:$B,'Emanet Miktar Dağılım'!$D7,'Gider Miktar'!$F:$F,1003)+SUMIFS('Gider Miktar'!BD:BD,'Gider Miktar'!$B:$B,'Emanet Miktar Dağılım'!$D7,'Gider Miktar'!$F:$F,1004)</f>
        <v>0</v>
      </c>
      <c r="AV7" s="9">
        <f>+SUMIFS('Gider Miktar'!BE:BE,'Gider Miktar'!$B:$B,'Emanet Miktar Dağılım'!$D7,'Gider Miktar'!$F:$F,1001)+SUMIFS('Gider Miktar'!BE:BE,'Gider Miktar'!$B:$B,'Emanet Miktar Dağılım'!$D7,'Gider Miktar'!$F:$F,1002)+SUMIFS('Gider Miktar'!BE:BE,'Gider Miktar'!$B:$B,'Emanet Miktar Dağılım'!$D7,'Gider Miktar'!$F:$F,1003)+SUMIFS('Gider Miktar'!BE:BE,'Gider Miktar'!$B:$B,'Emanet Miktar Dağılım'!$D7,'Gider Miktar'!$F:$F,1004)</f>
        <v>0</v>
      </c>
      <c r="AW7" s="9">
        <f>+SUMIFS('Gider Miktar'!BF:BF,'Gider Miktar'!$B:$B,'Emanet Miktar Dağılım'!$D7,'Gider Miktar'!$F:$F,1001)+SUMIFS('Gider Miktar'!BF:BF,'Gider Miktar'!$B:$B,'Emanet Miktar Dağılım'!$D7,'Gider Miktar'!$F:$F,1002)+SUMIFS('Gider Miktar'!BF:BF,'Gider Miktar'!$B:$B,'Emanet Miktar Dağılım'!$D7,'Gider Miktar'!$F:$F,1003)+SUMIFS('Gider Miktar'!BF:BF,'Gider Miktar'!$B:$B,'Emanet Miktar Dağılım'!$D7,'Gider Miktar'!$F:$F,1004)</f>
        <v>0</v>
      </c>
      <c r="AX7" s="9">
        <f>+SUMIFS('Gider Miktar'!BG:BG,'Gider Miktar'!$B:$B,'Emanet Miktar Dağılım'!$D7,'Gider Miktar'!$F:$F,1001)+SUMIFS('Gider Miktar'!BG:BG,'Gider Miktar'!$B:$B,'Emanet Miktar Dağılım'!$D7,'Gider Miktar'!$F:$F,1002)+SUMIFS('Gider Miktar'!BG:BG,'Gider Miktar'!$B:$B,'Emanet Miktar Dağılım'!$D7,'Gider Miktar'!$F:$F,1003)+SUMIFS('Gider Miktar'!BG:BG,'Gider Miktar'!$B:$B,'Emanet Miktar Dağılım'!$D7,'Gider Miktar'!$F:$F,1004)</f>
        <v>0</v>
      </c>
      <c r="AY7" s="9">
        <f>+SUMIFS('Gider Miktar'!BH:BH,'Gider Miktar'!$B:$B,'Emanet Miktar Dağılım'!$D7,'Gider Miktar'!$F:$F,1001)+SUMIFS('Gider Miktar'!BH:BH,'Gider Miktar'!$B:$B,'Emanet Miktar Dağılım'!$D7,'Gider Miktar'!$F:$F,1002)+SUMIFS('Gider Miktar'!BH:BH,'Gider Miktar'!$B:$B,'Emanet Miktar Dağılım'!$D7,'Gider Miktar'!$F:$F,1003)+SUMIFS('Gider Miktar'!BH:BH,'Gider Miktar'!$B:$B,'Emanet Miktar Dağılım'!$D7,'Gider Miktar'!$F:$F,1004)</f>
        <v>0</v>
      </c>
      <c r="AZ7" s="9">
        <f>+SUMIFS('Gider Miktar'!BI:BI,'Gider Miktar'!$B:$B,'Emanet Miktar Dağılım'!$D7,'Gider Miktar'!$F:$F,1001)+SUMIFS('Gider Miktar'!BI:BI,'Gider Miktar'!$B:$B,'Emanet Miktar Dağılım'!$D7,'Gider Miktar'!$F:$F,1002)+SUMIFS('Gider Miktar'!BI:BI,'Gider Miktar'!$B:$B,'Emanet Miktar Dağılım'!$D7,'Gider Miktar'!$F:$F,1003)+SUMIFS('Gider Miktar'!BI:BI,'Gider Miktar'!$B:$B,'Emanet Miktar Dağılım'!$D7,'Gider Miktar'!$F:$F,1004)</f>
        <v>0</v>
      </c>
      <c r="BA7" s="9">
        <f>+SUMIFS('Gider Miktar'!BJ:BJ,'Gider Miktar'!$B:$B,'Emanet Miktar Dağılım'!$D7,'Gider Miktar'!$F:$F,1001)+SUMIFS('Gider Miktar'!BJ:BJ,'Gider Miktar'!$B:$B,'Emanet Miktar Dağılım'!$D7,'Gider Miktar'!$F:$F,1002)+SUMIFS('Gider Miktar'!BJ:BJ,'Gider Miktar'!$B:$B,'Emanet Miktar Dağılım'!$D7,'Gider Miktar'!$F:$F,1003)+SUMIFS('Gider Miktar'!BJ:BJ,'Gider Miktar'!$B:$B,'Emanet Miktar Dağılım'!$D7,'Gider Miktar'!$F:$F,1004)</f>
        <v>0</v>
      </c>
      <c r="BB7" s="9">
        <f>+SUMIFS('Gider Miktar'!BK:BK,'Gider Miktar'!$B:$B,'Emanet Miktar Dağılım'!$D7,'Gider Miktar'!$F:$F,1001)+SUMIFS('Gider Miktar'!BK:BK,'Gider Miktar'!$B:$B,'Emanet Miktar Dağılım'!$D7,'Gider Miktar'!$F:$F,1002)+SUMIFS('Gider Miktar'!BK:BK,'Gider Miktar'!$B:$B,'Emanet Miktar Dağılım'!$D7,'Gider Miktar'!$F:$F,1003)+SUMIFS('Gider Miktar'!BK:BK,'Gider Miktar'!$B:$B,'Emanet Miktar Dağılım'!$D7,'Gider Miktar'!$F:$F,1004)</f>
        <v>0</v>
      </c>
      <c r="BC7" s="9">
        <f>+SUMIFS('Gider Miktar'!BL:BL,'Gider Miktar'!$B:$B,'Emanet Miktar Dağılım'!$D7,'Gider Miktar'!$F:$F,1001)+SUMIFS('Gider Miktar'!BL:BL,'Gider Miktar'!$B:$B,'Emanet Miktar Dağılım'!$D7,'Gider Miktar'!$F:$F,1002)+SUMIFS('Gider Miktar'!BL:BL,'Gider Miktar'!$B:$B,'Emanet Miktar Dağılım'!$D7,'Gider Miktar'!$F:$F,1003)+SUMIFS('Gider Miktar'!BL:BL,'Gider Miktar'!$B:$B,'Emanet Miktar Dağılım'!$D7,'Gider Miktar'!$F:$F,1004)</f>
        <v>0</v>
      </c>
      <c r="BD7" s="9">
        <f>+SUMIFS('Gider Miktar'!BM:BM,'Gider Miktar'!$B:$B,'Emanet Miktar Dağılım'!$D7,'Gider Miktar'!$F:$F,1001)+SUMIFS('Gider Miktar'!BM:BM,'Gider Miktar'!$B:$B,'Emanet Miktar Dağılım'!$D7,'Gider Miktar'!$F:$F,1002)+SUMIFS('Gider Miktar'!BM:BM,'Gider Miktar'!$B:$B,'Emanet Miktar Dağılım'!$D7,'Gider Miktar'!$F:$F,1003)+SUMIFS('Gider Miktar'!BM:BM,'Gider Miktar'!$B:$B,'Emanet Miktar Dağılım'!$D7,'Gider Miktar'!$F:$F,1004)</f>
        <v>0</v>
      </c>
      <c r="BE7" s="9">
        <f>+SUMIFS('Gider Miktar'!BN:BN,'Gider Miktar'!$B:$B,'Emanet Miktar Dağılım'!$D7,'Gider Miktar'!$F:$F,1001)+SUMIFS('Gider Miktar'!BN:BN,'Gider Miktar'!$B:$B,'Emanet Miktar Dağılım'!$D7,'Gider Miktar'!$F:$F,1002)+SUMIFS('Gider Miktar'!BN:BN,'Gider Miktar'!$B:$B,'Emanet Miktar Dağılım'!$D7,'Gider Miktar'!$F:$F,1003)+SUMIFS('Gider Miktar'!BN:BN,'Gider Miktar'!$B:$B,'Emanet Miktar Dağılım'!$D7,'Gider Miktar'!$F:$F,1004)</f>
        <v>0</v>
      </c>
      <c r="BF7" s="9">
        <f>+SUMIFS('Gider Miktar'!BO:BO,'Gider Miktar'!$B:$B,'Emanet Miktar Dağılım'!$D7,'Gider Miktar'!$F:$F,1001)+SUMIFS('Gider Miktar'!BO:BO,'Gider Miktar'!$B:$B,'Emanet Miktar Dağılım'!$D7,'Gider Miktar'!$F:$F,1002)+SUMIFS('Gider Miktar'!BO:BO,'Gider Miktar'!$B:$B,'Emanet Miktar Dağılım'!$D7,'Gider Miktar'!$F:$F,1003)+SUMIFS('Gider Miktar'!BO:BO,'Gider Miktar'!$B:$B,'Emanet Miktar Dağılım'!$D7,'Gider Miktar'!$F:$F,1004)</f>
        <v>0</v>
      </c>
      <c r="BG7" s="9">
        <f>+SUMIFS('Gider Miktar'!BP:BP,'Gider Miktar'!$B:$B,'Emanet Miktar Dağılım'!$D7,'Gider Miktar'!$F:$F,1001)+SUMIFS('Gider Miktar'!BP:BP,'Gider Miktar'!$B:$B,'Emanet Miktar Dağılım'!$D7,'Gider Miktar'!$F:$F,1002)+SUMIFS('Gider Miktar'!BP:BP,'Gider Miktar'!$B:$B,'Emanet Miktar Dağılım'!$D7,'Gider Miktar'!$F:$F,1003)+SUMIFS('Gider Miktar'!BP:BP,'Gider Miktar'!$B:$B,'Emanet Miktar Dağılım'!$D7,'Gider Miktar'!$F:$F,1004)</f>
        <v>0</v>
      </c>
      <c r="BH7" s="9">
        <f>+SUMIFS('Gider Miktar'!BQ:BQ,'Gider Miktar'!$B:$B,'Emanet Miktar Dağılım'!$D7,'Gider Miktar'!$F:$F,1001)+SUMIFS('Gider Miktar'!BQ:BQ,'Gider Miktar'!$B:$B,'Emanet Miktar Dağılım'!$D7,'Gider Miktar'!$F:$F,1002)+SUMIFS('Gider Miktar'!BQ:BQ,'Gider Miktar'!$B:$B,'Emanet Miktar Dağılım'!$D7,'Gider Miktar'!$F:$F,1003)+SUMIFS('Gider Miktar'!BQ:BQ,'Gider Miktar'!$B:$B,'Emanet Miktar Dağılım'!$D7,'Gider Miktar'!$F:$F,1004)</f>
        <v>0</v>
      </c>
      <c r="BI7" s="9">
        <f>+SUMIFS('Gider Miktar'!BR:BR,'Gider Miktar'!$B:$B,'Emanet Miktar Dağılım'!$D7,'Gider Miktar'!$F:$F,1001)+SUMIFS('Gider Miktar'!BR:BR,'Gider Miktar'!$B:$B,'Emanet Miktar Dağılım'!$D7,'Gider Miktar'!$F:$F,1002)+SUMIFS('Gider Miktar'!BR:BR,'Gider Miktar'!$B:$B,'Emanet Miktar Dağılım'!$D7,'Gider Miktar'!$F:$F,1003)+SUMIFS('Gider Miktar'!BR:BR,'Gider Miktar'!$B:$B,'Emanet Miktar Dağılım'!$D7,'Gider Miktar'!$F:$F,1004)</f>
        <v>0</v>
      </c>
      <c r="BJ7" s="9">
        <f>+SUMIFS('Gider Miktar'!BS:BS,'Gider Miktar'!$B:$B,'Emanet Miktar Dağılım'!$D7,'Gider Miktar'!$F:$F,1001)+SUMIFS('Gider Miktar'!BS:BS,'Gider Miktar'!$B:$B,'Emanet Miktar Dağılım'!$D7,'Gider Miktar'!$F:$F,1002)+SUMIFS('Gider Miktar'!BS:BS,'Gider Miktar'!$B:$B,'Emanet Miktar Dağılım'!$D7,'Gider Miktar'!$F:$F,1003)+SUMIFS('Gider Miktar'!BS:BS,'Gider Miktar'!$B:$B,'Emanet Miktar Dağılım'!$D7,'Gider Miktar'!$F:$F,1004)</f>
        <v>0</v>
      </c>
      <c r="BK7" s="9">
        <f>+SUMIFS('Gider Miktar'!BT:BT,'Gider Miktar'!$B:$B,'Emanet Miktar Dağılım'!$D7,'Gider Miktar'!$F:$F,1001)+SUMIFS('Gider Miktar'!BT:BT,'Gider Miktar'!$B:$B,'Emanet Miktar Dağılım'!$D7,'Gider Miktar'!$F:$F,1002)+SUMIFS('Gider Miktar'!BT:BT,'Gider Miktar'!$B:$B,'Emanet Miktar Dağılım'!$D7,'Gider Miktar'!$F:$F,1003)+SUMIFS('Gider Miktar'!BT:BT,'Gider Miktar'!$B:$B,'Emanet Miktar Dağılım'!$D7,'Gider Miktar'!$F:$F,1004)</f>
        <v>0</v>
      </c>
      <c r="BL7" s="9">
        <f>+SUMIFS('Gider Miktar'!BU:BU,'Gider Miktar'!$B:$B,'Emanet Miktar Dağılım'!$D7,'Gider Miktar'!$F:$F,1001)+SUMIFS('Gider Miktar'!BU:BU,'Gider Miktar'!$B:$B,'Emanet Miktar Dağılım'!$D7,'Gider Miktar'!$F:$F,1002)+SUMIFS('Gider Miktar'!BU:BU,'Gider Miktar'!$B:$B,'Emanet Miktar Dağılım'!$D7,'Gider Miktar'!$F:$F,1003)+SUMIFS('Gider Miktar'!BU:BU,'Gider Miktar'!$B:$B,'Emanet Miktar Dağılım'!$D7,'Gider Miktar'!$F:$F,1004)</f>
        <v>0</v>
      </c>
      <c r="BM7" s="9">
        <f>+SUMIFS('Gider Miktar'!BV:BV,'Gider Miktar'!$B:$B,'Emanet Miktar Dağılım'!$D7,'Gider Miktar'!$F:$F,1001)+SUMIFS('Gider Miktar'!BV:BV,'Gider Miktar'!$B:$B,'Emanet Miktar Dağılım'!$D7,'Gider Miktar'!$F:$F,1002)+SUMIFS('Gider Miktar'!BV:BV,'Gider Miktar'!$B:$B,'Emanet Miktar Dağılım'!$D7,'Gider Miktar'!$F:$F,1003)+SUMIFS('Gider Miktar'!BV:BV,'Gider Miktar'!$B:$B,'Emanet Miktar Dağılım'!$D7,'Gider Miktar'!$F:$F,1004)</f>
        <v>0</v>
      </c>
      <c r="BN7" s="9">
        <f>+SUMIFS('Gider Miktar'!BW:BW,'Gider Miktar'!$B:$B,'Emanet Miktar Dağılım'!$D7,'Gider Miktar'!$F:$F,1001)+SUMIFS('Gider Miktar'!BW:BW,'Gider Miktar'!$B:$B,'Emanet Miktar Dağılım'!$D7,'Gider Miktar'!$F:$F,1002)+SUMIFS('Gider Miktar'!BW:BW,'Gider Miktar'!$B:$B,'Emanet Miktar Dağılım'!$D7,'Gider Miktar'!$F:$F,1003)+SUMIFS('Gider Miktar'!BW:BW,'Gider Miktar'!$B:$B,'Emanet Miktar Dağılım'!$D7,'Gider Miktar'!$F:$F,1004)</f>
        <v>0</v>
      </c>
      <c r="BO7" s="9">
        <f>+SUMIFS('Gider Miktar'!BX:BX,'Gider Miktar'!$B:$B,'Emanet Miktar Dağılım'!$D7,'Gider Miktar'!$F:$F,1001)+SUMIFS('Gider Miktar'!BX:BX,'Gider Miktar'!$B:$B,'Emanet Miktar Dağılım'!$D7,'Gider Miktar'!$F:$F,1002)+SUMIFS('Gider Miktar'!BX:BX,'Gider Miktar'!$B:$B,'Emanet Miktar Dağılım'!$D7,'Gider Miktar'!$F:$F,1003)+SUMIFS('Gider Miktar'!BX:BX,'Gider Miktar'!$B:$B,'Emanet Miktar Dağılım'!$D7,'Gider Miktar'!$F:$F,1004)</f>
        <v>0</v>
      </c>
    </row>
    <row r="8" spans="2:67">
      <c r="D8" t="s">
        <v>10</v>
      </c>
      <c r="E8" s="9">
        <f>+SUMIFS('Gider Miktar'!N:N,'Gider Miktar'!$B:$B,'Emanet Miktar Dağılım'!$D8,'Gider Miktar'!$F:$F,1001)+SUMIFS('Gider Miktar'!N:N,'Gider Miktar'!$B:$B,'Emanet Miktar Dağılım'!$D8,'Gider Miktar'!$F:$F,1002)+SUMIFS('Gider Miktar'!N:N,'Gider Miktar'!$B:$B,'Emanet Miktar Dağılım'!$D8,'Gider Miktar'!$F:$F,1003)+SUMIFS('Gider Miktar'!N:N,'Gider Miktar'!$B:$B,'Emanet Miktar Dağılım'!$D8,'Gider Miktar'!$F:$F,1004)</f>
        <v>0</v>
      </c>
      <c r="F8" s="9">
        <f>+SUMIFS('Gider Miktar'!O:O,'Gider Miktar'!$B:$B,'Emanet Miktar Dağılım'!$D8,'Gider Miktar'!$F:$F,1001)+SUMIFS('Gider Miktar'!O:O,'Gider Miktar'!$B:$B,'Emanet Miktar Dağılım'!$D8,'Gider Miktar'!$F:$F,1002)+SUMIFS('Gider Miktar'!O:O,'Gider Miktar'!$B:$B,'Emanet Miktar Dağılım'!$D8,'Gider Miktar'!$F:$F,1003)+SUMIFS('Gider Miktar'!O:O,'Gider Miktar'!$B:$B,'Emanet Miktar Dağılım'!$D8,'Gider Miktar'!$F:$F,1004)</f>
        <v>0</v>
      </c>
      <c r="G8" s="9">
        <f>+SUMIFS('Gider Miktar'!P:P,'Gider Miktar'!$B:$B,'Emanet Miktar Dağılım'!$D8,'Gider Miktar'!$F:$F,1001)+SUMIFS('Gider Miktar'!P:P,'Gider Miktar'!$B:$B,'Emanet Miktar Dağılım'!$D8,'Gider Miktar'!$F:$F,1002)+SUMIFS('Gider Miktar'!P:P,'Gider Miktar'!$B:$B,'Emanet Miktar Dağılım'!$D8,'Gider Miktar'!$F:$F,1003)+SUMIFS('Gider Miktar'!P:P,'Gider Miktar'!$B:$B,'Emanet Miktar Dağılım'!$D8,'Gider Miktar'!$F:$F,1004)</f>
        <v>0</v>
      </c>
      <c r="H8" s="9">
        <f>+SUMIFS('Gider Miktar'!Q:Q,'Gider Miktar'!$B:$B,'Emanet Miktar Dağılım'!$D8,'Gider Miktar'!$F:$F,1001)+SUMIFS('Gider Miktar'!Q:Q,'Gider Miktar'!$B:$B,'Emanet Miktar Dağılım'!$D8,'Gider Miktar'!$F:$F,1002)+SUMIFS('Gider Miktar'!Q:Q,'Gider Miktar'!$B:$B,'Emanet Miktar Dağılım'!$D8,'Gider Miktar'!$F:$F,1003)+SUMIFS('Gider Miktar'!Q:Q,'Gider Miktar'!$B:$B,'Emanet Miktar Dağılım'!$D8,'Gider Miktar'!$F:$F,1004)</f>
        <v>0</v>
      </c>
      <c r="I8" s="9">
        <f>+SUMIFS('Gider Miktar'!R:R,'Gider Miktar'!$B:$B,'Emanet Miktar Dağılım'!$D8,'Gider Miktar'!$F:$F,1001)+SUMIFS('Gider Miktar'!R:R,'Gider Miktar'!$B:$B,'Emanet Miktar Dağılım'!$D8,'Gider Miktar'!$F:$F,1002)+SUMIFS('Gider Miktar'!R:R,'Gider Miktar'!$B:$B,'Emanet Miktar Dağılım'!$D8,'Gider Miktar'!$F:$F,1003)+SUMIFS('Gider Miktar'!R:R,'Gider Miktar'!$B:$B,'Emanet Miktar Dağılım'!$D8,'Gider Miktar'!$F:$F,1004)</f>
        <v>0</v>
      </c>
      <c r="J8" s="9">
        <f>+SUMIFS('Gider Miktar'!S:S,'Gider Miktar'!$B:$B,'Emanet Miktar Dağılım'!$D8,'Gider Miktar'!$F:$F,1001)+SUMIFS('Gider Miktar'!S:S,'Gider Miktar'!$B:$B,'Emanet Miktar Dağılım'!$D8,'Gider Miktar'!$F:$F,1002)+SUMIFS('Gider Miktar'!S:S,'Gider Miktar'!$B:$B,'Emanet Miktar Dağılım'!$D8,'Gider Miktar'!$F:$F,1003)+SUMIFS('Gider Miktar'!S:S,'Gider Miktar'!$B:$B,'Emanet Miktar Dağılım'!$D8,'Gider Miktar'!$F:$F,1004)</f>
        <v>0</v>
      </c>
      <c r="K8" s="9">
        <f>+SUMIFS('Gider Miktar'!T:T,'Gider Miktar'!$B:$B,'Emanet Miktar Dağılım'!$D8,'Gider Miktar'!$F:$F,1001)+SUMIFS('Gider Miktar'!T:T,'Gider Miktar'!$B:$B,'Emanet Miktar Dağılım'!$D8,'Gider Miktar'!$F:$F,1002)+SUMIFS('Gider Miktar'!T:T,'Gider Miktar'!$B:$B,'Emanet Miktar Dağılım'!$D8,'Gider Miktar'!$F:$F,1003)+SUMIFS('Gider Miktar'!T:T,'Gider Miktar'!$B:$B,'Emanet Miktar Dağılım'!$D8,'Gider Miktar'!$F:$F,1004)</f>
        <v>0</v>
      </c>
      <c r="L8" s="9">
        <f>+SUMIFS('Gider Miktar'!U:U,'Gider Miktar'!$B:$B,'Emanet Miktar Dağılım'!$D8,'Gider Miktar'!$F:$F,1001)+SUMIFS('Gider Miktar'!U:U,'Gider Miktar'!$B:$B,'Emanet Miktar Dağılım'!$D8,'Gider Miktar'!$F:$F,1002)+SUMIFS('Gider Miktar'!U:U,'Gider Miktar'!$B:$B,'Emanet Miktar Dağılım'!$D8,'Gider Miktar'!$F:$F,1003)+SUMIFS('Gider Miktar'!U:U,'Gider Miktar'!$B:$B,'Emanet Miktar Dağılım'!$D8,'Gider Miktar'!$F:$F,1004)</f>
        <v>0</v>
      </c>
      <c r="M8" s="9">
        <f>+SUMIFS('Gider Miktar'!V:V,'Gider Miktar'!$B:$B,'Emanet Miktar Dağılım'!$D8,'Gider Miktar'!$F:$F,1001)+SUMIFS('Gider Miktar'!V:V,'Gider Miktar'!$B:$B,'Emanet Miktar Dağılım'!$D8,'Gider Miktar'!$F:$F,1002)+SUMIFS('Gider Miktar'!V:V,'Gider Miktar'!$B:$B,'Emanet Miktar Dağılım'!$D8,'Gider Miktar'!$F:$F,1003)+SUMIFS('Gider Miktar'!V:V,'Gider Miktar'!$B:$B,'Emanet Miktar Dağılım'!$D8,'Gider Miktar'!$F:$F,1004)</f>
        <v>0</v>
      </c>
      <c r="N8" s="11">
        <f>+SUMIFS('Gider Miktar'!W:W,'Gider Miktar'!$B:$B,'Emanet Miktar Dağılım'!$D8,'Gider Miktar'!$F:$F,1001)+SUMIFS('Gider Miktar'!W:W,'Gider Miktar'!$B:$B,'Emanet Miktar Dağılım'!$D8,'Gider Miktar'!$F:$F,1002)+SUMIFS('Gider Miktar'!W:W,'Gider Miktar'!$B:$B,'Emanet Miktar Dağılım'!$D8,'Gider Miktar'!$F:$F,1003)+SUMIFS('Gider Miktar'!W:W,'Gider Miktar'!$B:$B,'Emanet Miktar Dağılım'!$D8,'Gider Miktar'!$F:$F,1004)</f>
        <v>0</v>
      </c>
      <c r="O8" s="9">
        <f>+SUMIFS('Gider Miktar'!X:X,'Gider Miktar'!$B:$B,'Emanet Miktar Dağılım'!$D8,'Gider Miktar'!$F:$F,1001)+SUMIFS('Gider Miktar'!X:X,'Gider Miktar'!$B:$B,'Emanet Miktar Dağılım'!$D8,'Gider Miktar'!$F:$F,1002)+SUMIFS('Gider Miktar'!X:X,'Gider Miktar'!$B:$B,'Emanet Miktar Dağılım'!$D8,'Gider Miktar'!$F:$F,1003)+SUMIFS('Gider Miktar'!X:X,'Gider Miktar'!$B:$B,'Emanet Miktar Dağılım'!$D8,'Gider Miktar'!$F:$F,1004)</f>
        <v>0</v>
      </c>
      <c r="P8" s="9">
        <f>+SUMIFS('Gider Miktar'!Y:Y,'Gider Miktar'!$B:$B,'Emanet Miktar Dağılım'!$D8,'Gider Miktar'!$F:$F,1001)+SUMIFS('Gider Miktar'!Y:Y,'Gider Miktar'!$B:$B,'Emanet Miktar Dağılım'!$D8,'Gider Miktar'!$F:$F,1002)+SUMIFS('Gider Miktar'!Y:Y,'Gider Miktar'!$B:$B,'Emanet Miktar Dağılım'!$D8,'Gider Miktar'!$F:$F,1003)+SUMIFS('Gider Miktar'!Y:Y,'Gider Miktar'!$B:$B,'Emanet Miktar Dağılım'!$D8,'Gider Miktar'!$F:$F,1004)</f>
        <v>46.200000000000038</v>
      </c>
      <c r="Q8" s="9">
        <f>+SUMIFS('Gider Miktar'!Z:Z,'Gider Miktar'!$B:$B,'Emanet Miktar Dağılım'!$D8,'Gider Miktar'!$F:$F,1001)+SUMIFS('Gider Miktar'!Z:Z,'Gider Miktar'!$B:$B,'Emanet Miktar Dağılım'!$D8,'Gider Miktar'!$F:$F,1002)+SUMIFS('Gider Miktar'!Z:Z,'Gider Miktar'!$B:$B,'Emanet Miktar Dağılım'!$D8,'Gider Miktar'!$F:$F,1003)+SUMIFS('Gider Miktar'!Z:Z,'Gider Miktar'!$B:$B,'Emanet Miktar Dağılım'!$D8,'Gider Miktar'!$F:$F,1004)</f>
        <v>198.8600000000001</v>
      </c>
      <c r="R8" s="9">
        <f>+SUMIFS('Gider Miktar'!AA:AA,'Gider Miktar'!$B:$B,'Emanet Miktar Dağılım'!$D8,'Gider Miktar'!$F:$F,1001)+SUMIFS('Gider Miktar'!AA:AA,'Gider Miktar'!$B:$B,'Emanet Miktar Dağılım'!$D8,'Gider Miktar'!$F:$F,1002)+SUMIFS('Gider Miktar'!AA:AA,'Gider Miktar'!$B:$B,'Emanet Miktar Dağılım'!$D8,'Gider Miktar'!$F:$F,1003)+SUMIFS('Gider Miktar'!AA:AA,'Gider Miktar'!$B:$B,'Emanet Miktar Dağılım'!$D8,'Gider Miktar'!$F:$F,1004)</f>
        <v>245.06000000000014</v>
      </c>
      <c r="S8" s="9">
        <f>+SUMIFS('Gider Miktar'!AB:AB,'Gider Miktar'!$B:$B,'Emanet Miktar Dağılım'!$D8,'Gider Miktar'!$F:$F,1001)+SUMIFS('Gider Miktar'!AB:AB,'Gider Miktar'!$B:$B,'Emanet Miktar Dağılım'!$D8,'Gider Miktar'!$F:$F,1002)+SUMIFS('Gider Miktar'!AB:AB,'Gider Miktar'!$B:$B,'Emanet Miktar Dağılım'!$D8,'Gider Miktar'!$F:$F,1003)+SUMIFS('Gider Miktar'!AB:AB,'Gider Miktar'!$B:$B,'Emanet Miktar Dağılım'!$D8,'Gider Miktar'!$F:$F,1004)</f>
        <v>198.8600000000001</v>
      </c>
      <c r="T8" s="9">
        <f>+SUMIFS('Gider Miktar'!AC:AC,'Gider Miktar'!$B:$B,'Emanet Miktar Dağılım'!$D8,'Gider Miktar'!$F:$F,1001)+SUMIFS('Gider Miktar'!AC:AC,'Gider Miktar'!$B:$B,'Emanet Miktar Dağılım'!$D8,'Gider Miktar'!$F:$F,1002)+SUMIFS('Gider Miktar'!AC:AC,'Gider Miktar'!$B:$B,'Emanet Miktar Dağılım'!$D8,'Gider Miktar'!$F:$F,1003)+SUMIFS('Gider Miktar'!AC:AC,'Gider Miktar'!$B:$B,'Emanet Miktar Dağılım'!$D8,'Gider Miktar'!$F:$F,1004)</f>
        <v>198.8600000000001</v>
      </c>
      <c r="U8" s="9">
        <f>+SUMIFS('Gider Miktar'!AD:AD,'Gider Miktar'!$B:$B,'Emanet Miktar Dağılım'!$D8,'Gider Miktar'!$F:$F,1001)+SUMIFS('Gider Miktar'!AD:AD,'Gider Miktar'!$B:$B,'Emanet Miktar Dağılım'!$D8,'Gider Miktar'!$F:$F,1002)+SUMIFS('Gider Miktar'!AD:AD,'Gider Miktar'!$B:$B,'Emanet Miktar Dağılım'!$D8,'Gider Miktar'!$F:$F,1003)+SUMIFS('Gider Miktar'!AD:AD,'Gider Miktar'!$B:$B,'Emanet Miktar Dağılım'!$D8,'Gider Miktar'!$F:$F,1004)</f>
        <v>528.71000000000015</v>
      </c>
      <c r="V8" s="9">
        <f>+SUMIFS('Gider Miktar'!AE:AE,'Gider Miktar'!$B:$B,'Emanet Miktar Dağılım'!$D8,'Gider Miktar'!$F:$F,1001)+SUMIFS('Gider Miktar'!AE:AE,'Gider Miktar'!$B:$B,'Emanet Miktar Dağılım'!$D8,'Gider Miktar'!$F:$F,1002)+SUMIFS('Gider Miktar'!AE:AE,'Gider Miktar'!$B:$B,'Emanet Miktar Dağılım'!$D8,'Gider Miktar'!$F:$F,1003)+SUMIFS('Gider Miktar'!AE:AE,'Gider Miktar'!$B:$B,'Emanet Miktar Dağılım'!$D8,'Gider Miktar'!$F:$F,1004)</f>
        <v>329.85000000000014</v>
      </c>
      <c r="W8" s="9">
        <f>+SUMIFS('Gider Miktar'!AF:AF,'Gider Miktar'!$B:$B,'Emanet Miktar Dağılım'!$D8,'Gider Miktar'!$F:$F,1001)+SUMIFS('Gider Miktar'!AF:AF,'Gider Miktar'!$B:$B,'Emanet Miktar Dağılım'!$D8,'Gider Miktar'!$F:$F,1002)+SUMIFS('Gider Miktar'!AF:AF,'Gider Miktar'!$B:$B,'Emanet Miktar Dağılım'!$D8,'Gider Miktar'!$F:$F,1003)+SUMIFS('Gider Miktar'!AF:AF,'Gider Miktar'!$B:$B,'Emanet Miktar Dağılım'!$D8,'Gider Miktar'!$F:$F,1004)</f>
        <v>329.85000000000014</v>
      </c>
      <c r="X8" s="9">
        <f>+SUMIFS('Gider Miktar'!AG:AG,'Gider Miktar'!$B:$B,'Emanet Miktar Dağılım'!$D8,'Gider Miktar'!$F:$F,1001)+SUMIFS('Gider Miktar'!AG:AG,'Gider Miktar'!$B:$B,'Emanet Miktar Dağılım'!$D8,'Gider Miktar'!$F:$F,1002)+SUMIFS('Gider Miktar'!AG:AG,'Gider Miktar'!$B:$B,'Emanet Miktar Dağılım'!$D8,'Gider Miktar'!$F:$F,1003)+SUMIFS('Gider Miktar'!AG:AG,'Gider Miktar'!$B:$B,'Emanet Miktar Dağılım'!$D8,'Gider Miktar'!$F:$F,1004)</f>
        <v>519.85000000000059</v>
      </c>
      <c r="Y8" s="9">
        <f>+SUMIFS('Gider Miktar'!AH:AH,'Gider Miktar'!$B:$B,'Emanet Miktar Dağılım'!$D8,'Gider Miktar'!$F:$F,1001)+SUMIFS('Gider Miktar'!AH:AH,'Gider Miktar'!$B:$B,'Emanet Miktar Dağılım'!$D8,'Gider Miktar'!$F:$F,1002)+SUMIFS('Gider Miktar'!AH:AH,'Gider Miktar'!$B:$B,'Emanet Miktar Dağılım'!$D8,'Gider Miktar'!$F:$F,1003)+SUMIFS('Gider Miktar'!AH:AH,'Gider Miktar'!$B:$B,'Emanet Miktar Dağılım'!$D8,'Gider Miktar'!$F:$F,1004)</f>
        <v>716.51666666666745</v>
      </c>
      <c r="Z8" s="9">
        <f>+SUMIFS('Gider Miktar'!AI:AI,'Gider Miktar'!$B:$B,'Emanet Miktar Dağılım'!$D8,'Gider Miktar'!$F:$F,1001)+SUMIFS('Gider Miktar'!AI:AI,'Gider Miktar'!$B:$B,'Emanet Miktar Dağılım'!$D8,'Gider Miktar'!$F:$F,1002)+SUMIFS('Gider Miktar'!AI:AI,'Gider Miktar'!$B:$B,'Emanet Miktar Dağılım'!$D8,'Gider Miktar'!$F:$F,1003)+SUMIFS('Gider Miktar'!AI:AI,'Gider Miktar'!$B:$B,'Emanet Miktar Dağılım'!$D8,'Gider Miktar'!$F:$F,1004)</f>
        <v>716.51666666666745</v>
      </c>
      <c r="AA8" s="9">
        <f>+SUMIFS('Gider Miktar'!AJ:AJ,'Gider Miktar'!$B:$B,'Emanet Miktar Dağılım'!$D8,'Gider Miktar'!$F:$F,1001)+SUMIFS('Gider Miktar'!AJ:AJ,'Gider Miktar'!$B:$B,'Emanet Miktar Dağılım'!$D8,'Gider Miktar'!$F:$F,1002)+SUMIFS('Gider Miktar'!AJ:AJ,'Gider Miktar'!$B:$B,'Emanet Miktar Dağılım'!$D8,'Gider Miktar'!$F:$F,1003)+SUMIFS('Gider Miktar'!AJ:AJ,'Gider Miktar'!$B:$B,'Emanet Miktar Dağılım'!$D8,'Gider Miktar'!$F:$F,1004)</f>
        <v>716.51666666666745</v>
      </c>
      <c r="AB8" s="9">
        <f>+SUMIFS('Gider Miktar'!AK:AK,'Gider Miktar'!$B:$B,'Emanet Miktar Dağılım'!$D8,'Gider Miktar'!$F:$F,1001)+SUMIFS('Gider Miktar'!AK:AK,'Gider Miktar'!$B:$B,'Emanet Miktar Dağılım'!$D8,'Gider Miktar'!$F:$F,1002)+SUMIFS('Gider Miktar'!AK:AK,'Gider Miktar'!$B:$B,'Emanet Miktar Dağılım'!$D8,'Gider Miktar'!$F:$F,1003)+SUMIFS('Gider Miktar'!AK:AK,'Gider Miktar'!$B:$B,'Emanet Miktar Dağılım'!$D8,'Gider Miktar'!$F:$F,1004)</f>
        <v>641.51666666666722</v>
      </c>
      <c r="AC8" s="9">
        <f>+SUMIFS('Gider Miktar'!AL:AL,'Gider Miktar'!$B:$B,'Emanet Miktar Dağılım'!$D8,'Gider Miktar'!$F:$F,1001)+SUMIFS('Gider Miktar'!AL:AL,'Gider Miktar'!$B:$B,'Emanet Miktar Dağılım'!$D8,'Gider Miktar'!$F:$F,1002)+SUMIFS('Gider Miktar'!AL:AL,'Gider Miktar'!$B:$B,'Emanet Miktar Dağılım'!$D8,'Gider Miktar'!$F:$F,1003)+SUMIFS('Gider Miktar'!AL:AL,'Gider Miktar'!$B:$B,'Emanet Miktar Dağılım'!$D8,'Gider Miktar'!$F:$F,1004)</f>
        <v>450.26666666666722</v>
      </c>
      <c r="AD8" s="9">
        <f>+SUMIFS('Gider Miktar'!AM:AM,'Gider Miktar'!$B:$B,'Emanet Miktar Dağılım'!$D8,'Gider Miktar'!$F:$F,1001)+SUMIFS('Gider Miktar'!AM:AM,'Gider Miktar'!$B:$B,'Emanet Miktar Dağılım'!$D8,'Gider Miktar'!$F:$F,1002)+SUMIFS('Gider Miktar'!AM:AM,'Gider Miktar'!$B:$B,'Emanet Miktar Dağılım'!$D8,'Gider Miktar'!$F:$F,1003)+SUMIFS('Gider Miktar'!AM:AM,'Gider Miktar'!$B:$B,'Emanet Miktar Dağılım'!$D8,'Gider Miktar'!$F:$F,1004)</f>
        <v>335.26666666666699</v>
      </c>
      <c r="AE8" s="9">
        <f>+SUMIFS('Gider Miktar'!AN:AN,'Gider Miktar'!$B:$B,'Emanet Miktar Dağılım'!$D8,'Gider Miktar'!$F:$F,1001)+SUMIFS('Gider Miktar'!AN:AN,'Gider Miktar'!$B:$B,'Emanet Miktar Dağılım'!$D8,'Gider Miktar'!$F:$F,1002)+SUMIFS('Gider Miktar'!AN:AN,'Gider Miktar'!$B:$B,'Emanet Miktar Dağılım'!$D8,'Gider Miktar'!$F:$F,1003)+SUMIFS('Gider Miktar'!AN:AN,'Gider Miktar'!$B:$B,'Emanet Miktar Dağılım'!$D8,'Gider Miktar'!$F:$F,1004)</f>
        <v>272.40000000000055</v>
      </c>
      <c r="AF8" s="9">
        <f>+SUMIFS('Gider Miktar'!AO:AO,'Gider Miktar'!$B:$B,'Emanet Miktar Dağılım'!$D8,'Gider Miktar'!$F:$F,1001)+SUMIFS('Gider Miktar'!AO:AO,'Gider Miktar'!$B:$B,'Emanet Miktar Dağılım'!$D8,'Gider Miktar'!$F:$F,1002)+SUMIFS('Gider Miktar'!AO:AO,'Gider Miktar'!$B:$B,'Emanet Miktar Dağılım'!$D8,'Gider Miktar'!$F:$F,1003)+SUMIFS('Gider Miktar'!AO:AO,'Gider Miktar'!$B:$B,'Emanet Miktar Dağılım'!$D8,'Gider Miktar'!$F:$F,1004)</f>
        <v>272.40000000000055</v>
      </c>
      <c r="AG8" s="9">
        <f>+SUMIFS('Gider Miktar'!AP:AP,'Gider Miktar'!$B:$B,'Emanet Miktar Dağılım'!$D8,'Gider Miktar'!$F:$F,1001)+SUMIFS('Gider Miktar'!AP:AP,'Gider Miktar'!$B:$B,'Emanet Miktar Dağılım'!$D8,'Gider Miktar'!$F:$F,1002)+SUMIFS('Gider Miktar'!AP:AP,'Gider Miktar'!$B:$B,'Emanet Miktar Dağılım'!$D8,'Gider Miktar'!$F:$F,1003)+SUMIFS('Gider Miktar'!AP:AP,'Gider Miktar'!$B:$B,'Emanet Miktar Dağılım'!$D8,'Gider Miktar'!$F:$F,1004)</f>
        <v>364.80000000000064</v>
      </c>
      <c r="AH8" s="9">
        <f>+SUMIFS('Gider Miktar'!AQ:AQ,'Gider Miktar'!$B:$B,'Emanet Miktar Dağılım'!$D8,'Gider Miktar'!$F:$F,1001)+SUMIFS('Gider Miktar'!AQ:AQ,'Gider Miktar'!$B:$B,'Emanet Miktar Dağılım'!$D8,'Gider Miktar'!$F:$F,1002)+SUMIFS('Gider Miktar'!AQ:AQ,'Gider Miktar'!$B:$B,'Emanet Miktar Dağılım'!$D8,'Gider Miktar'!$F:$F,1003)+SUMIFS('Gider Miktar'!AQ:AQ,'Gider Miktar'!$B:$B,'Emanet Miktar Dağılım'!$D8,'Gider Miktar'!$F:$F,1004)</f>
        <v>364.80000000000064</v>
      </c>
      <c r="AI8" s="9">
        <f>+SUMIFS('Gider Miktar'!AR:AR,'Gider Miktar'!$B:$B,'Emanet Miktar Dağılım'!$D8,'Gider Miktar'!$F:$F,1001)+SUMIFS('Gider Miktar'!AR:AR,'Gider Miktar'!$B:$B,'Emanet Miktar Dağılım'!$D8,'Gider Miktar'!$F:$F,1002)+SUMIFS('Gider Miktar'!AR:AR,'Gider Miktar'!$B:$B,'Emanet Miktar Dağılım'!$D8,'Gider Miktar'!$F:$F,1003)+SUMIFS('Gider Miktar'!AR:AR,'Gider Miktar'!$B:$B,'Emanet Miktar Dağılım'!$D8,'Gider Miktar'!$F:$F,1004)</f>
        <v>364.80000000000064</v>
      </c>
      <c r="AJ8" s="9">
        <f>+SUMIFS('Gider Miktar'!AS:AS,'Gider Miktar'!$B:$B,'Emanet Miktar Dağılım'!$D8,'Gider Miktar'!$F:$F,1001)+SUMIFS('Gider Miktar'!AS:AS,'Gider Miktar'!$B:$B,'Emanet Miktar Dağılım'!$D8,'Gider Miktar'!$F:$F,1002)+SUMIFS('Gider Miktar'!AS:AS,'Gider Miktar'!$B:$B,'Emanet Miktar Dağılım'!$D8,'Gider Miktar'!$F:$F,1003)+SUMIFS('Gider Miktar'!AS:AS,'Gider Miktar'!$B:$B,'Emanet Miktar Dağılım'!$D8,'Gider Miktar'!$F:$F,1004)</f>
        <v>364.80000000000064</v>
      </c>
      <c r="AK8" s="9">
        <f>+SUMIFS('Gider Miktar'!AT:AT,'Gider Miktar'!$B:$B,'Emanet Miktar Dağılım'!$D8,'Gider Miktar'!$F:$F,1001)+SUMIFS('Gider Miktar'!AT:AT,'Gider Miktar'!$B:$B,'Emanet Miktar Dağılım'!$D8,'Gider Miktar'!$F:$F,1002)+SUMIFS('Gider Miktar'!AT:AT,'Gider Miktar'!$B:$B,'Emanet Miktar Dağılım'!$D8,'Gider Miktar'!$F:$F,1003)+SUMIFS('Gider Miktar'!AT:AT,'Gider Miktar'!$B:$B,'Emanet Miktar Dağılım'!$D8,'Gider Miktar'!$F:$F,1004)</f>
        <v>364.80000000000064</v>
      </c>
      <c r="AL8" s="9">
        <f>+SUMIFS('Gider Miktar'!AU:AU,'Gider Miktar'!$B:$B,'Emanet Miktar Dağılım'!$D8,'Gider Miktar'!$F:$F,1001)+SUMIFS('Gider Miktar'!AU:AU,'Gider Miktar'!$B:$B,'Emanet Miktar Dağılım'!$D8,'Gider Miktar'!$F:$F,1002)+SUMIFS('Gider Miktar'!AU:AU,'Gider Miktar'!$B:$B,'Emanet Miktar Dağılım'!$D8,'Gider Miktar'!$F:$F,1003)+SUMIFS('Gider Miktar'!AU:AU,'Gider Miktar'!$B:$B,'Emanet Miktar Dağılım'!$D8,'Gider Miktar'!$F:$F,1004)</f>
        <v>364.80000000000064</v>
      </c>
      <c r="AM8" s="9">
        <f>+SUMIFS('Gider Miktar'!AV:AV,'Gider Miktar'!$B:$B,'Emanet Miktar Dağılım'!$D8,'Gider Miktar'!$F:$F,1001)+SUMIFS('Gider Miktar'!AV:AV,'Gider Miktar'!$B:$B,'Emanet Miktar Dağılım'!$D8,'Gider Miktar'!$F:$F,1002)+SUMIFS('Gider Miktar'!AV:AV,'Gider Miktar'!$B:$B,'Emanet Miktar Dağılım'!$D8,'Gider Miktar'!$F:$F,1003)+SUMIFS('Gider Miktar'!AV:AV,'Gider Miktar'!$B:$B,'Emanet Miktar Dağılım'!$D8,'Gider Miktar'!$F:$F,1004)</f>
        <v>364.80000000000064</v>
      </c>
      <c r="AN8" s="9">
        <f>+SUMIFS('Gider Miktar'!AW:AW,'Gider Miktar'!$B:$B,'Emanet Miktar Dağılım'!$D8,'Gider Miktar'!$F:$F,1001)+SUMIFS('Gider Miktar'!AW:AW,'Gider Miktar'!$B:$B,'Emanet Miktar Dağılım'!$D8,'Gider Miktar'!$F:$F,1002)+SUMIFS('Gider Miktar'!AW:AW,'Gider Miktar'!$B:$B,'Emanet Miktar Dağılım'!$D8,'Gider Miktar'!$F:$F,1003)+SUMIFS('Gider Miktar'!AW:AW,'Gider Miktar'!$B:$B,'Emanet Miktar Dağılım'!$D8,'Gider Miktar'!$F:$F,1004)</f>
        <v>184.80000000000015</v>
      </c>
      <c r="AO8" s="9">
        <f>+SUMIFS('Gider Miktar'!AX:AX,'Gider Miktar'!$B:$B,'Emanet Miktar Dağılım'!$D8,'Gider Miktar'!$F:$F,1001)+SUMIFS('Gider Miktar'!AX:AX,'Gider Miktar'!$B:$B,'Emanet Miktar Dağılım'!$D8,'Gider Miktar'!$F:$F,1002)+SUMIFS('Gider Miktar'!AX:AX,'Gider Miktar'!$B:$B,'Emanet Miktar Dağılım'!$D8,'Gider Miktar'!$F:$F,1003)+SUMIFS('Gider Miktar'!AX:AX,'Gider Miktar'!$B:$B,'Emanet Miktar Dağılım'!$D8,'Gider Miktar'!$F:$F,1004)</f>
        <v>184.80000000000015</v>
      </c>
      <c r="AP8" s="9">
        <f>+SUMIFS('Gider Miktar'!AY:AY,'Gider Miktar'!$B:$B,'Emanet Miktar Dağılım'!$D8,'Gider Miktar'!$F:$F,1001)+SUMIFS('Gider Miktar'!AY:AY,'Gider Miktar'!$B:$B,'Emanet Miktar Dağılım'!$D8,'Gider Miktar'!$F:$F,1002)+SUMIFS('Gider Miktar'!AY:AY,'Gider Miktar'!$B:$B,'Emanet Miktar Dağılım'!$D8,'Gider Miktar'!$F:$F,1003)+SUMIFS('Gider Miktar'!AY:AY,'Gider Miktar'!$B:$B,'Emanet Miktar Dağılım'!$D8,'Gider Miktar'!$F:$F,1004)</f>
        <v>184.80000000000015</v>
      </c>
      <c r="AQ8" s="9">
        <f>+SUMIFS('Gider Miktar'!AZ:AZ,'Gider Miktar'!$B:$B,'Emanet Miktar Dağılım'!$D8,'Gider Miktar'!$F:$F,1001)+SUMIFS('Gider Miktar'!AZ:AZ,'Gider Miktar'!$B:$B,'Emanet Miktar Dağılım'!$D8,'Gider Miktar'!$F:$F,1002)+SUMIFS('Gider Miktar'!AZ:AZ,'Gider Miktar'!$B:$B,'Emanet Miktar Dağılım'!$D8,'Gider Miktar'!$F:$F,1003)+SUMIFS('Gider Miktar'!AZ:AZ,'Gider Miktar'!$B:$B,'Emanet Miktar Dağılım'!$D8,'Gider Miktar'!$F:$F,1004)</f>
        <v>184.80000000000015</v>
      </c>
      <c r="AR8" s="9">
        <f>+SUMIFS('Gider Miktar'!BA:BA,'Gider Miktar'!$B:$B,'Emanet Miktar Dağılım'!$D8,'Gider Miktar'!$F:$F,1001)+SUMIFS('Gider Miktar'!BA:BA,'Gider Miktar'!$B:$B,'Emanet Miktar Dağılım'!$D8,'Gider Miktar'!$F:$F,1002)+SUMIFS('Gider Miktar'!BA:BA,'Gider Miktar'!$B:$B,'Emanet Miktar Dağılım'!$D8,'Gider Miktar'!$F:$F,1003)+SUMIFS('Gider Miktar'!BA:BA,'Gider Miktar'!$B:$B,'Emanet Miktar Dağılım'!$D8,'Gider Miktar'!$F:$F,1004)</f>
        <v>0</v>
      </c>
      <c r="AS8" s="9">
        <f>+SUMIFS('Gider Miktar'!BB:BB,'Gider Miktar'!$B:$B,'Emanet Miktar Dağılım'!$D8,'Gider Miktar'!$F:$F,1001)+SUMIFS('Gider Miktar'!BB:BB,'Gider Miktar'!$B:$B,'Emanet Miktar Dağılım'!$D8,'Gider Miktar'!$F:$F,1002)+SUMIFS('Gider Miktar'!BB:BB,'Gider Miktar'!$B:$B,'Emanet Miktar Dağılım'!$D8,'Gider Miktar'!$F:$F,1003)+SUMIFS('Gider Miktar'!BB:BB,'Gider Miktar'!$B:$B,'Emanet Miktar Dağılım'!$D8,'Gider Miktar'!$F:$F,1004)</f>
        <v>0</v>
      </c>
      <c r="AT8" s="9">
        <f>+SUMIFS('Gider Miktar'!BC:BC,'Gider Miktar'!$B:$B,'Emanet Miktar Dağılım'!$D8,'Gider Miktar'!$F:$F,1001)+SUMIFS('Gider Miktar'!BC:BC,'Gider Miktar'!$B:$B,'Emanet Miktar Dağılım'!$D8,'Gider Miktar'!$F:$F,1002)+SUMIFS('Gider Miktar'!BC:BC,'Gider Miktar'!$B:$B,'Emanet Miktar Dağılım'!$D8,'Gider Miktar'!$F:$F,1003)+SUMIFS('Gider Miktar'!BC:BC,'Gider Miktar'!$B:$B,'Emanet Miktar Dağılım'!$D8,'Gider Miktar'!$F:$F,1004)</f>
        <v>0</v>
      </c>
      <c r="AU8" s="9">
        <f>+SUMIFS('Gider Miktar'!BD:BD,'Gider Miktar'!$B:$B,'Emanet Miktar Dağılım'!$D8,'Gider Miktar'!$F:$F,1001)+SUMIFS('Gider Miktar'!BD:BD,'Gider Miktar'!$B:$B,'Emanet Miktar Dağılım'!$D8,'Gider Miktar'!$F:$F,1002)+SUMIFS('Gider Miktar'!BD:BD,'Gider Miktar'!$B:$B,'Emanet Miktar Dağılım'!$D8,'Gider Miktar'!$F:$F,1003)+SUMIFS('Gider Miktar'!BD:BD,'Gider Miktar'!$B:$B,'Emanet Miktar Dağılım'!$D8,'Gider Miktar'!$F:$F,1004)</f>
        <v>0</v>
      </c>
      <c r="AV8" s="9">
        <f>+SUMIFS('Gider Miktar'!BE:BE,'Gider Miktar'!$B:$B,'Emanet Miktar Dağılım'!$D8,'Gider Miktar'!$F:$F,1001)+SUMIFS('Gider Miktar'!BE:BE,'Gider Miktar'!$B:$B,'Emanet Miktar Dağılım'!$D8,'Gider Miktar'!$F:$F,1002)+SUMIFS('Gider Miktar'!BE:BE,'Gider Miktar'!$B:$B,'Emanet Miktar Dağılım'!$D8,'Gider Miktar'!$F:$F,1003)+SUMIFS('Gider Miktar'!BE:BE,'Gider Miktar'!$B:$B,'Emanet Miktar Dağılım'!$D8,'Gider Miktar'!$F:$F,1004)</f>
        <v>0</v>
      </c>
      <c r="AW8" s="9">
        <f>+SUMIFS('Gider Miktar'!BF:BF,'Gider Miktar'!$B:$B,'Emanet Miktar Dağılım'!$D8,'Gider Miktar'!$F:$F,1001)+SUMIFS('Gider Miktar'!BF:BF,'Gider Miktar'!$B:$B,'Emanet Miktar Dağılım'!$D8,'Gider Miktar'!$F:$F,1002)+SUMIFS('Gider Miktar'!BF:BF,'Gider Miktar'!$B:$B,'Emanet Miktar Dağılım'!$D8,'Gider Miktar'!$F:$F,1003)+SUMIFS('Gider Miktar'!BF:BF,'Gider Miktar'!$B:$B,'Emanet Miktar Dağılım'!$D8,'Gider Miktar'!$F:$F,1004)</f>
        <v>0</v>
      </c>
      <c r="AX8" s="9">
        <f>+SUMIFS('Gider Miktar'!BG:BG,'Gider Miktar'!$B:$B,'Emanet Miktar Dağılım'!$D8,'Gider Miktar'!$F:$F,1001)+SUMIFS('Gider Miktar'!BG:BG,'Gider Miktar'!$B:$B,'Emanet Miktar Dağılım'!$D8,'Gider Miktar'!$F:$F,1002)+SUMIFS('Gider Miktar'!BG:BG,'Gider Miktar'!$B:$B,'Emanet Miktar Dağılım'!$D8,'Gider Miktar'!$F:$F,1003)+SUMIFS('Gider Miktar'!BG:BG,'Gider Miktar'!$B:$B,'Emanet Miktar Dağılım'!$D8,'Gider Miktar'!$F:$F,1004)</f>
        <v>0</v>
      </c>
      <c r="AY8" s="9">
        <f>+SUMIFS('Gider Miktar'!BH:BH,'Gider Miktar'!$B:$B,'Emanet Miktar Dağılım'!$D8,'Gider Miktar'!$F:$F,1001)+SUMIFS('Gider Miktar'!BH:BH,'Gider Miktar'!$B:$B,'Emanet Miktar Dağılım'!$D8,'Gider Miktar'!$F:$F,1002)+SUMIFS('Gider Miktar'!BH:BH,'Gider Miktar'!$B:$B,'Emanet Miktar Dağılım'!$D8,'Gider Miktar'!$F:$F,1003)+SUMIFS('Gider Miktar'!BH:BH,'Gider Miktar'!$B:$B,'Emanet Miktar Dağılım'!$D8,'Gider Miktar'!$F:$F,1004)</f>
        <v>0</v>
      </c>
      <c r="AZ8" s="9">
        <f>+SUMIFS('Gider Miktar'!BI:BI,'Gider Miktar'!$B:$B,'Emanet Miktar Dağılım'!$D8,'Gider Miktar'!$F:$F,1001)+SUMIFS('Gider Miktar'!BI:BI,'Gider Miktar'!$B:$B,'Emanet Miktar Dağılım'!$D8,'Gider Miktar'!$F:$F,1002)+SUMIFS('Gider Miktar'!BI:BI,'Gider Miktar'!$B:$B,'Emanet Miktar Dağılım'!$D8,'Gider Miktar'!$F:$F,1003)+SUMIFS('Gider Miktar'!BI:BI,'Gider Miktar'!$B:$B,'Emanet Miktar Dağılım'!$D8,'Gider Miktar'!$F:$F,1004)</f>
        <v>0</v>
      </c>
      <c r="BA8" s="9">
        <f>+SUMIFS('Gider Miktar'!BJ:BJ,'Gider Miktar'!$B:$B,'Emanet Miktar Dağılım'!$D8,'Gider Miktar'!$F:$F,1001)+SUMIFS('Gider Miktar'!BJ:BJ,'Gider Miktar'!$B:$B,'Emanet Miktar Dağılım'!$D8,'Gider Miktar'!$F:$F,1002)+SUMIFS('Gider Miktar'!BJ:BJ,'Gider Miktar'!$B:$B,'Emanet Miktar Dağılım'!$D8,'Gider Miktar'!$F:$F,1003)+SUMIFS('Gider Miktar'!BJ:BJ,'Gider Miktar'!$B:$B,'Emanet Miktar Dağılım'!$D8,'Gider Miktar'!$F:$F,1004)</f>
        <v>0</v>
      </c>
      <c r="BB8" s="9">
        <f>+SUMIFS('Gider Miktar'!BK:BK,'Gider Miktar'!$B:$B,'Emanet Miktar Dağılım'!$D8,'Gider Miktar'!$F:$F,1001)+SUMIFS('Gider Miktar'!BK:BK,'Gider Miktar'!$B:$B,'Emanet Miktar Dağılım'!$D8,'Gider Miktar'!$F:$F,1002)+SUMIFS('Gider Miktar'!BK:BK,'Gider Miktar'!$B:$B,'Emanet Miktar Dağılım'!$D8,'Gider Miktar'!$F:$F,1003)+SUMIFS('Gider Miktar'!BK:BK,'Gider Miktar'!$B:$B,'Emanet Miktar Dağılım'!$D8,'Gider Miktar'!$F:$F,1004)</f>
        <v>0</v>
      </c>
      <c r="BC8" s="9">
        <f>+SUMIFS('Gider Miktar'!BL:BL,'Gider Miktar'!$B:$B,'Emanet Miktar Dağılım'!$D8,'Gider Miktar'!$F:$F,1001)+SUMIFS('Gider Miktar'!BL:BL,'Gider Miktar'!$B:$B,'Emanet Miktar Dağılım'!$D8,'Gider Miktar'!$F:$F,1002)+SUMIFS('Gider Miktar'!BL:BL,'Gider Miktar'!$B:$B,'Emanet Miktar Dağılım'!$D8,'Gider Miktar'!$F:$F,1003)+SUMIFS('Gider Miktar'!BL:BL,'Gider Miktar'!$B:$B,'Emanet Miktar Dağılım'!$D8,'Gider Miktar'!$F:$F,1004)</f>
        <v>0</v>
      </c>
      <c r="BD8" s="9">
        <f>+SUMIFS('Gider Miktar'!BM:BM,'Gider Miktar'!$B:$B,'Emanet Miktar Dağılım'!$D8,'Gider Miktar'!$F:$F,1001)+SUMIFS('Gider Miktar'!BM:BM,'Gider Miktar'!$B:$B,'Emanet Miktar Dağılım'!$D8,'Gider Miktar'!$F:$F,1002)+SUMIFS('Gider Miktar'!BM:BM,'Gider Miktar'!$B:$B,'Emanet Miktar Dağılım'!$D8,'Gider Miktar'!$F:$F,1003)+SUMIFS('Gider Miktar'!BM:BM,'Gider Miktar'!$B:$B,'Emanet Miktar Dağılım'!$D8,'Gider Miktar'!$F:$F,1004)</f>
        <v>0</v>
      </c>
      <c r="BE8" s="9">
        <f>+SUMIFS('Gider Miktar'!BN:BN,'Gider Miktar'!$B:$B,'Emanet Miktar Dağılım'!$D8,'Gider Miktar'!$F:$F,1001)+SUMIFS('Gider Miktar'!BN:BN,'Gider Miktar'!$B:$B,'Emanet Miktar Dağılım'!$D8,'Gider Miktar'!$F:$F,1002)+SUMIFS('Gider Miktar'!BN:BN,'Gider Miktar'!$B:$B,'Emanet Miktar Dağılım'!$D8,'Gider Miktar'!$F:$F,1003)+SUMIFS('Gider Miktar'!BN:BN,'Gider Miktar'!$B:$B,'Emanet Miktar Dağılım'!$D8,'Gider Miktar'!$F:$F,1004)</f>
        <v>0</v>
      </c>
      <c r="BF8" s="9">
        <f>+SUMIFS('Gider Miktar'!BO:BO,'Gider Miktar'!$B:$B,'Emanet Miktar Dağılım'!$D8,'Gider Miktar'!$F:$F,1001)+SUMIFS('Gider Miktar'!BO:BO,'Gider Miktar'!$B:$B,'Emanet Miktar Dağılım'!$D8,'Gider Miktar'!$F:$F,1002)+SUMIFS('Gider Miktar'!BO:BO,'Gider Miktar'!$B:$B,'Emanet Miktar Dağılım'!$D8,'Gider Miktar'!$F:$F,1003)+SUMIFS('Gider Miktar'!BO:BO,'Gider Miktar'!$B:$B,'Emanet Miktar Dağılım'!$D8,'Gider Miktar'!$F:$F,1004)</f>
        <v>0</v>
      </c>
      <c r="BG8" s="9">
        <f>+SUMIFS('Gider Miktar'!BP:BP,'Gider Miktar'!$B:$B,'Emanet Miktar Dağılım'!$D8,'Gider Miktar'!$F:$F,1001)+SUMIFS('Gider Miktar'!BP:BP,'Gider Miktar'!$B:$B,'Emanet Miktar Dağılım'!$D8,'Gider Miktar'!$F:$F,1002)+SUMIFS('Gider Miktar'!BP:BP,'Gider Miktar'!$B:$B,'Emanet Miktar Dağılım'!$D8,'Gider Miktar'!$F:$F,1003)+SUMIFS('Gider Miktar'!BP:BP,'Gider Miktar'!$B:$B,'Emanet Miktar Dağılım'!$D8,'Gider Miktar'!$F:$F,1004)</f>
        <v>0</v>
      </c>
      <c r="BH8" s="9">
        <f>+SUMIFS('Gider Miktar'!BQ:BQ,'Gider Miktar'!$B:$B,'Emanet Miktar Dağılım'!$D8,'Gider Miktar'!$F:$F,1001)+SUMIFS('Gider Miktar'!BQ:BQ,'Gider Miktar'!$B:$B,'Emanet Miktar Dağılım'!$D8,'Gider Miktar'!$F:$F,1002)+SUMIFS('Gider Miktar'!BQ:BQ,'Gider Miktar'!$B:$B,'Emanet Miktar Dağılım'!$D8,'Gider Miktar'!$F:$F,1003)+SUMIFS('Gider Miktar'!BQ:BQ,'Gider Miktar'!$B:$B,'Emanet Miktar Dağılım'!$D8,'Gider Miktar'!$F:$F,1004)</f>
        <v>0</v>
      </c>
      <c r="BI8" s="9">
        <f>+SUMIFS('Gider Miktar'!BR:BR,'Gider Miktar'!$B:$B,'Emanet Miktar Dağılım'!$D8,'Gider Miktar'!$F:$F,1001)+SUMIFS('Gider Miktar'!BR:BR,'Gider Miktar'!$B:$B,'Emanet Miktar Dağılım'!$D8,'Gider Miktar'!$F:$F,1002)+SUMIFS('Gider Miktar'!BR:BR,'Gider Miktar'!$B:$B,'Emanet Miktar Dağılım'!$D8,'Gider Miktar'!$F:$F,1003)+SUMIFS('Gider Miktar'!BR:BR,'Gider Miktar'!$B:$B,'Emanet Miktar Dağılım'!$D8,'Gider Miktar'!$F:$F,1004)</f>
        <v>0</v>
      </c>
      <c r="BJ8" s="9">
        <f>+SUMIFS('Gider Miktar'!BS:BS,'Gider Miktar'!$B:$B,'Emanet Miktar Dağılım'!$D8,'Gider Miktar'!$F:$F,1001)+SUMIFS('Gider Miktar'!BS:BS,'Gider Miktar'!$B:$B,'Emanet Miktar Dağılım'!$D8,'Gider Miktar'!$F:$F,1002)+SUMIFS('Gider Miktar'!BS:BS,'Gider Miktar'!$B:$B,'Emanet Miktar Dağılım'!$D8,'Gider Miktar'!$F:$F,1003)+SUMIFS('Gider Miktar'!BS:BS,'Gider Miktar'!$B:$B,'Emanet Miktar Dağılım'!$D8,'Gider Miktar'!$F:$F,1004)</f>
        <v>0</v>
      </c>
      <c r="BK8" s="9">
        <f>+SUMIFS('Gider Miktar'!BT:BT,'Gider Miktar'!$B:$B,'Emanet Miktar Dağılım'!$D8,'Gider Miktar'!$F:$F,1001)+SUMIFS('Gider Miktar'!BT:BT,'Gider Miktar'!$B:$B,'Emanet Miktar Dağılım'!$D8,'Gider Miktar'!$F:$F,1002)+SUMIFS('Gider Miktar'!BT:BT,'Gider Miktar'!$B:$B,'Emanet Miktar Dağılım'!$D8,'Gider Miktar'!$F:$F,1003)+SUMIFS('Gider Miktar'!BT:BT,'Gider Miktar'!$B:$B,'Emanet Miktar Dağılım'!$D8,'Gider Miktar'!$F:$F,1004)</f>
        <v>0</v>
      </c>
      <c r="BL8" s="9">
        <f>+SUMIFS('Gider Miktar'!BU:BU,'Gider Miktar'!$B:$B,'Emanet Miktar Dağılım'!$D8,'Gider Miktar'!$F:$F,1001)+SUMIFS('Gider Miktar'!BU:BU,'Gider Miktar'!$B:$B,'Emanet Miktar Dağılım'!$D8,'Gider Miktar'!$F:$F,1002)+SUMIFS('Gider Miktar'!BU:BU,'Gider Miktar'!$B:$B,'Emanet Miktar Dağılım'!$D8,'Gider Miktar'!$F:$F,1003)+SUMIFS('Gider Miktar'!BU:BU,'Gider Miktar'!$B:$B,'Emanet Miktar Dağılım'!$D8,'Gider Miktar'!$F:$F,1004)</f>
        <v>0</v>
      </c>
      <c r="BM8" s="9">
        <f>+SUMIFS('Gider Miktar'!BV:BV,'Gider Miktar'!$B:$B,'Emanet Miktar Dağılım'!$D8,'Gider Miktar'!$F:$F,1001)+SUMIFS('Gider Miktar'!BV:BV,'Gider Miktar'!$B:$B,'Emanet Miktar Dağılım'!$D8,'Gider Miktar'!$F:$F,1002)+SUMIFS('Gider Miktar'!BV:BV,'Gider Miktar'!$B:$B,'Emanet Miktar Dağılım'!$D8,'Gider Miktar'!$F:$F,1003)+SUMIFS('Gider Miktar'!BV:BV,'Gider Miktar'!$B:$B,'Emanet Miktar Dağılım'!$D8,'Gider Miktar'!$F:$F,1004)</f>
        <v>0</v>
      </c>
      <c r="BN8" s="9">
        <f>+SUMIFS('Gider Miktar'!BW:BW,'Gider Miktar'!$B:$B,'Emanet Miktar Dağılım'!$D8,'Gider Miktar'!$F:$F,1001)+SUMIFS('Gider Miktar'!BW:BW,'Gider Miktar'!$B:$B,'Emanet Miktar Dağılım'!$D8,'Gider Miktar'!$F:$F,1002)+SUMIFS('Gider Miktar'!BW:BW,'Gider Miktar'!$B:$B,'Emanet Miktar Dağılım'!$D8,'Gider Miktar'!$F:$F,1003)+SUMIFS('Gider Miktar'!BW:BW,'Gider Miktar'!$B:$B,'Emanet Miktar Dağılım'!$D8,'Gider Miktar'!$F:$F,1004)</f>
        <v>0</v>
      </c>
      <c r="BO8" s="9">
        <f>+SUMIFS('Gider Miktar'!BX:BX,'Gider Miktar'!$B:$B,'Emanet Miktar Dağılım'!$D8,'Gider Miktar'!$F:$F,1001)+SUMIFS('Gider Miktar'!BX:BX,'Gider Miktar'!$B:$B,'Emanet Miktar Dağılım'!$D8,'Gider Miktar'!$F:$F,1002)+SUMIFS('Gider Miktar'!BX:BX,'Gider Miktar'!$B:$B,'Emanet Miktar Dağılım'!$D8,'Gider Miktar'!$F:$F,1003)+SUMIFS('Gider Miktar'!BX:BX,'Gider Miktar'!$B:$B,'Emanet Miktar Dağılım'!$D8,'Gider Miktar'!$F:$F,1004)</f>
        <v>0</v>
      </c>
    </row>
    <row r="9" spans="2:67">
      <c r="D9" t="s">
        <v>11</v>
      </c>
      <c r="E9" s="9">
        <f>+SUMIFS('Gider Miktar'!N:N,'Gider Miktar'!$B:$B,'Emanet Miktar Dağılım'!$D9,'Gider Miktar'!$F:$F,1001)+SUMIFS('Gider Miktar'!N:N,'Gider Miktar'!$B:$B,'Emanet Miktar Dağılım'!$D9,'Gider Miktar'!$F:$F,1002)+SUMIFS('Gider Miktar'!N:N,'Gider Miktar'!$B:$B,'Emanet Miktar Dağılım'!$D9,'Gider Miktar'!$F:$F,1003)+SUMIFS('Gider Miktar'!N:N,'Gider Miktar'!$B:$B,'Emanet Miktar Dağılım'!$D9,'Gider Miktar'!$F:$F,1004)</f>
        <v>0</v>
      </c>
      <c r="F9" s="9">
        <f>+SUMIFS('Gider Miktar'!O:O,'Gider Miktar'!$B:$B,'Emanet Miktar Dağılım'!$D9,'Gider Miktar'!$F:$F,1001)+SUMIFS('Gider Miktar'!O:O,'Gider Miktar'!$B:$B,'Emanet Miktar Dağılım'!$D9,'Gider Miktar'!$F:$F,1002)+SUMIFS('Gider Miktar'!O:O,'Gider Miktar'!$B:$B,'Emanet Miktar Dağılım'!$D9,'Gider Miktar'!$F:$F,1003)+SUMIFS('Gider Miktar'!O:O,'Gider Miktar'!$B:$B,'Emanet Miktar Dağılım'!$D9,'Gider Miktar'!$F:$F,1004)</f>
        <v>0</v>
      </c>
      <c r="G9" s="9">
        <f>+SUMIFS('Gider Miktar'!P:P,'Gider Miktar'!$B:$B,'Emanet Miktar Dağılım'!$D9,'Gider Miktar'!$F:$F,1001)+SUMIFS('Gider Miktar'!P:P,'Gider Miktar'!$B:$B,'Emanet Miktar Dağılım'!$D9,'Gider Miktar'!$F:$F,1002)+SUMIFS('Gider Miktar'!P:P,'Gider Miktar'!$B:$B,'Emanet Miktar Dağılım'!$D9,'Gider Miktar'!$F:$F,1003)+SUMIFS('Gider Miktar'!P:P,'Gider Miktar'!$B:$B,'Emanet Miktar Dağılım'!$D9,'Gider Miktar'!$F:$F,1004)</f>
        <v>0</v>
      </c>
      <c r="H9" s="9">
        <f>+SUMIFS('Gider Miktar'!Q:Q,'Gider Miktar'!$B:$B,'Emanet Miktar Dağılım'!$D9,'Gider Miktar'!$F:$F,1001)+SUMIFS('Gider Miktar'!Q:Q,'Gider Miktar'!$B:$B,'Emanet Miktar Dağılım'!$D9,'Gider Miktar'!$F:$F,1002)+SUMIFS('Gider Miktar'!Q:Q,'Gider Miktar'!$B:$B,'Emanet Miktar Dağılım'!$D9,'Gider Miktar'!$F:$F,1003)+SUMIFS('Gider Miktar'!Q:Q,'Gider Miktar'!$B:$B,'Emanet Miktar Dağılım'!$D9,'Gider Miktar'!$F:$F,1004)</f>
        <v>0</v>
      </c>
      <c r="I9" s="9">
        <f>+SUMIFS('Gider Miktar'!R:R,'Gider Miktar'!$B:$B,'Emanet Miktar Dağılım'!$D9,'Gider Miktar'!$F:$F,1001)+SUMIFS('Gider Miktar'!R:R,'Gider Miktar'!$B:$B,'Emanet Miktar Dağılım'!$D9,'Gider Miktar'!$F:$F,1002)+SUMIFS('Gider Miktar'!R:R,'Gider Miktar'!$B:$B,'Emanet Miktar Dağılım'!$D9,'Gider Miktar'!$F:$F,1003)+SUMIFS('Gider Miktar'!R:R,'Gider Miktar'!$B:$B,'Emanet Miktar Dağılım'!$D9,'Gider Miktar'!$F:$F,1004)</f>
        <v>0</v>
      </c>
      <c r="J9" s="9">
        <f>+SUMIFS('Gider Miktar'!S:S,'Gider Miktar'!$B:$B,'Emanet Miktar Dağılım'!$D9,'Gider Miktar'!$F:$F,1001)+SUMIFS('Gider Miktar'!S:S,'Gider Miktar'!$B:$B,'Emanet Miktar Dağılım'!$D9,'Gider Miktar'!$F:$F,1002)+SUMIFS('Gider Miktar'!S:S,'Gider Miktar'!$B:$B,'Emanet Miktar Dağılım'!$D9,'Gider Miktar'!$F:$F,1003)+SUMIFS('Gider Miktar'!S:S,'Gider Miktar'!$B:$B,'Emanet Miktar Dağılım'!$D9,'Gider Miktar'!$F:$F,1004)</f>
        <v>0</v>
      </c>
      <c r="K9" s="9">
        <f>+SUMIFS('Gider Miktar'!T:T,'Gider Miktar'!$B:$B,'Emanet Miktar Dağılım'!$D9,'Gider Miktar'!$F:$F,1001)+SUMIFS('Gider Miktar'!T:T,'Gider Miktar'!$B:$B,'Emanet Miktar Dağılım'!$D9,'Gider Miktar'!$F:$F,1002)+SUMIFS('Gider Miktar'!T:T,'Gider Miktar'!$B:$B,'Emanet Miktar Dağılım'!$D9,'Gider Miktar'!$F:$F,1003)+SUMIFS('Gider Miktar'!T:T,'Gider Miktar'!$B:$B,'Emanet Miktar Dağılım'!$D9,'Gider Miktar'!$F:$F,1004)</f>
        <v>0</v>
      </c>
      <c r="L9" s="9">
        <f>+SUMIFS('Gider Miktar'!U:U,'Gider Miktar'!$B:$B,'Emanet Miktar Dağılım'!$D9,'Gider Miktar'!$F:$F,1001)+SUMIFS('Gider Miktar'!U:U,'Gider Miktar'!$B:$B,'Emanet Miktar Dağılım'!$D9,'Gider Miktar'!$F:$F,1002)+SUMIFS('Gider Miktar'!U:U,'Gider Miktar'!$B:$B,'Emanet Miktar Dağılım'!$D9,'Gider Miktar'!$F:$F,1003)+SUMIFS('Gider Miktar'!U:U,'Gider Miktar'!$B:$B,'Emanet Miktar Dağılım'!$D9,'Gider Miktar'!$F:$F,1004)</f>
        <v>0</v>
      </c>
      <c r="M9" s="9">
        <f>+SUMIFS('Gider Miktar'!V:V,'Gider Miktar'!$B:$B,'Emanet Miktar Dağılım'!$D9,'Gider Miktar'!$F:$F,1001)+SUMIFS('Gider Miktar'!V:V,'Gider Miktar'!$B:$B,'Emanet Miktar Dağılım'!$D9,'Gider Miktar'!$F:$F,1002)+SUMIFS('Gider Miktar'!V:V,'Gider Miktar'!$B:$B,'Emanet Miktar Dağılım'!$D9,'Gider Miktar'!$F:$F,1003)+SUMIFS('Gider Miktar'!V:V,'Gider Miktar'!$B:$B,'Emanet Miktar Dağılım'!$D9,'Gider Miktar'!$F:$F,1004)</f>
        <v>0</v>
      </c>
      <c r="N9" s="11">
        <f>+SUMIFS('Gider Miktar'!W:W,'Gider Miktar'!$B:$B,'Emanet Miktar Dağılım'!$D9,'Gider Miktar'!$F:$F,1001)+SUMIFS('Gider Miktar'!W:W,'Gider Miktar'!$B:$B,'Emanet Miktar Dağılım'!$D9,'Gider Miktar'!$F:$F,1002)+SUMIFS('Gider Miktar'!W:W,'Gider Miktar'!$B:$B,'Emanet Miktar Dağılım'!$D9,'Gider Miktar'!$F:$F,1003)+SUMIFS('Gider Miktar'!W:W,'Gider Miktar'!$B:$B,'Emanet Miktar Dağılım'!$D9,'Gider Miktar'!$F:$F,1004)</f>
        <v>0</v>
      </c>
      <c r="O9" s="9">
        <f>+SUMIFS('Gider Miktar'!X:X,'Gider Miktar'!$B:$B,'Emanet Miktar Dağılım'!$D9,'Gider Miktar'!$F:$F,1001)+SUMIFS('Gider Miktar'!X:X,'Gider Miktar'!$B:$B,'Emanet Miktar Dağılım'!$D9,'Gider Miktar'!$F:$F,1002)+SUMIFS('Gider Miktar'!X:X,'Gider Miktar'!$B:$B,'Emanet Miktar Dağılım'!$D9,'Gider Miktar'!$F:$F,1003)+SUMIFS('Gider Miktar'!X:X,'Gider Miktar'!$B:$B,'Emanet Miktar Dağılım'!$D9,'Gider Miktar'!$F:$F,1004)</f>
        <v>10.18268464609365</v>
      </c>
      <c r="P9" s="9">
        <f>+SUMIFS('Gider Miktar'!Y:Y,'Gider Miktar'!$B:$B,'Emanet Miktar Dağılım'!$D9,'Gider Miktar'!$F:$F,1001)+SUMIFS('Gider Miktar'!Y:Y,'Gider Miktar'!$B:$B,'Emanet Miktar Dağılım'!$D9,'Gider Miktar'!$F:$F,1002)+SUMIFS('Gider Miktar'!Y:Y,'Gider Miktar'!$B:$B,'Emanet Miktar Dağılım'!$D9,'Gider Miktar'!$F:$F,1003)+SUMIFS('Gider Miktar'!Y:Y,'Gider Miktar'!$B:$B,'Emanet Miktar Dağılım'!$D9,'Gider Miktar'!$F:$F,1004)</f>
        <v>23.934036596329953</v>
      </c>
      <c r="Q9" s="9">
        <f>+SUMIFS('Gider Miktar'!Z:Z,'Gider Miktar'!$B:$B,'Emanet Miktar Dağılım'!$D9,'Gider Miktar'!$F:$F,1001)+SUMIFS('Gider Miktar'!Z:Z,'Gider Miktar'!$B:$B,'Emanet Miktar Dağılım'!$D9,'Gider Miktar'!$F:$F,1002)+SUMIFS('Gider Miktar'!Z:Z,'Gider Miktar'!$B:$B,'Emanet Miktar Dağılım'!$D9,'Gider Miktar'!$F:$F,1003)+SUMIFS('Gider Miktar'!Z:Z,'Gider Miktar'!$B:$B,'Emanet Miktar Dağılım'!$D9,'Gider Miktar'!$F:$F,1004)</f>
        <v>16.337588934774203</v>
      </c>
      <c r="R9" s="9">
        <f>+SUMIFS('Gider Miktar'!AA:AA,'Gider Miktar'!$B:$B,'Emanet Miktar Dağılım'!$D9,'Gider Miktar'!$F:$F,1001)+SUMIFS('Gider Miktar'!AA:AA,'Gider Miktar'!$B:$B,'Emanet Miktar Dağılım'!$D9,'Gider Miktar'!$F:$F,1002)+SUMIFS('Gider Miktar'!AA:AA,'Gider Miktar'!$B:$B,'Emanet Miktar Dağılım'!$D9,'Gider Miktar'!$F:$F,1003)+SUMIFS('Gider Miktar'!AA:AA,'Gider Miktar'!$B:$B,'Emanet Miktar Dağılım'!$D9,'Gider Miktar'!$F:$F,1004)</f>
        <v>25.457336843215224</v>
      </c>
      <c r="S9" s="9">
        <f>+SUMIFS('Gider Miktar'!AB:AB,'Gider Miktar'!$B:$B,'Emanet Miktar Dağılım'!$D9,'Gider Miktar'!$F:$F,1001)+SUMIFS('Gider Miktar'!AB:AB,'Gider Miktar'!$B:$B,'Emanet Miktar Dağılım'!$D9,'Gider Miktar'!$F:$F,1002)+SUMIFS('Gider Miktar'!AB:AB,'Gider Miktar'!$B:$B,'Emanet Miktar Dağılım'!$D9,'Gider Miktar'!$F:$F,1003)+SUMIFS('Gider Miktar'!AB:AB,'Gider Miktar'!$B:$B,'Emanet Miktar Dağılım'!$D9,'Gider Miktar'!$F:$F,1004)</f>
        <v>17.860889181659473</v>
      </c>
      <c r="T9" s="9">
        <f>+SUMIFS('Gider Miktar'!AC:AC,'Gider Miktar'!$B:$B,'Emanet Miktar Dağılım'!$D9,'Gider Miktar'!$F:$F,1001)+SUMIFS('Gider Miktar'!AC:AC,'Gider Miktar'!$B:$B,'Emanet Miktar Dağılım'!$D9,'Gider Miktar'!$F:$F,1002)+SUMIFS('Gider Miktar'!AC:AC,'Gider Miktar'!$B:$B,'Emanet Miktar Dağılım'!$D9,'Gider Miktar'!$F:$F,1003)+SUMIFS('Gider Miktar'!AC:AC,'Gider Miktar'!$B:$B,'Emanet Miktar Dağılım'!$D9,'Gider Miktar'!$F:$F,1004)</f>
        <v>22.83193682164972</v>
      </c>
      <c r="U9" s="9">
        <f>+SUMIFS('Gider Miktar'!AD:AD,'Gider Miktar'!$B:$B,'Emanet Miktar Dağılım'!$D9,'Gider Miktar'!$F:$F,1001)+SUMIFS('Gider Miktar'!AD:AD,'Gider Miktar'!$B:$B,'Emanet Miktar Dağılım'!$D9,'Gider Miktar'!$F:$F,1002)+SUMIFS('Gider Miktar'!AD:AD,'Gider Miktar'!$B:$B,'Emanet Miktar Dağılım'!$D9,'Gider Miktar'!$F:$F,1003)+SUMIFS('Gider Miktar'!AD:AD,'Gider Miktar'!$B:$B,'Emanet Miktar Dağılım'!$D9,'Gider Miktar'!$F:$F,1004)</f>
        <v>49.202094947871487</v>
      </c>
      <c r="V9" s="9">
        <f>+SUMIFS('Gider Miktar'!AE:AE,'Gider Miktar'!$B:$B,'Emanet Miktar Dağılım'!$D9,'Gider Miktar'!$F:$F,1001)+SUMIFS('Gider Miktar'!AE:AE,'Gider Miktar'!$B:$B,'Emanet Miktar Dağılım'!$D9,'Gider Miktar'!$F:$F,1002)+SUMIFS('Gider Miktar'!AE:AE,'Gider Miktar'!$B:$B,'Emanet Miktar Dağılım'!$D9,'Gider Miktar'!$F:$F,1003)+SUMIFS('Gider Miktar'!AE:AE,'Gider Miktar'!$B:$B,'Emanet Miktar Dağılım'!$D9,'Gider Miktar'!$F:$F,1004)</f>
        <v>229.0840601942981</v>
      </c>
      <c r="W9" s="9">
        <f>+SUMIFS('Gider Miktar'!AF:AF,'Gider Miktar'!$B:$B,'Emanet Miktar Dağılım'!$D9,'Gider Miktar'!$F:$F,1001)+SUMIFS('Gider Miktar'!AF:AF,'Gider Miktar'!$B:$B,'Emanet Miktar Dağılım'!$D9,'Gider Miktar'!$F:$F,1002)+SUMIFS('Gider Miktar'!AF:AF,'Gider Miktar'!$B:$B,'Emanet Miktar Dağılım'!$D9,'Gider Miktar'!$F:$F,1003)+SUMIFS('Gider Miktar'!AF:AF,'Gider Miktar'!$B:$B,'Emanet Miktar Dağılım'!$D9,'Gider Miktar'!$F:$F,1004)</f>
        <v>222.92915590561756</v>
      </c>
      <c r="X9" s="9">
        <f>+SUMIFS('Gider Miktar'!AG:AG,'Gider Miktar'!$B:$B,'Emanet Miktar Dağılım'!$D9,'Gider Miktar'!$F:$F,1001)+SUMIFS('Gider Miktar'!AG:AG,'Gider Miktar'!$B:$B,'Emanet Miktar Dağılım'!$D9,'Gider Miktar'!$F:$F,1002)+SUMIFS('Gider Miktar'!AG:AG,'Gider Miktar'!$B:$B,'Emanet Miktar Dağılım'!$D9,'Gider Miktar'!$F:$F,1003)+SUMIFS('Gider Miktar'!AG:AG,'Gider Miktar'!$B:$B,'Emanet Miktar Dağılım'!$D9,'Gider Miktar'!$F:$F,1004)</f>
        <v>227.56075994741295</v>
      </c>
      <c r="Y9" s="9">
        <f>+SUMIFS('Gider Miktar'!AH:AH,'Gider Miktar'!$B:$B,'Emanet Miktar Dağılım'!$D9,'Gider Miktar'!$F:$F,1001)+SUMIFS('Gider Miktar'!AH:AH,'Gider Miktar'!$B:$B,'Emanet Miktar Dağılım'!$D9,'Gider Miktar'!$F:$F,1002)+SUMIFS('Gider Miktar'!AH:AH,'Gider Miktar'!$B:$B,'Emanet Miktar Dağılım'!$D9,'Gider Miktar'!$F:$F,1003)+SUMIFS('Gider Miktar'!AH:AH,'Gider Miktar'!$B:$B,'Emanet Miktar Dağılım'!$D9,'Gider Miktar'!$F:$F,1004)</f>
        <v>227.56075994741295</v>
      </c>
      <c r="Z9" s="9">
        <f>+SUMIFS('Gider Miktar'!AI:AI,'Gider Miktar'!$B:$B,'Emanet Miktar Dağılım'!$D9,'Gider Miktar'!$F:$F,1001)+SUMIFS('Gider Miktar'!AI:AI,'Gider Miktar'!$B:$B,'Emanet Miktar Dağılım'!$D9,'Gider Miktar'!$F:$F,1002)+SUMIFS('Gider Miktar'!AI:AI,'Gider Miktar'!$B:$B,'Emanet Miktar Dağılım'!$D9,'Gider Miktar'!$F:$F,1003)+SUMIFS('Gider Miktar'!AI:AI,'Gider Miktar'!$B:$B,'Emanet Miktar Dağılım'!$D9,'Gider Miktar'!$F:$F,1004)</f>
        <v>221.40585565873229</v>
      </c>
      <c r="AA9" s="9">
        <f>+SUMIFS('Gider Miktar'!AJ:AJ,'Gider Miktar'!$B:$B,'Emanet Miktar Dağılım'!$D9,'Gider Miktar'!$F:$F,1001)+SUMIFS('Gider Miktar'!AJ:AJ,'Gider Miktar'!$B:$B,'Emanet Miktar Dağılım'!$D9,'Gider Miktar'!$F:$F,1002)+SUMIFS('Gider Miktar'!AJ:AJ,'Gider Miktar'!$B:$B,'Emanet Miktar Dağılım'!$D9,'Gider Miktar'!$F:$F,1003)+SUMIFS('Gider Miktar'!AJ:AJ,'Gider Miktar'!$B:$B,'Emanet Miktar Dağılım'!$D9,'Gider Miktar'!$F:$F,1004)</f>
        <v>221.40585565873229</v>
      </c>
      <c r="AB9" s="9">
        <f>+SUMIFS('Gider Miktar'!AK:AK,'Gider Miktar'!$B:$B,'Emanet Miktar Dağılım'!$D9,'Gider Miktar'!$F:$F,1001)+SUMIFS('Gider Miktar'!AK:AK,'Gider Miktar'!$B:$B,'Emanet Miktar Dağılım'!$D9,'Gider Miktar'!$F:$F,1002)+SUMIFS('Gider Miktar'!AK:AK,'Gider Miktar'!$B:$B,'Emanet Miktar Dağılım'!$D9,'Gider Miktar'!$F:$F,1003)+SUMIFS('Gider Miktar'!AK:AK,'Gider Miktar'!$B:$B,'Emanet Miktar Dağılım'!$D9,'Gider Miktar'!$F:$F,1004)</f>
        <v>219.39021922839785</v>
      </c>
      <c r="AC9" s="9">
        <f>+SUMIFS('Gider Miktar'!AL:AL,'Gider Miktar'!$B:$B,'Emanet Miktar Dağılım'!$D9,'Gider Miktar'!$F:$F,1001)+SUMIFS('Gider Miktar'!AL:AL,'Gider Miktar'!$B:$B,'Emanet Miktar Dağılım'!$D9,'Gider Miktar'!$F:$F,1002)+SUMIFS('Gider Miktar'!AL:AL,'Gider Miktar'!$B:$B,'Emanet Miktar Dağılım'!$D9,'Gider Miktar'!$F:$F,1003)+SUMIFS('Gider Miktar'!AL:AL,'Gider Miktar'!$B:$B,'Emanet Miktar Dağılım'!$D9,'Gider Miktar'!$F:$F,1004)</f>
        <v>219.39021922839785</v>
      </c>
      <c r="AD9" s="9">
        <f>+SUMIFS('Gider Miktar'!AM:AM,'Gider Miktar'!$B:$B,'Emanet Miktar Dağılım'!$D9,'Gider Miktar'!$F:$F,1001)+SUMIFS('Gider Miktar'!AM:AM,'Gider Miktar'!$B:$B,'Emanet Miktar Dağılım'!$D9,'Gider Miktar'!$F:$F,1002)+SUMIFS('Gider Miktar'!AM:AM,'Gider Miktar'!$B:$B,'Emanet Miktar Dağılım'!$D9,'Gider Miktar'!$F:$F,1003)+SUMIFS('Gider Miktar'!AM:AM,'Gider Miktar'!$B:$B,'Emanet Miktar Dağılım'!$D9,'Gider Miktar'!$F:$F,1004)</f>
        <v>31.899658483003638</v>
      </c>
      <c r="AE9" s="9">
        <f>+SUMIFS('Gider Miktar'!AN:AN,'Gider Miktar'!$B:$B,'Emanet Miktar Dağılım'!$D9,'Gider Miktar'!$F:$F,1001)+SUMIFS('Gider Miktar'!AN:AN,'Gider Miktar'!$B:$B,'Emanet Miktar Dağılım'!$D9,'Gider Miktar'!$F:$F,1002)+SUMIFS('Gider Miktar'!AN:AN,'Gider Miktar'!$B:$B,'Emanet Miktar Dağılım'!$D9,'Gider Miktar'!$F:$F,1003)+SUMIFS('Gider Miktar'!AN:AN,'Gider Miktar'!$B:$B,'Emanet Miktar Dağılım'!$D9,'Gider Miktar'!$F:$F,1004)</f>
        <v>24.303210821447784</v>
      </c>
      <c r="AF9" s="9">
        <f>+SUMIFS('Gider Miktar'!AO:AO,'Gider Miktar'!$B:$B,'Emanet Miktar Dağılım'!$D9,'Gider Miktar'!$F:$F,1001)+SUMIFS('Gider Miktar'!AO:AO,'Gider Miktar'!$B:$B,'Emanet Miktar Dağılım'!$D9,'Gider Miktar'!$F:$F,1002)+SUMIFS('Gider Miktar'!AO:AO,'Gider Miktar'!$B:$B,'Emanet Miktar Dağılım'!$D9,'Gider Miktar'!$F:$F,1003)+SUMIFS('Gider Miktar'!AO:AO,'Gider Miktar'!$B:$B,'Emanet Miktar Dağılım'!$D9,'Gider Miktar'!$F:$F,1004)</f>
        <v>25.294905313250329</v>
      </c>
      <c r="AG9" s="9">
        <f>+SUMIFS('Gider Miktar'!AP:AP,'Gider Miktar'!$B:$B,'Emanet Miktar Dağılım'!$D9,'Gider Miktar'!$F:$F,1001)+SUMIFS('Gider Miktar'!AP:AP,'Gider Miktar'!$B:$B,'Emanet Miktar Dağılım'!$D9,'Gider Miktar'!$F:$F,1002)+SUMIFS('Gider Miktar'!AP:AP,'Gider Miktar'!$B:$B,'Emanet Miktar Dağılım'!$D9,'Gider Miktar'!$F:$F,1003)+SUMIFS('Gider Miktar'!AP:AP,'Gider Miktar'!$B:$B,'Emanet Miktar Dağılım'!$D9,'Gider Miktar'!$F:$F,1004)</f>
        <v>46.642704925042395</v>
      </c>
      <c r="AH9" s="9">
        <f>+SUMIFS('Gider Miktar'!AQ:AQ,'Gider Miktar'!$B:$B,'Emanet Miktar Dağılım'!$D9,'Gider Miktar'!$F:$F,1001)+SUMIFS('Gider Miktar'!AQ:AQ,'Gider Miktar'!$B:$B,'Emanet Miktar Dağılım'!$D9,'Gider Miktar'!$F:$F,1002)+SUMIFS('Gider Miktar'!AQ:AQ,'Gider Miktar'!$B:$B,'Emanet Miktar Dağılım'!$D9,'Gider Miktar'!$F:$F,1003)+SUMIFS('Gider Miktar'!AQ:AQ,'Gider Miktar'!$B:$B,'Emanet Miktar Dağılım'!$D9,'Gider Miktar'!$F:$F,1004)</f>
        <v>238.42260921372298</v>
      </c>
      <c r="AI9" s="9">
        <f>+SUMIFS('Gider Miktar'!AR:AR,'Gider Miktar'!$B:$B,'Emanet Miktar Dağılım'!$D9,'Gider Miktar'!$F:$F,1001)+SUMIFS('Gider Miktar'!AR:AR,'Gider Miktar'!$B:$B,'Emanet Miktar Dağılım'!$D9,'Gider Miktar'!$F:$F,1002)+SUMIFS('Gider Miktar'!AR:AR,'Gider Miktar'!$B:$B,'Emanet Miktar Dağılım'!$D9,'Gider Miktar'!$F:$F,1003)+SUMIFS('Gider Miktar'!AR:AR,'Gider Miktar'!$B:$B,'Emanet Miktar Dağılım'!$D9,'Gider Miktar'!$F:$F,1004)</f>
        <v>238.42260921372298</v>
      </c>
      <c r="AJ9" s="9">
        <f>+SUMIFS('Gider Miktar'!AS:AS,'Gider Miktar'!$B:$B,'Emanet Miktar Dağılım'!$D9,'Gider Miktar'!$F:$F,1001)+SUMIFS('Gider Miktar'!AS:AS,'Gider Miktar'!$B:$B,'Emanet Miktar Dağılım'!$D9,'Gider Miktar'!$F:$F,1002)+SUMIFS('Gider Miktar'!AS:AS,'Gider Miktar'!$B:$B,'Emanet Miktar Dağılım'!$D9,'Gider Miktar'!$F:$F,1003)+SUMIFS('Gider Miktar'!AS:AS,'Gider Miktar'!$B:$B,'Emanet Miktar Dağılım'!$D9,'Gider Miktar'!$F:$F,1004)</f>
        <v>238.42260921372298</v>
      </c>
      <c r="AK9" s="9">
        <f>+SUMIFS('Gider Miktar'!AT:AT,'Gider Miktar'!$B:$B,'Emanet Miktar Dağılım'!$D9,'Gider Miktar'!$F:$F,1001)+SUMIFS('Gider Miktar'!AT:AT,'Gider Miktar'!$B:$B,'Emanet Miktar Dağılım'!$D9,'Gider Miktar'!$F:$F,1002)+SUMIFS('Gider Miktar'!AT:AT,'Gider Miktar'!$B:$B,'Emanet Miktar Dağılım'!$D9,'Gider Miktar'!$F:$F,1003)+SUMIFS('Gider Miktar'!AT:AT,'Gider Miktar'!$B:$B,'Emanet Miktar Dağılım'!$D9,'Gider Miktar'!$F:$F,1004)</f>
        <v>232.26770492504238</v>
      </c>
      <c r="AL9" s="9">
        <f>+SUMIFS('Gider Miktar'!AU:AU,'Gider Miktar'!$B:$B,'Emanet Miktar Dağılım'!$D9,'Gider Miktar'!$F:$F,1001)+SUMIFS('Gider Miktar'!AU:AU,'Gider Miktar'!$B:$B,'Emanet Miktar Dağılım'!$D9,'Gider Miktar'!$F:$F,1002)+SUMIFS('Gider Miktar'!AU:AU,'Gider Miktar'!$B:$B,'Emanet Miktar Dağılım'!$D9,'Gider Miktar'!$F:$F,1003)+SUMIFS('Gider Miktar'!AU:AU,'Gider Miktar'!$B:$B,'Emanet Miktar Dağılım'!$D9,'Gider Miktar'!$F:$F,1004)</f>
        <v>226.11280063636184</v>
      </c>
      <c r="AM9" s="9">
        <f>+SUMIFS('Gider Miktar'!AV:AV,'Gider Miktar'!$B:$B,'Emanet Miktar Dağılım'!$D9,'Gider Miktar'!$F:$F,1001)+SUMIFS('Gider Miktar'!AV:AV,'Gider Miktar'!$B:$B,'Emanet Miktar Dağılım'!$D9,'Gider Miktar'!$F:$F,1002)+SUMIFS('Gider Miktar'!AV:AV,'Gider Miktar'!$B:$B,'Emanet Miktar Dağılım'!$D9,'Gider Miktar'!$F:$F,1003)+SUMIFS('Gider Miktar'!AV:AV,'Gider Miktar'!$B:$B,'Emanet Miktar Dağılım'!$D9,'Gider Miktar'!$F:$F,1004)</f>
        <v>226.11280063636184</v>
      </c>
      <c r="AN9" s="9">
        <f>+SUMIFS('Gider Miktar'!AW:AW,'Gider Miktar'!$B:$B,'Emanet Miktar Dağılım'!$D9,'Gider Miktar'!$F:$F,1001)+SUMIFS('Gider Miktar'!AW:AW,'Gider Miktar'!$B:$B,'Emanet Miktar Dağılım'!$D9,'Gider Miktar'!$F:$F,1002)+SUMIFS('Gider Miktar'!AW:AW,'Gider Miktar'!$B:$B,'Emanet Miktar Dağılım'!$D9,'Gider Miktar'!$F:$F,1003)+SUMIFS('Gider Miktar'!AW:AW,'Gider Miktar'!$B:$B,'Emanet Miktar Dağılım'!$D9,'Gider Miktar'!$F:$F,1004)</f>
        <v>216.010790646223</v>
      </c>
      <c r="AO9" s="9">
        <f>+SUMIFS('Gider Miktar'!AX:AX,'Gider Miktar'!$B:$B,'Emanet Miktar Dağılım'!$D9,'Gider Miktar'!$F:$F,1001)+SUMIFS('Gider Miktar'!AX:AX,'Gider Miktar'!$B:$B,'Emanet Miktar Dağılım'!$D9,'Gider Miktar'!$F:$F,1002)+SUMIFS('Gider Miktar'!AX:AX,'Gider Miktar'!$B:$B,'Emanet Miktar Dağılım'!$D9,'Gider Miktar'!$F:$F,1003)+SUMIFS('Gider Miktar'!AX:AX,'Gider Miktar'!$B:$B,'Emanet Miktar Dağılım'!$D9,'Gider Miktar'!$F:$F,1004)</f>
        <v>223.39667579263974</v>
      </c>
      <c r="AP9" s="9">
        <f>+SUMIFS('Gider Miktar'!AY:AY,'Gider Miktar'!$B:$B,'Emanet Miktar Dağılım'!$D9,'Gider Miktar'!$F:$F,1001)+SUMIFS('Gider Miktar'!AY:AY,'Gider Miktar'!$B:$B,'Emanet Miktar Dağılım'!$D9,'Gider Miktar'!$F:$F,1002)+SUMIFS('Gider Miktar'!AY:AY,'Gider Miktar'!$B:$B,'Emanet Miktar Dağılım'!$D9,'Gider Miktar'!$F:$F,1003)+SUMIFS('Gider Miktar'!AY:AY,'Gider Miktar'!$B:$B,'Emanet Miktar Dağılım'!$D9,'Gider Miktar'!$F:$F,1004)</f>
        <v>37.771675792639734</v>
      </c>
      <c r="AQ9" s="9">
        <f>+SUMIFS('Gider Miktar'!AZ:AZ,'Gider Miktar'!$B:$B,'Emanet Miktar Dağılım'!$D9,'Gider Miktar'!$F:$F,1001)+SUMIFS('Gider Miktar'!AZ:AZ,'Gider Miktar'!$B:$B,'Emanet Miktar Dağılım'!$D9,'Gider Miktar'!$F:$F,1002)+SUMIFS('Gider Miktar'!AZ:AZ,'Gider Miktar'!$B:$B,'Emanet Miktar Dağılım'!$D9,'Gider Miktar'!$F:$F,1003)+SUMIFS('Gider Miktar'!AZ:AZ,'Gider Miktar'!$B:$B,'Emanet Miktar Dağılım'!$D9,'Gider Miktar'!$F:$F,1004)</f>
        <v>30.385790646223011</v>
      </c>
      <c r="AR9" s="9">
        <f>+SUMIFS('Gider Miktar'!BA:BA,'Gider Miktar'!$B:$B,'Emanet Miktar Dağılım'!$D9,'Gider Miktar'!$F:$F,1001)+SUMIFS('Gider Miktar'!BA:BA,'Gider Miktar'!$B:$B,'Emanet Miktar Dağılım'!$D9,'Gider Miktar'!$F:$F,1002)+SUMIFS('Gider Miktar'!BA:BA,'Gider Miktar'!$B:$B,'Emanet Miktar Dağılım'!$D9,'Gider Miktar'!$F:$F,1003)+SUMIFS('Gider Miktar'!BA:BA,'Gider Miktar'!$B:$B,'Emanet Miktar Dağılım'!$D9,'Gider Miktar'!$F:$F,1004)</f>
        <v>0</v>
      </c>
      <c r="AS9" s="9">
        <f>+SUMIFS('Gider Miktar'!BB:BB,'Gider Miktar'!$B:$B,'Emanet Miktar Dağılım'!$D9,'Gider Miktar'!$F:$F,1001)+SUMIFS('Gider Miktar'!BB:BB,'Gider Miktar'!$B:$B,'Emanet Miktar Dağılım'!$D9,'Gider Miktar'!$F:$F,1002)+SUMIFS('Gider Miktar'!BB:BB,'Gider Miktar'!$B:$B,'Emanet Miktar Dağılım'!$D9,'Gider Miktar'!$F:$F,1003)+SUMIFS('Gider Miktar'!BB:BB,'Gider Miktar'!$B:$B,'Emanet Miktar Dağılım'!$D9,'Gider Miktar'!$F:$F,1004)</f>
        <v>0</v>
      </c>
      <c r="AT9" s="9">
        <f>+SUMIFS('Gider Miktar'!BC:BC,'Gider Miktar'!$B:$B,'Emanet Miktar Dağılım'!$D9,'Gider Miktar'!$F:$F,1001)+SUMIFS('Gider Miktar'!BC:BC,'Gider Miktar'!$B:$B,'Emanet Miktar Dağılım'!$D9,'Gider Miktar'!$F:$F,1002)+SUMIFS('Gider Miktar'!BC:BC,'Gider Miktar'!$B:$B,'Emanet Miktar Dağılım'!$D9,'Gider Miktar'!$F:$F,1003)+SUMIFS('Gider Miktar'!BC:BC,'Gider Miktar'!$B:$B,'Emanet Miktar Dağılım'!$D9,'Gider Miktar'!$F:$F,1004)</f>
        <v>0</v>
      </c>
      <c r="AU9" s="9">
        <f>+SUMIFS('Gider Miktar'!BD:BD,'Gider Miktar'!$B:$B,'Emanet Miktar Dağılım'!$D9,'Gider Miktar'!$F:$F,1001)+SUMIFS('Gider Miktar'!BD:BD,'Gider Miktar'!$B:$B,'Emanet Miktar Dağılım'!$D9,'Gider Miktar'!$F:$F,1002)+SUMIFS('Gider Miktar'!BD:BD,'Gider Miktar'!$B:$B,'Emanet Miktar Dağılım'!$D9,'Gider Miktar'!$F:$F,1003)+SUMIFS('Gider Miktar'!BD:BD,'Gider Miktar'!$B:$B,'Emanet Miktar Dağılım'!$D9,'Gider Miktar'!$F:$F,1004)</f>
        <v>0</v>
      </c>
      <c r="AV9" s="9">
        <f>+SUMIFS('Gider Miktar'!BE:BE,'Gider Miktar'!$B:$B,'Emanet Miktar Dağılım'!$D9,'Gider Miktar'!$F:$F,1001)+SUMIFS('Gider Miktar'!BE:BE,'Gider Miktar'!$B:$B,'Emanet Miktar Dağılım'!$D9,'Gider Miktar'!$F:$F,1002)+SUMIFS('Gider Miktar'!BE:BE,'Gider Miktar'!$B:$B,'Emanet Miktar Dağılım'!$D9,'Gider Miktar'!$F:$F,1003)+SUMIFS('Gider Miktar'!BE:BE,'Gider Miktar'!$B:$B,'Emanet Miktar Dağılım'!$D9,'Gider Miktar'!$F:$F,1004)</f>
        <v>0</v>
      </c>
      <c r="AW9" s="9">
        <f>+SUMIFS('Gider Miktar'!BF:BF,'Gider Miktar'!$B:$B,'Emanet Miktar Dağılım'!$D9,'Gider Miktar'!$F:$F,1001)+SUMIFS('Gider Miktar'!BF:BF,'Gider Miktar'!$B:$B,'Emanet Miktar Dağılım'!$D9,'Gider Miktar'!$F:$F,1002)+SUMIFS('Gider Miktar'!BF:BF,'Gider Miktar'!$B:$B,'Emanet Miktar Dağılım'!$D9,'Gider Miktar'!$F:$F,1003)+SUMIFS('Gider Miktar'!BF:BF,'Gider Miktar'!$B:$B,'Emanet Miktar Dağılım'!$D9,'Gider Miktar'!$F:$F,1004)</f>
        <v>0</v>
      </c>
      <c r="AX9" s="9">
        <f>+SUMIFS('Gider Miktar'!BG:BG,'Gider Miktar'!$B:$B,'Emanet Miktar Dağılım'!$D9,'Gider Miktar'!$F:$F,1001)+SUMIFS('Gider Miktar'!BG:BG,'Gider Miktar'!$B:$B,'Emanet Miktar Dağılım'!$D9,'Gider Miktar'!$F:$F,1002)+SUMIFS('Gider Miktar'!BG:BG,'Gider Miktar'!$B:$B,'Emanet Miktar Dağılım'!$D9,'Gider Miktar'!$F:$F,1003)+SUMIFS('Gider Miktar'!BG:BG,'Gider Miktar'!$B:$B,'Emanet Miktar Dağılım'!$D9,'Gider Miktar'!$F:$F,1004)</f>
        <v>0</v>
      </c>
      <c r="AY9" s="9">
        <f>+SUMIFS('Gider Miktar'!BH:BH,'Gider Miktar'!$B:$B,'Emanet Miktar Dağılım'!$D9,'Gider Miktar'!$F:$F,1001)+SUMIFS('Gider Miktar'!BH:BH,'Gider Miktar'!$B:$B,'Emanet Miktar Dağılım'!$D9,'Gider Miktar'!$F:$F,1002)+SUMIFS('Gider Miktar'!BH:BH,'Gider Miktar'!$B:$B,'Emanet Miktar Dağılım'!$D9,'Gider Miktar'!$F:$F,1003)+SUMIFS('Gider Miktar'!BH:BH,'Gider Miktar'!$B:$B,'Emanet Miktar Dağılım'!$D9,'Gider Miktar'!$F:$F,1004)</f>
        <v>0</v>
      </c>
      <c r="AZ9" s="9">
        <f>+SUMIFS('Gider Miktar'!BI:BI,'Gider Miktar'!$B:$B,'Emanet Miktar Dağılım'!$D9,'Gider Miktar'!$F:$F,1001)+SUMIFS('Gider Miktar'!BI:BI,'Gider Miktar'!$B:$B,'Emanet Miktar Dağılım'!$D9,'Gider Miktar'!$F:$F,1002)+SUMIFS('Gider Miktar'!BI:BI,'Gider Miktar'!$B:$B,'Emanet Miktar Dağılım'!$D9,'Gider Miktar'!$F:$F,1003)+SUMIFS('Gider Miktar'!BI:BI,'Gider Miktar'!$B:$B,'Emanet Miktar Dağılım'!$D9,'Gider Miktar'!$F:$F,1004)</f>
        <v>0</v>
      </c>
      <c r="BA9" s="9">
        <f>+SUMIFS('Gider Miktar'!BJ:BJ,'Gider Miktar'!$B:$B,'Emanet Miktar Dağılım'!$D9,'Gider Miktar'!$F:$F,1001)+SUMIFS('Gider Miktar'!BJ:BJ,'Gider Miktar'!$B:$B,'Emanet Miktar Dağılım'!$D9,'Gider Miktar'!$F:$F,1002)+SUMIFS('Gider Miktar'!BJ:BJ,'Gider Miktar'!$B:$B,'Emanet Miktar Dağılım'!$D9,'Gider Miktar'!$F:$F,1003)+SUMIFS('Gider Miktar'!BJ:BJ,'Gider Miktar'!$B:$B,'Emanet Miktar Dağılım'!$D9,'Gider Miktar'!$F:$F,1004)</f>
        <v>0</v>
      </c>
      <c r="BB9" s="9">
        <f>+SUMIFS('Gider Miktar'!BK:BK,'Gider Miktar'!$B:$B,'Emanet Miktar Dağılım'!$D9,'Gider Miktar'!$F:$F,1001)+SUMIFS('Gider Miktar'!BK:BK,'Gider Miktar'!$B:$B,'Emanet Miktar Dağılım'!$D9,'Gider Miktar'!$F:$F,1002)+SUMIFS('Gider Miktar'!BK:BK,'Gider Miktar'!$B:$B,'Emanet Miktar Dağılım'!$D9,'Gider Miktar'!$F:$F,1003)+SUMIFS('Gider Miktar'!BK:BK,'Gider Miktar'!$B:$B,'Emanet Miktar Dağılım'!$D9,'Gider Miktar'!$F:$F,1004)</f>
        <v>0</v>
      </c>
      <c r="BC9" s="9">
        <f>+SUMIFS('Gider Miktar'!BL:BL,'Gider Miktar'!$B:$B,'Emanet Miktar Dağılım'!$D9,'Gider Miktar'!$F:$F,1001)+SUMIFS('Gider Miktar'!BL:BL,'Gider Miktar'!$B:$B,'Emanet Miktar Dağılım'!$D9,'Gider Miktar'!$F:$F,1002)+SUMIFS('Gider Miktar'!BL:BL,'Gider Miktar'!$B:$B,'Emanet Miktar Dağılım'!$D9,'Gider Miktar'!$F:$F,1003)+SUMIFS('Gider Miktar'!BL:BL,'Gider Miktar'!$B:$B,'Emanet Miktar Dağılım'!$D9,'Gider Miktar'!$F:$F,1004)</f>
        <v>0</v>
      </c>
      <c r="BD9" s="9">
        <f>+SUMIFS('Gider Miktar'!BM:BM,'Gider Miktar'!$B:$B,'Emanet Miktar Dağılım'!$D9,'Gider Miktar'!$F:$F,1001)+SUMIFS('Gider Miktar'!BM:BM,'Gider Miktar'!$B:$B,'Emanet Miktar Dağılım'!$D9,'Gider Miktar'!$F:$F,1002)+SUMIFS('Gider Miktar'!BM:BM,'Gider Miktar'!$B:$B,'Emanet Miktar Dağılım'!$D9,'Gider Miktar'!$F:$F,1003)+SUMIFS('Gider Miktar'!BM:BM,'Gider Miktar'!$B:$B,'Emanet Miktar Dağılım'!$D9,'Gider Miktar'!$F:$F,1004)</f>
        <v>0</v>
      </c>
      <c r="BE9" s="9">
        <f>+SUMIFS('Gider Miktar'!BN:BN,'Gider Miktar'!$B:$B,'Emanet Miktar Dağılım'!$D9,'Gider Miktar'!$F:$F,1001)+SUMIFS('Gider Miktar'!BN:BN,'Gider Miktar'!$B:$B,'Emanet Miktar Dağılım'!$D9,'Gider Miktar'!$F:$F,1002)+SUMIFS('Gider Miktar'!BN:BN,'Gider Miktar'!$B:$B,'Emanet Miktar Dağılım'!$D9,'Gider Miktar'!$F:$F,1003)+SUMIFS('Gider Miktar'!BN:BN,'Gider Miktar'!$B:$B,'Emanet Miktar Dağılım'!$D9,'Gider Miktar'!$F:$F,1004)</f>
        <v>0</v>
      </c>
      <c r="BF9" s="9">
        <f>+SUMIFS('Gider Miktar'!BO:BO,'Gider Miktar'!$B:$B,'Emanet Miktar Dağılım'!$D9,'Gider Miktar'!$F:$F,1001)+SUMIFS('Gider Miktar'!BO:BO,'Gider Miktar'!$B:$B,'Emanet Miktar Dağılım'!$D9,'Gider Miktar'!$F:$F,1002)+SUMIFS('Gider Miktar'!BO:BO,'Gider Miktar'!$B:$B,'Emanet Miktar Dağılım'!$D9,'Gider Miktar'!$F:$F,1003)+SUMIFS('Gider Miktar'!BO:BO,'Gider Miktar'!$B:$B,'Emanet Miktar Dağılım'!$D9,'Gider Miktar'!$F:$F,1004)</f>
        <v>0</v>
      </c>
      <c r="BG9" s="9">
        <f>+SUMIFS('Gider Miktar'!BP:BP,'Gider Miktar'!$B:$B,'Emanet Miktar Dağılım'!$D9,'Gider Miktar'!$F:$F,1001)+SUMIFS('Gider Miktar'!BP:BP,'Gider Miktar'!$B:$B,'Emanet Miktar Dağılım'!$D9,'Gider Miktar'!$F:$F,1002)+SUMIFS('Gider Miktar'!BP:BP,'Gider Miktar'!$B:$B,'Emanet Miktar Dağılım'!$D9,'Gider Miktar'!$F:$F,1003)+SUMIFS('Gider Miktar'!BP:BP,'Gider Miktar'!$B:$B,'Emanet Miktar Dağılım'!$D9,'Gider Miktar'!$F:$F,1004)</f>
        <v>0</v>
      </c>
      <c r="BH9" s="9">
        <f>+SUMIFS('Gider Miktar'!BQ:BQ,'Gider Miktar'!$B:$B,'Emanet Miktar Dağılım'!$D9,'Gider Miktar'!$F:$F,1001)+SUMIFS('Gider Miktar'!BQ:BQ,'Gider Miktar'!$B:$B,'Emanet Miktar Dağılım'!$D9,'Gider Miktar'!$F:$F,1002)+SUMIFS('Gider Miktar'!BQ:BQ,'Gider Miktar'!$B:$B,'Emanet Miktar Dağılım'!$D9,'Gider Miktar'!$F:$F,1003)+SUMIFS('Gider Miktar'!BQ:BQ,'Gider Miktar'!$B:$B,'Emanet Miktar Dağılım'!$D9,'Gider Miktar'!$F:$F,1004)</f>
        <v>0</v>
      </c>
      <c r="BI9" s="9">
        <f>+SUMIFS('Gider Miktar'!BR:BR,'Gider Miktar'!$B:$B,'Emanet Miktar Dağılım'!$D9,'Gider Miktar'!$F:$F,1001)+SUMIFS('Gider Miktar'!BR:BR,'Gider Miktar'!$B:$B,'Emanet Miktar Dağılım'!$D9,'Gider Miktar'!$F:$F,1002)+SUMIFS('Gider Miktar'!BR:BR,'Gider Miktar'!$B:$B,'Emanet Miktar Dağılım'!$D9,'Gider Miktar'!$F:$F,1003)+SUMIFS('Gider Miktar'!BR:BR,'Gider Miktar'!$B:$B,'Emanet Miktar Dağılım'!$D9,'Gider Miktar'!$F:$F,1004)</f>
        <v>0</v>
      </c>
      <c r="BJ9" s="9">
        <f>+SUMIFS('Gider Miktar'!BS:BS,'Gider Miktar'!$B:$B,'Emanet Miktar Dağılım'!$D9,'Gider Miktar'!$F:$F,1001)+SUMIFS('Gider Miktar'!BS:BS,'Gider Miktar'!$B:$B,'Emanet Miktar Dağılım'!$D9,'Gider Miktar'!$F:$F,1002)+SUMIFS('Gider Miktar'!BS:BS,'Gider Miktar'!$B:$B,'Emanet Miktar Dağılım'!$D9,'Gider Miktar'!$F:$F,1003)+SUMIFS('Gider Miktar'!BS:BS,'Gider Miktar'!$B:$B,'Emanet Miktar Dağılım'!$D9,'Gider Miktar'!$F:$F,1004)</f>
        <v>0</v>
      </c>
      <c r="BK9" s="9">
        <f>+SUMIFS('Gider Miktar'!BT:BT,'Gider Miktar'!$B:$B,'Emanet Miktar Dağılım'!$D9,'Gider Miktar'!$F:$F,1001)+SUMIFS('Gider Miktar'!BT:BT,'Gider Miktar'!$B:$B,'Emanet Miktar Dağılım'!$D9,'Gider Miktar'!$F:$F,1002)+SUMIFS('Gider Miktar'!BT:BT,'Gider Miktar'!$B:$B,'Emanet Miktar Dağılım'!$D9,'Gider Miktar'!$F:$F,1003)+SUMIFS('Gider Miktar'!BT:BT,'Gider Miktar'!$B:$B,'Emanet Miktar Dağılım'!$D9,'Gider Miktar'!$F:$F,1004)</f>
        <v>0</v>
      </c>
      <c r="BL9" s="9">
        <f>+SUMIFS('Gider Miktar'!BU:BU,'Gider Miktar'!$B:$B,'Emanet Miktar Dağılım'!$D9,'Gider Miktar'!$F:$F,1001)+SUMIFS('Gider Miktar'!BU:BU,'Gider Miktar'!$B:$B,'Emanet Miktar Dağılım'!$D9,'Gider Miktar'!$F:$F,1002)+SUMIFS('Gider Miktar'!BU:BU,'Gider Miktar'!$B:$B,'Emanet Miktar Dağılım'!$D9,'Gider Miktar'!$F:$F,1003)+SUMIFS('Gider Miktar'!BU:BU,'Gider Miktar'!$B:$B,'Emanet Miktar Dağılım'!$D9,'Gider Miktar'!$F:$F,1004)</f>
        <v>0</v>
      </c>
      <c r="BM9" s="9">
        <f>+SUMIFS('Gider Miktar'!BV:BV,'Gider Miktar'!$B:$B,'Emanet Miktar Dağılım'!$D9,'Gider Miktar'!$F:$F,1001)+SUMIFS('Gider Miktar'!BV:BV,'Gider Miktar'!$B:$B,'Emanet Miktar Dağılım'!$D9,'Gider Miktar'!$F:$F,1002)+SUMIFS('Gider Miktar'!BV:BV,'Gider Miktar'!$B:$B,'Emanet Miktar Dağılım'!$D9,'Gider Miktar'!$F:$F,1003)+SUMIFS('Gider Miktar'!BV:BV,'Gider Miktar'!$B:$B,'Emanet Miktar Dağılım'!$D9,'Gider Miktar'!$F:$F,1004)</f>
        <v>0</v>
      </c>
      <c r="BN9" s="9">
        <f>+SUMIFS('Gider Miktar'!BW:BW,'Gider Miktar'!$B:$B,'Emanet Miktar Dağılım'!$D9,'Gider Miktar'!$F:$F,1001)+SUMIFS('Gider Miktar'!BW:BW,'Gider Miktar'!$B:$B,'Emanet Miktar Dağılım'!$D9,'Gider Miktar'!$F:$F,1002)+SUMIFS('Gider Miktar'!BW:BW,'Gider Miktar'!$B:$B,'Emanet Miktar Dağılım'!$D9,'Gider Miktar'!$F:$F,1003)+SUMIFS('Gider Miktar'!BW:BW,'Gider Miktar'!$B:$B,'Emanet Miktar Dağılım'!$D9,'Gider Miktar'!$F:$F,1004)</f>
        <v>0</v>
      </c>
      <c r="BO9" s="9">
        <f>+SUMIFS('Gider Miktar'!BX:BX,'Gider Miktar'!$B:$B,'Emanet Miktar Dağılım'!$D9,'Gider Miktar'!$F:$F,1001)+SUMIFS('Gider Miktar'!BX:BX,'Gider Miktar'!$B:$B,'Emanet Miktar Dağılım'!$D9,'Gider Miktar'!$F:$F,1002)+SUMIFS('Gider Miktar'!BX:BX,'Gider Miktar'!$B:$B,'Emanet Miktar Dağılım'!$D9,'Gider Miktar'!$F:$F,1003)+SUMIFS('Gider Miktar'!BX:BX,'Gider Miktar'!$B:$B,'Emanet Miktar Dağılım'!$D9,'Gider Miktar'!$F:$F,1004)</f>
        <v>0</v>
      </c>
    </row>
    <row r="10" spans="2:67">
      <c r="D10" t="s">
        <v>12</v>
      </c>
      <c r="E10" s="9">
        <f>+SUMIFS('Gider Miktar'!N:N,'Gider Miktar'!$B:$B,'Emanet Miktar Dağılım'!$D10,'Gider Miktar'!$F:$F,1001)+SUMIFS('Gider Miktar'!N:N,'Gider Miktar'!$B:$B,'Emanet Miktar Dağılım'!$D10,'Gider Miktar'!$F:$F,1002)+SUMIFS('Gider Miktar'!N:N,'Gider Miktar'!$B:$B,'Emanet Miktar Dağılım'!$D10,'Gider Miktar'!$F:$F,1003)+SUMIFS('Gider Miktar'!N:N,'Gider Miktar'!$B:$B,'Emanet Miktar Dağılım'!$D10,'Gider Miktar'!$F:$F,1004)</f>
        <v>0</v>
      </c>
      <c r="F10" s="9">
        <f>+SUMIFS('Gider Miktar'!O:O,'Gider Miktar'!$B:$B,'Emanet Miktar Dağılım'!$D10,'Gider Miktar'!$F:$F,1001)+SUMIFS('Gider Miktar'!O:O,'Gider Miktar'!$B:$B,'Emanet Miktar Dağılım'!$D10,'Gider Miktar'!$F:$F,1002)+SUMIFS('Gider Miktar'!O:O,'Gider Miktar'!$B:$B,'Emanet Miktar Dağılım'!$D10,'Gider Miktar'!$F:$F,1003)+SUMIFS('Gider Miktar'!O:O,'Gider Miktar'!$B:$B,'Emanet Miktar Dağılım'!$D10,'Gider Miktar'!$F:$F,1004)</f>
        <v>0</v>
      </c>
      <c r="G10" s="9">
        <f>+SUMIFS('Gider Miktar'!P:P,'Gider Miktar'!$B:$B,'Emanet Miktar Dağılım'!$D10,'Gider Miktar'!$F:$F,1001)+SUMIFS('Gider Miktar'!P:P,'Gider Miktar'!$B:$B,'Emanet Miktar Dağılım'!$D10,'Gider Miktar'!$F:$F,1002)+SUMIFS('Gider Miktar'!P:P,'Gider Miktar'!$B:$B,'Emanet Miktar Dağılım'!$D10,'Gider Miktar'!$F:$F,1003)+SUMIFS('Gider Miktar'!P:P,'Gider Miktar'!$B:$B,'Emanet Miktar Dağılım'!$D10,'Gider Miktar'!$F:$F,1004)</f>
        <v>1935.6</v>
      </c>
      <c r="H10" s="9">
        <f>+SUMIFS('Gider Miktar'!Q:Q,'Gider Miktar'!$B:$B,'Emanet Miktar Dağılım'!$D10,'Gider Miktar'!$F:$F,1001)+SUMIFS('Gider Miktar'!Q:Q,'Gider Miktar'!$B:$B,'Emanet Miktar Dağılım'!$D10,'Gider Miktar'!$F:$F,1002)+SUMIFS('Gider Miktar'!Q:Q,'Gider Miktar'!$B:$B,'Emanet Miktar Dağılım'!$D10,'Gider Miktar'!$F:$F,1003)+SUMIFS('Gider Miktar'!Q:Q,'Gider Miktar'!$B:$B,'Emanet Miktar Dağılım'!$D10,'Gider Miktar'!$F:$F,1004)</f>
        <v>2705.81</v>
      </c>
      <c r="I10" s="9">
        <f>+SUMIFS('Gider Miktar'!R:R,'Gider Miktar'!$B:$B,'Emanet Miktar Dağılım'!$D10,'Gider Miktar'!$F:$F,1001)+SUMIFS('Gider Miktar'!R:R,'Gider Miktar'!$B:$B,'Emanet Miktar Dağılım'!$D10,'Gider Miktar'!$F:$F,1002)+SUMIFS('Gider Miktar'!R:R,'Gider Miktar'!$B:$B,'Emanet Miktar Dağılım'!$D10,'Gider Miktar'!$F:$F,1003)+SUMIFS('Gider Miktar'!R:R,'Gider Miktar'!$B:$B,'Emanet Miktar Dağılım'!$D10,'Gider Miktar'!$F:$F,1004)</f>
        <v>3228.8100000000004</v>
      </c>
      <c r="J10" s="9">
        <f>+SUMIFS('Gider Miktar'!S:S,'Gider Miktar'!$B:$B,'Emanet Miktar Dağılım'!$D10,'Gider Miktar'!$F:$F,1001)+SUMIFS('Gider Miktar'!S:S,'Gider Miktar'!$B:$B,'Emanet Miktar Dağılım'!$D10,'Gider Miktar'!$F:$F,1002)+SUMIFS('Gider Miktar'!S:S,'Gider Miktar'!$B:$B,'Emanet Miktar Dağılım'!$D10,'Gider Miktar'!$F:$F,1003)+SUMIFS('Gider Miktar'!S:S,'Gider Miktar'!$B:$B,'Emanet Miktar Dağılım'!$D10,'Gider Miktar'!$F:$F,1004)</f>
        <v>3703.96</v>
      </c>
      <c r="K10" s="9">
        <f>+SUMIFS('Gider Miktar'!T:T,'Gider Miktar'!$B:$B,'Emanet Miktar Dağılım'!$D10,'Gider Miktar'!$F:$F,1001)+SUMIFS('Gider Miktar'!T:T,'Gider Miktar'!$B:$B,'Emanet Miktar Dağılım'!$D10,'Gider Miktar'!$F:$F,1002)+SUMIFS('Gider Miktar'!T:T,'Gider Miktar'!$B:$B,'Emanet Miktar Dağılım'!$D10,'Gider Miktar'!$F:$F,1003)+SUMIFS('Gider Miktar'!T:T,'Gider Miktar'!$B:$B,'Emanet Miktar Dağılım'!$D10,'Gider Miktar'!$F:$F,1004)</f>
        <v>4405.6789999999992</v>
      </c>
      <c r="L10" s="9">
        <f>+SUMIFS('Gider Miktar'!U:U,'Gider Miktar'!$B:$B,'Emanet Miktar Dağılım'!$D10,'Gider Miktar'!$F:$F,1001)+SUMIFS('Gider Miktar'!U:U,'Gider Miktar'!$B:$B,'Emanet Miktar Dağılım'!$D10,'Gider Miktar'!$F:$F,1002)+SUMIFS('Gider Miktar'!U:U,'Gider Miktar'!$B:$B,'Emanet Miktar Dağılım'!$D10,'Gider Miktar'!$F:$F,1003)+SUMIFS('Gider Miktar'!U:U,'Gider Miktar'!$B:$B,'Emanet Miktar Dağılım'!$D10,'Gider Miktar'!$F:$F,1004)</f>
        <v>5330.574775</v>
      </c>
      <c r="M10" s="9">
        <f>+SUMIFS('Gider Miktar'!V:V,'Gider Miktar'!$B:$B,'Emanet Miktar Dağılım'!$D10,'Gider Miktar'!$F:$F,1001)+SUMIFS('Gider Miktar'!V:V,'Gider Miktar'!$B:$B,'Emanet Miktar Dağılım'!$D10,'Gider Miktar'!$F:$F,1002)+SUMIFS('Gider Miktar'!V:V,'Gider Miktar'!$B:$B,'Emanet Miktar Dağılım'!$D10,'Gider Miktar'!$F:$F,1003)+SUMIFS('Gider Miktar'!V:V,'Gider Miktar'!$B:$B,'Emanet Miktar Dağılım'!$D10,'Gider Miktar'!$F:$F,1004)</f>
        <v>4034.2663249999996</v>
      </c>
      <c r="N10" s="11">
        <f>+SUMIFS('Gider Miktar'!W:W,'Gider Miktar'!$B:$B,'Emanet Miktar Dağılım'!$D10,'Gider Miktar'!$F:$F,1001)+SUMIFS('Gider Miktar'!W:W,'Gider Miktar'!$B:$B,'Emanet Miktar Dağılım'!$D10,'Gider Miktar'!$F:$F,1002)+SUMIFS('Gider Miktar'!W:W,'Gider Miktar'!$B:$B,'Emanet Miktar Dağılım'!$D10,'Gider Miktar'!$F:$F,1003)+SUMIFS('Gider Miktar'!W:W,'Gider Miktar'!$B:$B,'Emanet Miktar Dağılım'!$D10,'Gider Miktar'!$F:$F,1004)</f>
        <v>2610.1623000000009</v>
      </c>
      <c r="O10" s="9">
        <f>+SUMIFS('Gider Miktar'!X:X,'Gider Miktar'!$B:$B,'Emanet Miktar Dağılım'!$D10,'Gider Miktar'!$F:$F,1001)+SUMIFS('Gider Miktar'!X:X,'Gider Miktar'!$B:$B,'Emanet Miktar Dağılım'!$D10,'Gider Miktar'!$F:$F,1002)+SUMIFS('Gider Miktar'!X:X,'Gider Miktar'!$B:$B,'Emanet Miktar Dağılım'!$D10,'Gider Miktar'!$F:$F,1003)+SUMIFS('Gider Miktar'!X:X,'Gider Miktar'!$B:$B,'Emanet Miktar Dağılım'!$D10,'Gider Miktar'!$F:$F,1004)</f>
        <v>90.587334917706926</v>
      </c>
      <c r="P10" s="9">
        <f>+SUMIFS('Gider Miktar'!Y:Y,'Gider Miktar'!$B:$B,'Emanet Miktar Dağılım'!$D10,'Gider Miktar'!$F:$F,1001)+SUMIFS('Gider Miktar'!Y:Y,'Gider Miktar'!$B:$B,'Emanet Miktar Dağılım'!$D10,'Gider Miktar'!$F:$F,1002)+SUMIFS('Gider Miktar'!Y:Y,'Gider Miktar'!$B:$B,'Emanet Miktar Dağılım'!$D10,'Gider Miktar'!$F:$F,1003)+SUMIFS('Gider Miktar'!Y:Y,'Gider Miktar'!$B:$B,'Emanet Miktar Dağılım'!$D10,'Gider Miktar'!$F:$F,1004)</f>
        <v>212.92229548875849</v>
      </c>
      <c r="Q10" s="9">
        <f>+SUMIFS('Gider Miktar'!Z:Z,'Gider Miktar'!$B:$B,'Emanet Miktar Dağılım'!$D10,'Gider Miktar'!$F:$F,1001)+SUMIFS('Gider Miktar'!Z:Z,'Gider Miktar'!$B:$B,'Emanet Miktar Dağılım'!$D10,'Gider Miktar'!$F:$F,1002)+SUMIFS('Gider Miktar'!Z:Z,'Gider Miktar'!$B:$B,'Emanet Miktar Dağılım'!$D10,'Gider Miktar'!$F:$F,1003)+SUMIFS('Gider Miktar'!Z:Z,'Gider Miktar'!$B:$B,'Emanet Miktar Dağılım'!$D10,'Gider Miktar'!$F:$F,1004)</f>
        <v>145.3426765160574</v>
      </c>
      <c r="R10" s="9">
        <f>+SUMIFS('Gider Miktar'!AA:AA,'Gider Miktar'!$B:$B,'Emanet Miktar Dağılım'!$D10,'Gider Miktar'!$F:$F,1001)+SUMIFS('Gider Miktar'!AA:AA,'Gider Miktar'!$B:$B,'Emanet Miktar Dağılım'!$D10,'Gider Miktar'!$F:$F,1002)+SUMIFS('Gider Miktar'!AA:AA,'Gider Miktar'!$B:$B,'Emanet Miktar Dağılım'!$D10,'Gider Miktar'!$F:$F,1003)+SUMIFS('Gider Miktar'!AA:AA,'Gider Miktar'!$B:$B,'Emanet Miktar Dağılım'!$D10,'Gider Miktar'!$F:$F,1004)</f>
        <v>226.47389945576919</v>
      </c>
      <c r="S10" s="9">
        <f>+SUMIFS('Gider Miktar'!AB:AB,'Gider Miktar'!$B:$B,'Emanet Miktar Dağılım'!$D10,'Gider Miktar'!$F:$F,1001)+SUMIFS('Gider Miktar'!AB:AB,'Gider Miktar'!$B:$B,'Emanet Miktar Dağılım'!$D10,'Gider Miktar'!$F:$F,1002)+SUMIFS('Gider Miktar'!AB:AB,'Gider Miktar'!$B:$B,'Emanet Miktar Dağılım'!$D10,'Gider Miktar'!$F:$F,1003)+SUMIFS('Gider Miktar'!AB:AB,'Gider Miktar'!$B:$B,'Emanet Miktar Dağılım'!$D10,'Gider Miktar'!$F:$F,1004)</f>
        <v>158.89428048306809</v>
      </c>
      <c r="T10" s="9">
        <f>+SUMIFS('Gider Miktar'!AC:AC,'Gider Miktar'!$B:$B,'Emanet Miktar Dağılım'!$D10,'Gider Miktar'!$F:$F,1001)+SUMIFS('Gider Miktar'!AC:AC,'Gider Miktar'!$B:$B,'Emanet Miktar Dağılım'!$D10,'Gider Miktar'!$F:$F,1002)+SUMIFS('Gider Miktar'!AC:AC,'Gider Miktar'!$B:$B,'Emanet Miktar Dağılım'!$D10,'Gider Miktar'!$F:$F,1003)+SUMIFS('Gider Miktar'!AC:AC,'Gider Miktar'!$B:$B,'Emanet Miktar Dağılım'!$D10,'Gider Miktar'!$F:$F,1004)</f>
        <v>203.11778077858452</v>
      </c>
      <c r="U10" s="9">
        <f>+SUMIFS('Gider Miktar'!AD:AD,'Gider Miktar'!$B:$B,'Emanet Miktar Dağılım'!$D10,'Gider Miktar'!$F:$F,1001)+SUMIFS('Gider Miktar'!AD:AD,'Gider Miktar'!$B:$B,'Emanet Miktar Dağılım'!$D10,'Gider Miktar'!$F:$F,1002)+SUMIFS('Gider Miktar'!AD:AD,'Gider Miktar'!$B:$B,'Emanet Miktar Dağılım'!$D10,'Gider Miktar'!$F:$F,1003)+SUMIFS('Gider Miktar'!AD:AD,'Gider Miktar'!$B:$B,'Emanet Miktar Dağılım'!$D10,'Gider Miktar'!$F:$F,1004)</f>
        <v>437.71233310318689</v>
      </c>
      <c r="V10" s="9">
        <f>+SUMIFS('Gider Miktar'!AE:AE,'Gider Miktar'!$B:$B,'Emanet Miktar Dağılım'!$D10,'Gider Miktar'!$F:$F,1001)+SUMIFS('Gider Miktar'!AE:AE,'Gider Miktar'!$B:$B,'Emanet Miktar Dağılım'!$D10,'Gider Miktar'!$F:$F,1002)+SUMIFS('Gider Miktar'!AE:AE,'Gider Miktar'!$B:$B,'Emanet Miktar Dağılım'!$D10,'Gider Miktar'!$F:$F,1003)+SUMIFS('Gider Miktar'!AE:AE,'Gider Miktar'!$B:$B,'Emanet Miktar Dağılım'!$D10,'Gider Miktar'!$F:$F,1004)</f>
        <v>386.62107075465076</v>
      </c>
      <c r="W10" s="9">
        <f>+SUMIFS('Gider Miktar'!AF:AF,'Gider Miktar'!$B:$B,'Emanet Miktar Dağılım'!$D10,'Gider Miktar'!$F:$F,1001)+SUMIFS('Gider Miktar'!AF:AF,'Gider Miktar'!$B:$B,'Emanet Miktar Dağılım'!$D10,'Gider Miktar'!$F:$F,1002)+SUMIFS('Gider Miktar'!AF:AF,'Gider Miktar'!$B:$B,'Emanet Miktar Dağılım'!$D10,'Gider Miktar'!$F:$F,1003)+SUMIFS('Gider Miktar'!AF:AF,'Gider Miktar'!$B:$B,'Emanet Miktar Dağılım'!$D10,'Gider Miktar'!$F:$F,1004)</f>
        <v>331.86572915630023</v>
      </c>
      <c r="X10" s="9">
        <f>+SUMIFS('Gider Miktar'!AG:AG,'Gider Miktar'!$B:$B,'Emanet Miktar Dağılım'!$D10,'Gider Miktar'!$F:$F,1001)+SUMIFS('Gider Miktar'!AG:AG,'Gider Miktar'!$B:$B,'Emanet Miktar Dağılım'!$D10,'Gider Miktar'!$F:$F,1002)+SUMIFS('Gider Miktar'!AG:AG,'Gider Miktar'!$B:$B,'Emanet Miktar Dağılım'!$D10,'Gider Miktar'!$F:$F,1003)+SUMIFS('Gider Miktar'!AG:AG,'Gider Miktar'!$B:$B,'Emanet Miktar Dağılım'!$D10,'Gider Miktar'!$F:$F,1004)</f>
        <v>373.06946678764103</v>
      </c>
      <c r="Y10" s="9">
        <f>+SUMIFS('Gider Miktar'!AH:AH,'Gider Miktar'!$B:$B,'Emanet Miktar Dağılım'!$D10,'Gider Miktar'!$F:$F,1001)+SUMIFS('Gider Miktar'!AH:AH,'Gider Miktar'!$B:$B,'Emanet Miktar Dağılım'!$D10,'Gider Miktar'!$F:$F,1002)+SUMIFS('Gider Miktar'!AH:AH,'Gider Miktar'!$B:$B,'Emanet Miktar Dağılım'!$D10,'Gider Miktar'!$F:$F,1003)+SUMIFS('Gider Miktar'!AH:AH,'Gider Miktar'!$B:$B,'Emanet Miktar Dağılım'!$D10,'Gider Miktar'!$F:$F,1004)</f>
        <v>373.06946678764103</v>
      </c>
      <c r="Z10" s="9">
        <f>+SUMIFS('Gider Miktar'!AI:AI,'Gider Miktar'!$B:$B,'Emanet Miktar Dağılım'!$D10,'Gider Miktar'!$F:$F,1001)+SUMIFS('Gider Miktar'!AI:AI,'Gider Miktar'!$B:$B,'Emanet Miktar Dağılım'!$D10,'Gider Miktar'!$F:$F,1002)+SUMIFS('Gider Miktar'!AI:AI,'Gider Miktar'!$B:$B,'Emanet Miktar Dağılım'!$D10,'Gider Miktar'!$F:$F,1003)+SUMIFS('Gider Miktar'!AI:AI,'Gider Miktar'!$B:$B,'Emanet Miktar Dağılım'!$D10,'Gider Miktar'!$F:$F,1004)</f>
        <v>318.3141251892896</v>
      </c>
      <c r="AA10" s="9">
        <f>+SUMIFS('Gider Miktar'!AJ:AJ,'Gider Miktar'!$B:$B,'Emanet Miktar Dağılım'!$D10,'Gider Miktar'!$F:$F,1001)+SUMIFS('Gider Miktar'!AJ:AJ,'Gider Miktar'!$B:$B,'Emanet Miktar Dağılım'!$D10,'Gider Miktar'!$F:$F,1002)+SUMIFS('Gider Miktar'!AJ:AJ,'Gider Miktar'!$B:$B,'Emanet Miktar Dağılım'!$D10,'Gider Miktar'!$F:$F,1003)+SUMIFS('Gider Miktar'!AJ:AJ,'Gider Miktar'!$B:$B,'Emanet Miktar Dağılım'!$D10,'Gider Miktar'!$F:$F,1004)</f>
        <v>318.3141251892896</v>
      </c>
      <c r="AB10" s="9">
        <f>+SUMIFS('Gider Miktar'!AK:AK,'Gider Miktar'!$B:$B,'Emanet Miktar Dağılım'!$D10,'Gider Miktar'!$F:$F,1001)+SUMIFS('Gider Miktar'!AK:AK,'Gider Miktar'!$B:$B,'Emanet Miktar Dağılım'!$D10,'Gider Miktar'!$F:$F,1002)+SUMIFS('Gider Miktar'!AK:AK,'Gider Miktar'!$B:$B,'Emanet Miktar Dağılım'!$D10,'Gider Miktar'!$F:$F,1003)+SUMIFS('Gider Miktar'!AK:AK,'Gider Miktar'!$B:$B,'Emanet Miktar Dağılım'!$D10,'Gider Miktar'!$F:$F,1004)</f>
        <v>300.38259350259602</v>
      </c>
      <c r="AC10" s="9">
        <f>+SUMIFS('Gider Miktar'!AL:AL,'Gider Miktar'!$B:$B,'Emanet Miktar Dağılım'!$D10,'Gider Miktar'!$F:$F,1001)+SUMIFS('Gider Miktar'!AL:AL,'Gider Miktar'!$B:$B,'Emanet Miktar Dağılım'!$D10,'Gider Miktar'!$F:$F,1002)+SUMIFS('Gider Miktar'!AL:AL,'Gider Miktar'!$B:$B,'Emanet Miktar Dağılım'!$D10,'Gider Miktar'!$F:$F,1003)+SUMIFS('Gider Miktar'!AL:AL,'Gider Miktar'!$B:$B,'Emanet Miktar Dağılım'!$D10,'Gider Miktar'!$F:$F,1004)</f>
        <v>300.38259350259602</v>
      </c>
      <c r="AD10" s="9">
        <f>+SUMIFS('Gider Miktar'!AM:AM,'Gider Miktar'!$B:$B,'Emanet Miktar Dağılım'!$D10,'Gider Miktar'!$F:$F,1001)+SUMIFS('Gider Miktar'!AM:AM,'Gider Miktar'!$B:$B,'Emanet Miktar Dağılım'!$D10,'Gider Miktar'!$F:$F,1002)+SUMIFS('Gider Miktar'!AM:AM,'Gider Miktar'!$B:$B,'Emanet Miktar Dağılım'!$D10,'Gider Miktar'!$F:$F,1003)+SUMIFS('Gider Miktar'!AM:AM,'Gider Miktar'!$B:$B,'Emanet Miktar Dağılım'!$D10,'Gider Miktar'!$F:$F,1004)</f>
        <v>283.78616712527673</v>
      </c>
      <c r="AE10" s="9">
        <f>+SUMIFS('Gider Miktar'!AN:AN,'Gider Miktar'!$B:$B,'Emanet Miktar Dağılım'!$D10,'Gider Miktar'!$F:$F,1001)+SUMIFS('Gider Miktar'!AN:AN,'Gider Miktar'!$B:$B,'Emanet Miktar Dağılım'!$D10,'Gider Miktar'!$F:$F,1002)+SUMIFS('Gider Miktar'!AN:AN,'Gider Miktar'!$B:$B,'Emanet Miktar Dağılım'!$D10,'Gider Miktar'!$F:$F,1003)+SUMIFS('Gider Miktar'!AN:AN,'Gider Miktar'!$B:$B,'Emanet Miktar Dağılım'!$D10,'Gider Miktar'!$F:$F,1004)</f>
        <v>216.20654815257473</v>
      </c>
      <c r="AF10" s="9">
        <f>+SUMIFS('Gider Miktar'!AO:AO,'Gider Miktar'!$B:$B,'Emanet Miktar Dağılım'!$D10,'Gider Miktar'!$F:$F,1001)+SUMIFS('Gider Miktar'!AO:AO,'Gider Miktar'!$B:$B,'Emanet Miktar Dağılım'!$D10,'Gider Miktar'!$F:$F,1002)+SUMIFS('Gider Miktar'!AO:AO,'Gider Miktar'!$B:$B,'Emanet Miktar Dağılım'!$D10,'Gider Miktar'!$F:$F,1003)+SUMIFS('Gider Miktar'!AO:AO,'Gider Miktar'!$B:$B,'Emanet Miktar Dağılım'!$D10,'Gider Miktar'!$F:$F,1004)</f>
        <v>225.02887391314169</v>
      </c>
      <c r="AG10" s="9">
        <f>+SUMIFS('Gider Miktar'!AP:AP,'Gider Miktar'!$B:$B,'Emanet Miktar Dağılım'!$D10,'Gider Miktar'!$F:$F,1001)+SUMIFS('Gider Miktar'!AP:AP,'Gider Miktar'!$B:$B,'Emanet Miktar Dağılım'!$D10,'Gider Miktar'!$F:$F,1002)+SUMIFS('Gider Miktar'!AP:AP,'Gider Miktar'!$B:$B,'Emanet Miktar Dağılım'!$D10,'Gider Miktar'!$F:$F,1003)+SUMIFS('Gider Miktar'!AP:AP,'Gider Miktar'!$B:$B,'Emanet Miktar Dağılım'!$D10,'Gider Miktar'!$F:$F,1004)</f>
        <v>414.94345345689447</v>
      </c>
      <c r="AH10" s="9">
        <f>+SUMIFS('Gider Miktar'!AQ:AQ,'Gider Miktar'!$B:$B,'Emanet Miktar Dağılım'!$D10,'Gider Miktar'!$F:$F,1001)+SUMIFS('Gider Miktar'!AQ:AQ,'Gider Miktar'!$B:$B,'Emanet Miktar Dağılım'!$D10,'Gider Miktar'!$F:$F,1002)+SUMIFS('Gider Miktar'!AQ:AQ,'Gider Miktar'!$B:$B,'Emanet Miktar Dağılım'!$D10,'Gider Miktar'!$F:$F,1003)+SUMIFS('Gider Miktar'!AQ:AQ,'Gider Miktar'!$B:$B,'Emanet Miktar Dağılım'!$D10,'Gider Miktar'!$F:$F,1004)</f>
        <v>469.698795055245</v>
      </c>
      <c r="AI10" s="9">
        <f>+SUMIFS('Gider Miktar'!AR:AR,'Gider Miktar'!$B:$B,'Emanet Miktar Dağılım'!$D10,'Gider Miktar'!$F:$F,1001)+SUMIFS('Gider Miktar'!AR:AR,'Gider Miktar'!$B:$B,'Emanet Miktar Dağılım'!$D10,'Gider Miktar'!$F:$F,1002)+SUMIFS('Gider Miktar'!AR:AR,'Gider Miktar'!$B:$B,'Emanet Miktar Dağılım'!$D10,'Gider Miktar'!$F:$F,1003)+SUMIFS('Gider Miktar'!AR:AR,'Gider Miktar'!$B:$B,'Emanet Miktar Dağılım'!$D10,'Gider Miktar'!$F:$F,1004)</f>
        <v>469.698795055245</v>
      </c>
      <c r="AJ10" s="9">
        <f>+SUMIFS('Gider Miktar'!AS:AS,'Gider Miktar'!$B:$B,'Emanet Miktar Dağılım'!$D10,'Gider Miktar'!$F:$F,1001)+SUMIFS('Gider Miktar'!AS:AS,'Gider Miktar'!$B:$B,'Emanet Miktar Dağılım'!$D10,'Gider Miktar'!$F:$F,1002)+SUMIFS('Gider Miktar'!AS:AS,'Gider Miktar'!$B:$B,'Emanet Miktar Dağılım'!$D10,'Gider Miktar'!$F:$F,1003)+SUMIFS('Gider Miktar'!AS:AS,'Gider Miktar'!$B:$B,'Emanet Miktar Dağılım'!$D10,'Gider Miktar'!$F:$F,1004)</f>
        <v>469.698795055245</v>
      </c>
      <c r="AK10" s="9">
        <f>+SUMIFS('Gider Miktar'!AT:AT,'Gider Miktar'!$B:$B,'Emanet Miktar Dağılım'!$D10,'Gider Miktar'!$F:$F,1001)+SUMIFS('Gider Miktar'!AT:AT,'Gider Miktar'!$B:$B,'Emanet Miktar Dağılım'!$D10,'Gider Miktar'!$F:$F,1002)+SUMIFS('Gider Miktar'!AT:AT,'Gider Miktar'!$B:$B,'Emanet Miktar Dağılım'!$D10,'Gider Miktar'!$F:$F,1003)+SUMIFS('Gider Miktar'!AT:AT,'Gider Miktar'!$B:$B,'Emanet Miktar Dağılım'!$D10,'Gider Miktar'!$F:$F,1004)</f>
        <v>414.94345345689447</v>
      </c>
      <c r="AL10" s="9">
        <f>+SUMIFS('Gider Miktar'!AU:AU,'Gider Miktar'!$B:$B,'Emanet Miktar Dağılım'!$D10,'Gider Miktar'!$F:$F,1001)+SUMIFS('Gider Miktar'!AU:AU,'Gider Miktar'!$B:$B,'Emanet Miktar Dağılım'!$D10,'Gider Miktar'!$F:$F,1002)+SUMIFS('Gider Miktar'!AU:AU,'Gider Miktar'!$B:$B,'Emanet Miktar Dağılım'!$D10,'Gider Miktar'!$F:$F,1003)+SUMIFS('Gider Miktar'!AU:AU,'Gider Miktar'!$B:$B,'Emanet Miktar Dağılım'!$D10,'Gider Miktar'!$F:$F,1004)</f>
        <v>360.188111858544</v>
      </c>
      <c r="AM10" s="9">
        <f>+SUMIFS('Gider Miktar'!AV:AV,'Gider Miktar'!$B:$B,'Emanet Miktar Dağılım'!$D10,'Gider Miktar'!$F:$F,1001)+SUMIFS('Gider Miktar'!AV:AV,'Gider Miktar'!$B:$B,'Emanet Miktar Dağılım'!$D10,'Gider Miktar'!$F:$F,1002)+SUMIFS('Gider Miktar'!AV:AV,'Gider Miktar'!$B:$B,'Emanet Miktar Dağılım'!$D10,'Gider Miktar'!$F:$F,1003)+SUMIFS('Gider Miktar'!AV:AV,'Gider Miktar'!$B:$B,'Emanet Miktar Dağılım'!$D10,'Gider Miktar'!$F:$F,1004)</f>
        <v>360.188111858544</v>
      </c>
      <c r="AN10" s="9">
        <f>+SUMIFS('Gider Miktar'!AW:AW,'Gider Miktar'!$B:$B,'Emanet Miktar Dağılım'!$D10,'Gider Miktar'!$F:$F,1001)+SUMIFS('Gider Miktar'!AW:AW,'Gider Miktar'!$B:$B,'Emanet Miktar Dağılım'!$D10,'Gider Miktar'!$F:$F,1002)+SUMIFS('Gider Miktar'!AW:AW,'Gider Miktar'!$B:$B,'Emanet Miktar Dağılım'!$D10,'Gider Miktar'!$F:$F,1003)+SUMIFS('Gider Miktar'!AW:AW,'Gider Miktar'!$B:$B,'Emanet Miktar Dağılım'!$D10,'Gider Miktar'!$F:$F,1004)</f>
        <v>270.31847589080439</v>
      </c>
      <c r="AO10" s="9">
        <f>+SUMIFS('Gider Miktar'!AX:AX,'Gider Miktar'!$B:$B,'Emanet Miktar Dağılım'!$D10,'Gider Miktar'!$F:$F,1001)+SUMIFS('Gider Miktar'!AX:AX,'Gider Miktar'!$B:$B,'Emanet Miktar Dağılım'!$D10,'Gider Miktar'!$F:$F,1002)+SUMIFS('Gider Miktar'!AX:AX,'Gider Miktar'!$B:$B,'Emanet Miktar Dağılım'!$D10,'Gider Miktar'!$F:$F,1003)+SUMIFS('Gider Miktar'!AX:AX,'Gider Miktar'!$B:$B,'Emanet Miktar Dağılım'!$D10,'Gider Miktar'!$F:$F,1004)</f>
        <v>336.02488580882545</v>
      </c>
      <c r="AP10" s="9">
        <f>+SUMIFS('Gider Miktar'!AY:AY,'Gider Miktar'!$B:$B,'Emanet Miktar Dağılım'!$D10,'Gider Miktar'!$F:$F,1001)+SUMIFS('Gider Miktar'!AY:AY,'Gider Miktar'!$B:$B,'Emanet Miktar Dağılım'!$D10,'Gider Miktar'!$F:$F,1002)+SUMIFS('Gider Miktar'!AY:AY,'Gider Miktar'!$B:$B,'Emanet Miktar Dağılım'!$D10,'Gider Miktar'!$F:$F,1003)+SUMIFS('Gider Miktar'!AY:AY,'Gider Miktar'!$B:$B,'Emanet Miktar Dağılım'!$D10,'Gider Miktar'!$F:$F,1004)</f>
        <v>336.02488580882545</v>
      </c>
      <c r="AQ10" s="9">
        <f>+SUMIFS('Gider Miktar'!AZ:AZ,'Gider Miktar'!$B:$B,'Emanet Miktar Dağılım'!$D10,'Gider Miktar'!$F:$F,1001)+SUMIFS('Gider Miktar'!AZ:AZ,'Gider Miktar'!$B:$B,'Emanet Miktar Dağılım'!$D10,'Gider Miktar'!$F:$F,1002)+SUMIFS('Gider Miktar'!AZ:AZ,'Gider Miktar'!$B:$B,'Emanet Miktar Dağılım'!$D10,'Gider Miktar'!$F:$F,1003)+SUMIFS('Gider Miktar'!AZ:AZ,'Gider Miktar'!$B:$B,'Emanet Miktar Dağılım'!$D10,'Gider Miktar'!$F:$F,1004)</f>
        <v>270.31847589080439</v>
      </c>
      <c r="AR10" s="9">
        <f>+SUMIFS('Gider Miktar'!BA:BA,'Gider Miktar'!$B:$B,'Emanet Miktar Dağılım'!$D10,'Gider Miktar'!$F:$F,1001)+SUMIFS('Gider Miktar'!BA:BA,'Gider Miktar'!$B:$B,'Emanet Miktar Dağılım'!$D10,'Gider Miktar'!$F:$F,1002)+SUMIFS('Gider Miktar'!BA:BA,'Gider Miktar'!$B:$B,'Emanet Miktar Dağılım'!$D10,'Gider Miktar'!$F:$F,1003)+SUMIFS('Gider Miktar'!BA:BA,'Gider Miktar'!$B:$B,'Emanet Miktar Dağılım'!$D10,'Gider Miktar'!$F:$F,1004)</f>
        <v>0</v>
      </c>
      <c r="AS10" s="9">
        <f>+SUMIFS('Gider Miktar'!BB:BB,'Gider Miktar'!$B:$B,'Emanet Miktar Dağılım'!$D10,'Gider Miktar'!$F:$F,1001)+SUMIFS('Gider Miktar'!BB:BB,'Gider Miktar'!$B:$B,'Emanet Miktar Dağılım'!$D10,'Gider Miktar'!$F:$F,1002)+SUMIFS('Gider Miktar'!BB:BB,'Gider Miktar'!$B:$B,'Emanet Miktar Dağılım'!$D10,'Gider Miktar'!$F:$F,1003)+SUMIFS('Gider Miktar'!BB:BB,'Gider Miktar'!$B:$B,'Emanet Miktar Dağılım'!$D10,'Gider Miktar'!$F:$F,1004)</f>
        <v>0</v>
      </c>
      <c r="AT10" s="9">
        <f>+SUMIFS('Gider Miktar'!BC:BC,'Gider Miktar'!$B:$B,'Emanet Miktar Dağılım'!$D10,'Gider Miktar'!$F:$F,1001)+SUMIFS('Gider Miktar'!BC:BC,'Gider Miktar'!$B:$B,'Emanet Miktar Dağılım'!$D10,'Gider Miktar'!$F:$F,1002)+SUMIFS('Gider Miktar'!BC:BC,'Gider Miktar'!$B:$B,'Emanet Miktar Dağılım'!$D10,'Gider Miktar'!$F:$F,1003)+SUMIFS('Gider Miktar'!BC:BC,'Gider Miktar'!$B:$B,'Emanet Miktar Dağılım'!$D10,'Gider Miktar'!$F:$F,1004)</f>
        <v>0</v>
      </c>
      <c r="AU10" s="9">
        <f>+SUMIFS('Gider Miktar'!BD:BD,'Gider Miktar'!$B:$B,'Emanet Miktar Dağılım'!$D10,'Gider Miktar'!$F:$F,1001)+SUMIFS('Gider Miktar'!BD:BD,'Gider Miktar'!$B:$B,'Emanet Miktar Dağılım'!$D10,'Gider Miktar'!$F:$F,1002)+SUMIFS('Gider Miktar'!BD:BD,'Gider Miktar'!$B:$B,'Emanet Miktar Dağılım'!$D10,'Gider Miktar'!$F:$F,1003)+SUMIFS('Gider Miktar'!BD:BD,'Gider Miktar'!$B:$B,'Emanet Miktar Dağılım'!$D10,'Gider Miktar'!$F:$F,1004)</f>
        <v>0</v>
      </c>
      <c r="AV10" s="9">
        <f>+SUMIFS('Gider Miktar'!BE:BE,'Gider Miktar'!$B:$B,'Emanet Miktar Dağılım'!$D10,'Gider Miktar'!$F:$F,1001)+SUMIFS('Gider Miktar'!BE:BE,'Gider Miktar'!$B:$B,'Emanet Miktar Dağılım'!$D10,'Gider Miktar'!$F:$F,1002)+SUMIFS('Gider Miktar'!BE:BE,'Gider Miktar'!$B:$B,'Emanet Miktar Dağılım'!$D10,'Gider Miktar'!$F:$F,1003)+SUMIFS('Gider Miktar'!BE:BE,'Gider Miktar'!$B:$B,'Emanet Miktar Dağılım'!$D10,'Gider Miktar'!$F:$F,1004)</f>
        <v>0</v>
      </c>
      <c r="AW10" s="9">
        <f>+SUMIFS('Gider Miktar'!BF:BF,'Gider Miktar'!$B:$B,'Emanet Miktar Dağılım'!$D10,'Gider Miktar'!$F:$F,1001)+SUMIFS('Gider Miktar'!BF:BF,'Gider Miktar'!$B:$B,'Emanet Miktar Dağılım'!$D10,'Gider Miktar'!$F:$F,1002)+SUMIFS('Gider Miktar'!BF:BF,'Gider Miktar'!$B:$B,'Emanet Miktar Dağılım'!$D10,'Gider Miktar'!$F:$F,1003)+SUMIFS('Gider Miktar'!BF:BF,'Gider Miktar'!$B:$B,'Emanet Miktar Dağılım'!$D10,'Gider Miktar'!$F:$F,1004)</f>
        <v>0</v>
      </c>
      <c r="AX10" s="9">
        <f>+SUMIFS('Gider Miktar'!BG:BG,'Gider Miktar'!$B:$B,'Emanet Miktar Dağılım'!$D10,'Gider Miktar'!$F:$F,1001)+SUMIFS('Gider Miktar'!BG:BG,'Gider Miktar'!$B:$B,'Emanet Miktar Dağılım'!$D10,'Gider Miktar'!$F:$F,1002)+SUMIFS('Gider Miktar'!BG:BG,'Gider Miktar'!$B:$B,'Emanet Miktar Dağılım'!$D10,'Gider Miktar'!$F:$F,1003)+SUMIFS('Gider Miktar'!BG:BG,'Gider Miktar'!$B:$B,'Emanet Miktar Dağılım'!$D10,'Gider Miktar'!$F:$F,1004)</f>
        <v>0</v>
      </c>
      <c r="AY10" s="9">
        <f>+SUMIFS('Gider Miktar'!BH:BH,'Gider Miktar'!$B:$B,'Emanet Miktar Dağılım'!$D10,'Gider Miktar'!$F:$F,1001)+SUMIFS('Gider Miktar'!BH:BH,'Gider Miktar'!$B:$B,'Emanet Miktar Dağılım'!$D10,'Gider Miktar'!$F:$F,1002)+SUMIFS('Gider Miktar'!BH:BH,'Gider Miktar'!$B:$B,'Emanet Miktar Dağılım'!$D10,'Gider Miktar'!$F:$F,1003)+SUMIFS('Gider Miktar'!BH:BH,'Gider Miktar'!$B:$B,'Emanet Miktar Dağılım'!$D10,'Gider Miktar'!$F:$F,1004)</f>
        <v>0</v>
      </c>
      <c r="AZ10" s="9">
        <f>+SUMIFS('Gider Miktar'!BI:BI,'Gider Miktar'!$B:$B,'Emanet Miktar Dağılım'!$D10,'Gider Miktar'!$F:$F,1001)+SUMIFS('Gider Miktar'!BI:BI,'Gider Miktar'!$B:$B,'Emanet Miktar Dağılım'!$D10,'Gider Miktar'!$F:$F,1002)+SUMIFS('Gider Miktar'!BI:BI,'Gider Miktar'!$B:$B,'Emanet Miktar Dağılım'!$D10,'Gider Miktar'!$F:$F,1003)+SUMIFS('Gider Miktar'!BI:BI,'Gider Miktar'!$B:$B,'Emanet Miktar Dağılım'!$D10,'Gider Miktar'!$F:$F,1004)</f>
        <v>0</v>
      </c>
      <c r="BA10" s="9">
        <f>+SUMIFS('Gider Miktar'!BJ:BJ,'Gider Miktar'!$B:$B,'Emanet Miktar Dağılım'!$D10,'Gider Miktar'!$F:$F,1001)+SUMIFS('Gider Miktar'!BJ:BJ,'Gider Miktar'!$B:$B,'Emanet Miktar Dağılım'!$D10,'Gider Miktar'!$F:$F,1002)+SUMIFS('Gider Miktar'!BJ:BJ,'Gider Miktar'!$B:$B,'Emanet Miktar Dağılım'!$D10,'Gider Miktar'!$F:$F,1003)+SUMIFS('Gider Miktar'!BJ:BJ,'Gider Miktar'!$B:$B,'Emanet Miktar Dağılım'!$D10,'Gider Miktar'!$F:$F,1004)</f>
        <v>0</v>
      </c>
      <c r="BB10" s="9">
        <f>+SUMIFS('Gider Miktar'!BK:BK,'Gider Miktar'!$B:$B,'Emanet Miktar Dağılım'!$D10,'Gider Miktar'!$F:$F,1001)+SUMIFS('Gider Miktar'!BK:BK,'Gider Miktar'!$B:$B,'Emanet Miktar Dağılım'!$D10,'Gider Miktar'!$F:$F,1002)+SUMIFS('Gider Miktar'!BK:BK,'Gider Miktar'!$B:$B,'Emanet Miktar Dağılım'!$D10,'Gider Miktar'!$F:$F,1003)+SUMIFS('Gider Miktar'!BK:BK,'Gider Miktar'!$B:$B,'Emanet Miktar Dağılım'!$D10,'Gider Miktar'!$F:$F,1004)</f>
        <v>0</v>
      </c>
      <c r="BC10" s="9">
        <f>+SUMIFS('Gider Miktar'!BL:BL,'Gider Miktar'!$B:$B,'Emanet Miktar Dağılım'!$D10,'Gider Miktar'!$F:$F,1001)+SUMIFS('Gider Miktar'!BL:BL,'Gider Miktar'!$B:$B,'Emanet Miktar Dağılım'!$D10,'Gider Miktar'!$F:$F,1002)+SUMIFS('Gider Miktar'!BL:BL,'Gider Miktar'!$B:$B,'Emanet Miktar Dağılım'!$D10,'Gider Miktar'!$F:$F,1003)+SUMIFS('Gider Miktar'!BL:BL,'Gider Miktar'!$B:$B,'Emanet Miktar Dağılım'!$D10,'Gider Miktar'!$F:$F,1004)</f>
        <v>0</v>
      </c>
      <c r="BD10" s="9">
        <f>+SUMIFS('Gider Miktar'!BM:BM,'Gider Miktar'!$B:$B,'Emanet Miktar Dağılım'!$D10,'Gider Miktar'!$F:$F,1001)+SUMIFS('Gider Miktar'!BM:BM,'Gider Miktar'!$B:$B,'Emanet Miktar Dağılım'!$D10,'Gider Miktar'!$F:$F,1002)+SUMIFS('Gider Miktar'!BM:BM,'Gider Miktar'!$B:$B,'Emanet Miktar Dağılım'!$D10,'Gider Miktar'!$F:$F,1003)+SUMIFS('Gider Miktar'!BM:BM,'Gider Miktar'!$B:$B,'Emanet Miktar Dağılım'!$D10,'Gider Miktar'!$F:$F,1004)</f>
        <v>0</v>
      </c>
      <c r="BE10" s="9">
        <f>+SUMIFS('Gider Miktar'!BN:BN,'Gider Miktar'!$B:$B,'Emanet Miktar Dağılım'!$D10,'Gider Miktar'!$F:$F,1001)+SUMIFS('Gider Miktar'!BN:BN,'Gider Miktar'!$B:$B,'Emanet Miktar Dağılım'!$D10,'Gider Miktar'!$F:$F,1002)+SUMIFS('Gider Miktar'!BN:BN,'Gider Miktar'!$B:$B,'Emanet Miktar Dağılım'!$D10,'Gider Miktar'!$F:$F,1003)+SUMIFS('Gider Miktar'!BN:BN,'Gider Miktar'!$B:$B,'Emanet Miktar Dağılım'!$D10,'Gider Miktar'!$F:$F,1004)</f>
        <v>0</v>
      </c>
      <c r="BF10" s="9">
        <f>+SUMIFS('Gider Miktar'!BO:BO,'Gider Miktar'!$B:$B,'Emanet Miktar Dağılım'!$D10,'Gider Miktar'!$F:$F,1001)+SUMIFS('Gider Miktar'!BO:BO,'Gider Miktar'!$B:$B,'Emanet Miktar Dağılım'!$D10,'Gider Miktar'!$F:$F,1002)+SUMIFS('Gider Miktar'!BO:BO,'Gider Miktar'!$B:$B,'Emanet Miktar Dağılım'!$D10,'Gider Miktar'!$F:$F,1003)+SUMIFS('Gider Miktar'!BO:BO,'Gider Miktar'!$B:$B,'Emanet Miktar Dağılım'!$D10,'Gider Miktar'!$F:$F,1004)</f>
        <v>0</v>
      </c>
      <c r="BG10" s="9">
        <f>+SUMIFS('Gider Miktar'!BP:BP,'Gider Miktar'!$B:$B,'Emanet Miktar Dağılım'!$D10,'Gider Miktar'!$F:$F,1001)+SUMIFS('Gider Miktar'!BP:BP,'Gider Miktar'!$B:$B,'Emanet Miktar Dağılım'!$D10,'Gider Miktar'!$F:$F,1002)+SUMIFS('Gider Miktar'!BP:BP,'Gider Miktar'!$B:$B,'Emanet Miktar Dağılım'!$D10,'Gider Miktar'!$F:$F,1003)+SUMIFS('Gider Miktar'!BP:BP,'Gider Miktar'!$B:$B,'Emanet Miktar Dağılım'!$D10,'Gider Miktar'!$F:$F,1004)</f>
        <v>0</v>
      </c>
      <c r="BH10" s="9">
        <f>+SUMIFS('Gider Miktar'!BQ:BQ,'Gider Miktar'!$B:$B,'Emanet Miktar Dağılım'!$D10,'Gider Miktar'!$F:$F,1001)+SUMIFS('Gider Miktar'!BQ:BQ,'Gider Miktar'!$B:$B,'Emanet Miktar Dağılım'!$D10,'Gider Miktar'!$F:$F,1002)+SUMIFS('Gider Miktar'!BQ:BQ,'Gider Miktar'!$B:$B,'Emanet Miktar Dağılım'!$D10,'Gider Miktar'!$F:$F,1003)+SUMIFS('Gider Miktar'!BQ:BQ,'Gider Miktar'!$B:$B,'Emanet Miktar Dağılım'!$D10,'Gider Miktar'!$F:$F,1004)</f>
        <v>0</v>
      </c>
      <c r="BI10" s="9">
        <f>+SUMIFS('Gider Miktar'!BR:BR,'Gider Miktar'!$B:$B,'Emanet Miktar Dağılım'!$D10,'Gider Miktar'!$F:$F,1001)+SUMIFS('Gider Miktar'!BR:BR,'Gider Miktar'!$B:$B,'Emanet Miktar Dağılım'!$D10,'Gider Miktar'!$F:$F,1002)+SUMIFS('Gider Miktar'!BR:BR,'Gider Miktar'!$B:$B,'Emanet Miktar Dağılım'!$D10,'Gider Miktar'!$F:$F,1003)+SUMIFS('Gider Miktar'!BR:BR,'Gider Miktar'!$B:$B,'Emanet Miktar Dağılım'!$D10,'Gider Miktar'!$F:$F,1004)</f>
        <v>0</v>
      </c>
      <c r="BJ10" s="9">
        <f>+SUMIFS('Gider Miktar'!BS:BS,'Gider Miktar'!$B:$B,'Emanet Miktar Dağılım'!$D10,'Gider Miktar'!$F:$F,1001)+SUMIFS('Gider Miktar'!BS:BS,'Gider Miktar'!$B:$B,'Emanet Miktar Dağılım'!$D10,'Gider Miktar'!$F:$F,1002)+SUMIFS('Gider Miktar'!BS:BS,'Gider Miktar'!$B:$B,'Emanet Miktar Dağılım'!$D10,'Gider Miktar'!$F:$F,1003)+SUMIFS('Gider Miktar'!BS:BS,'Gider Miktar'!$B:$B,'Emanet Miktar Dağılım'!$D10,'Gider Miktar'!$F:$F,1004)</f>
        <v>0</v>
      </c>
      <c r="BK10" s="9">
        <f>+SUMIFS('Gider Miktar'!BT:BT,'Gider Miktar'!$B:$B,'Emanet Miktar Dağılım'!$D10,'Gider Miktar'!$F:$F,1001)+SUMIFS('Gider Miktar'!BT:BT,'Gider Miktar'!$B:$B,'Emanet Miktar Dağılım'!$D10,'Gider Miktar'!$F:$F,1002)+SUMIFS('Gider Miktar'!BT:BT,'Gider Miktar'!$B:$B,'Emanet Miktar Dağılım'!$D10,'Gider Miktar'!$F:$F,1003)+SUMIFS('Gider Miktar'!BT:BT,'Gider Miktar'!$B:$B,'Emanet Miktar Dağılım'!$D10,'Gider Miktar'!$F:$F,1004)</f>
        <v>0</v>
      </c>
      <c r="BL10" s="9">
        <f>+SUMIFS('Gider Miktar'!BU:BU,'Gider Miktar'!$B:$B,'Emanet Miktar Dağılım'!$D10,'Gider Miktar'!$F:$F,1001)+SUMIFS('Gider Miktar'!BU:BU,'Gider Miktar'!$B:$B,'Emanet Miktar Dağılım'!$D10,'Gider Miktar'!$F:$F,1002)+SUMIFS('Gider Miktar'!BU:BU,'Gider Miktar'!$B:$B,'Emanet Miktar Dağılım'!$D10,'Gider Miktar'!$F:$F,1003)+SUMIFS('Gider Miktar'!BU:BU,'Gider Miktar'!$B:$B,'Emanet Miktar Dağılım'!$D10,'Gider Miktar'!$F:$F,1004)</f>
        <v>0</v>
      </c>
      <c r="BM10" s="9">
        <f>+SUMIFS('Gider Miktar'!BV:BV,'Gider Miktar'!$B:$B,'Emanet Miktar Dağılım'!$D10,'Gider Miktar'!$F:$F,1001)+SUMIFS('Gider Miktar'!BV:BV,'Gider Miktar'!$B:$B,'Emanet Miktar Dağılım'!$D10,'Gider Miktar'!$F:$F,1002)+SUMIFS('Gider Miktar'!BV:BV,'Gider Miktar'!$B:$B,'Emanet Miktar Dağılım'!$D10,'Gider Miktar'!$F:$F,1003)+SUMIFS('Gider Miktar'!BV:BV,'Gider Miktar'!$B:$B,'Emanet Miktar Dağılım'!$D10,'Gider Miktar'!$F:$F,1004)</f>
        <v>0</v>
      </c>
      <c r="BN10" s="9">
        <f>+SUMIFS('Gider Miktar'!BW:BW,'Gider Miktar'!$B:$B,'Emanet Miktar Dağılım'!$D10,'Gider Miktar'!$F:$F,1001)+SUMIFS('Gider Miktar'!BW:BW,'Gider Miktar'!$B:$B,'Emanet Miktar Dağılım'!$D10,'Gider Miktar'!$F:$F,1002)+SUMIFS('Gider Miktar'!BW:BW,'Gider Miktar'!$B:$B,'Emanet Miktar Dağılım'!$D10,'Gider Miktar'!$F:$F,1003)+SUMIFS('Gider Miktar'!BW:BW,'Gider Miktar'!$B:$B,'Emanet Miktar Dağılım'!$D10,'Gider Miktar'!$F:$F,1004)</f>
        <v>0</v>
      </c>
      <c r="BO10" s="9">
        <f>+SUMIFS('Gider Miktar'!BX:BX,'Gider Miktar'!$B:$B,'Emanet Miktar Dağılım'!$D10,'Gider Miktar'!$F:$F,1001)+SUMIFS('Gider Miktar'!BX:BX,'Gider Miktar'!$B:$B,'Emanet Miktar Dağılım'!$D10,'Gider Miktar'!$F:$F,1002)+SUMIFS('Gider Miktar'!BX:BX,'Gider Miktar'!$B:$B,'Emanet Miktar Dağılım'!$D10,'Gider Miktar'!$F:$F,1003)+SUMIFS('Gider Miktar'!BX:BX,'Gider Miktar'!$B:$B,'Emanet Miktar Dağılım'!$D10,'Gider Miktar'!$F:$F,1004)</f>
        <v>0</v>
      </c>
    </row>
    <row r="11" spans="2:67">
      <c r="D11" t="s">
        <v>13</v>
      </c>
      <c r="E11" s="9">
        <f>+SUMIFS('Gider Miktar'!N:N,'Gider Miktar'!$B:$B,'Emanet Miktar Dağılım'!$D11,'Gider Miktar'!$F:$F,1001)+SUMIFS('Gider Miktar'!N:N,'Gider Miktar'!$B:$B,'Emanet Miktar Dağılım'!$D11,'Gider Miktar'!$F:$F,1002)+SUMIFS('Gider Miktar'!N:N,'Gider Miktar'!$B:$B,'Emanet Miktar Dağılım'!$D11,'Gider Miktar'!$F:$F,1003)+SUMIFS('Gider Miktar'!N:N,'Gider Miktar'!$B:$B,'Emanet Miktar Dağılım'!$D11,'Gider Miktar'!$F:$F,1004)</f>
        <v>0</v>
      </c>
      <c r="F11" s="9">
        <f>+SUMIFS('Gider Miktar'!O:O,'Gider Miktar'!$B:$B,'Emanet Miktar Dağılım'!$D11,'Gider Miktar'!$F:$F,1001)+SUMIFS('Gider Miktar'!O:O,'Gider Miktar'!$B:$B,'Emanet Miktar Dağılım'!$D11,'Gider Miktar'!$F:$F,1002)+SUMIFS('Gider Miktar'!O:O,'Gider Miktar'!$B:$B,'Emanet Miktar Dağılım'!$D11,'Gider Miktar'!$F:$F,1003)+SUMIFS('Gider Miktar'!O:O,'Gider Miktar'!$B:$B,'Emanet Miktar Dağılım'!$D11,'Gider Miktar'!$F:$F,1004)</f>
        <v>0</v>
      </c>
      <c r="G11" s="9">
        <f>+SUMIFS('Gider Miktar'!P:P,'Gider Miktar'!$B:$B,'Emanet Miktar Dağılım'!$D11,'Gider Miktar'!$F:$F,1001)+SUMIFS('Gider Miktar'!P:P,'Gider Miktar'!$B:$B,'Emanet Miktar Dağılım'!$D11,'Gider Miktar'!$F:$F,1002)+SUMIFS('Gider Miktar'!P:P,'Gider Miktar'!$B:$B,'Emanet Miktar Dağılım'!$D11,'Gider Miktar'!$F:$F,1003)+SUMIFS('Gider Miktar'!P:P,'Gider Miktar'!$B:$B,'Emanet Miktar Dağılım'!$D11,'Gider Miktar'!$F:$F,1004)</f>
        <v>86.96</v>
      </c>
      <c r="H11" s="9">
        <f>+SUMIFS('Gider Miktar'!Q:Q,'Gider Miktar'!$B:$B,'Emanet Miktar Dağılım'!$D11,'Gider Miktar'!$F:$F,1001)+SUMIFS('Gider Miktar'!Q:Q,'Gider Miktar'!$B:$B,'Emanet Miktar Dağılım'!$D11,'Gider Miktar'!$F:$F,1002)+SUMIFS('Gider Miktar'!Q:Q,'Gider Miktar'!$B:$B,'Emanet Miktar Dağılım'!$D11,'Gider Miktar'!$F:$F,1003)+SUMIFS('Gider Miktar'!Q:Q,'Gider Miktar'!$B:$B,'Emanet Miktar Dağılım'!$D11,'Gider Miktar'!$F:$F,1004)</f>
        <v>117.205</v>
      </c>
      <c r="I11" s="9">
        <f>+SUMIFS('Gider Miktar'!R:R,'Gider Miktar'!$B:$B,'Emanet Miktar Dağılım'!$D11,'Gider Miktar'!$F:$F,1001)+SUMIFS('Gider Miktar'!R:R,'Gider Miktar'!$B:$B,'Emanet Miktar Dağılım'!$D11,'Gider Miktar'!$F:$F,1002)+SUMIFS('Gider Miktar'!R:R,'Gider Miktar'!$B:$B,'Emanet Miktar Dağılım'!$D11,'Gider Miktar'!$F:$F,1003)+SUMIFS('Gider Miktar'!R:R,'Gider Miktar'!$B:$B,'Emanet Miktar Dağılım'!$D11,'Gider Miktar'!$F:$F,1004)</f>
        <v>155.6567584</v>
      </c>
      <c r="J11" s="9">
        <f>+SUMIFS('Gider Miktar'!S:S,'Gider Miktar'!$B:$B,'Emanet Miktar Dağılım'!$D11,'Gider Miktar'!$F:$F,1001)+SUMIFS('Gider Miktar'!S:S,'Gider Miktar'!$B:$B,'Emanet Miktar Dağılım'!$D11,'Gider Miktar'!$F:$F,1002)+SUMIFS('Gider Miktar'!S:S,'Gider Miktar'!$B:$B,'Emanet Miktar Dağılım'!$D11,'Gider Miktar'!$F:$F,1003)+SUMIFS('Gider Miktar'!S:S,'Gider Miktar'!$B:$B,'Emanet Miktar Dağılım'!$D11,'Gider Miktar'!$F:$F,1004)</f>
        <v>148.39913899999999</v>
      </c>
      <c r="K11" s="9">
        <f>+SUMIFS('Gider Miktar'!T:T,'Gider Miktar'!$B:$B,'Emanet Miktar Dağılım'!$D11,'Gider Miktar'!$F:$F,1001)+SUMIFS('Gider Miktar'!T:T,'Gider Miktar'!$B:$B,'Emanet Miktar Dağılım'!$D11,'Gider Miktar'!$F:$F,1002)+SUMIFS('Gider Miktar'!T:T,'Gider Miktar'!$B:$B,'Emanet Miktar Dağılım'!$D11,'Gider Miktar'!$F:$F,1003)+SUMIFS('Gider Miktar'!T:T,'Gider Miktar'!$B:$B,'Emanet Miktar Dağılım'!$D11,'Gider Miktar'!$F:$F,1004)</f>
        <v>200.38778737759998</v>
      </c>
      <c r="L11" s="9">
        <f>+SUMIFS('Gider Miktar'!U:U,'Gider Miktar'!$B:$B,'Emanet Miktar Dağılım'!$D11,'Gider Miktar'!$F:$F,1001)+SUMIFS('Gider Miktar'!U:U,'Gider Miktar'!$B:$B,'Emanet Miktar Dağılım'!$D11,'Gider Miktar'!$F:$F,1002)+SUMIFS('Gider Miktar'!U:U,'Gider Miktar'!$B:$B,'Emanet Miktar Dağılım'!$D11,'Gider Miktar'!$F:$F,1003)+SUMIFS('Gider Miktar'!U:U,'Gider Miktar'!$B:$B,'Emanet Miktar Dağılım'!$D11,'Gider Miktar'!$F:$F,1004)</f>
        <v>160.24013139392008</v>
      </c>
      <c r="M11" s="9">
        <f>+SUMIFS('Gider Miktar'!V:V,'Gider Miktar'!$B:$B,'Emanet Miktar Dağılım'!$D11,'Gider Miktar'!$F:$F,1001)+SUMIFS('Gider Miktar'!V:V,'Gider Miktar'!$B:$B,'Emanet Miktar Dağılım'!$D11,'Gider Miktar'!$F:$F,1002)+SUMIFS('Gider Miktar'!V:V,'Gider Miktar'!$B:$B,'Emanet Miktar Dağılım'!$D11,'Gider Miktar'!$F:$F,1003)+SUMIFS('Gider Miktar'!V:V,'Gider Miktar'!$B:$B,'Emanet Miktar Dağılım'!$D11,'Gider Miktar'!$F:$F,1004)</f>
        <v>146.29188399999995</v>
      </c>
      <c r="N11" s="11">
        <f>+SUMIFS('Gider Miktar'!W:W,'Gider Miktar'!$B:$B,'Emanet Miktar Dağılım'!$D11,'Gider Miktar'!$F:$F,1001)+SUMIFS('Gider Miktar'!W:W,'Gider Miktar'!$B:$B,'Emanet Miktar Dağılım'!$D11,'Gider Miktar'!$F:$F,1002)+SUMIFS('Gider Miktar'!W:W,'Gider Miktar'!$B:$B,'Emanet Miktar Dağılım'!$D11,'Gider Miktar'!$F:$F,1003)+SUMIFS('Gider Miktar'!W:W,'Gider Miktar'!$B:$B,'Emanet Miktar Dağılım'!$D11,'Gider Miktar'!$F:$F,1004)</f>
        <v>77.445000000000022</v>
      </c>
      <c r="O11" s="9">
        <f>+SUMIFS('Gider Miktar'!X:X,'Gider Miktar'!$B:$B,'Emanet Miktar Dağılım'!$D11,'Gider Miktar'!$F:$F,1001)+SUMIFS('Gider Miktar'!X:X,'Gider Miktar'!$B:$B,'Emanet Miktar Dağılım'!$D11,'Gider Miktar'!$F:$F,1002)+SUMIFS('Gider Miktar'!X:X,'Gider Miktar'!$B:$B,'Emanet Miktar Dağılım'!$D11,'Gider Miktar'!$F:$F,1003)+SUMIFS('Gider Miktar'!X:X,'Gider Miktar'!$B:$B,'Emanet Miktar Dağılım'!$D11,'Gider Miktar'!$F:$F,1004)</f>
        <v>25.051543589756182</v>
      </c>
      <c r="P11" s="9">
        <f>+SUMIFS('Gider Miktar'!Y:Y,'Gider Miktar'!$B:$B,'Emanet Miktar Dağılım'!$D11,'Gider Miktar'!$F:$F,1001)+SUMIFS('Gider Miktar'!Y:Y,'Gider Miktar'!$B:$B,'Emanet Miktar Dağılım'!$D11,'Gider Miktar'!$F:$F,1002)+SUMIFS('Gider Miktar'!Y:Y,'Gider Miktar'!$B:$B,'Emanet Miktar Dağılım'!$D11,'Gider Miktar'!$F:$F,1003)+SUMIFS('Gider Miktar'!Y:Y,'Gider Miktar'!$B:$B,'Emanet Miktar Dağılım'!$D11,'Gider Miktar'!$F:$F,1004)</f>
        <v>58.882758517106417</v>
      </c>
      <c r="Q11" s="9">
        <f>+SUMIFS('Gider Miktar'!Z:Z,'Gider Miktar'!$B:$B,'Emanet Miktar Dağılım'!$D11,'Gider Miktar'!$F:$F,1001)+SUMIFS('Gider Miktar'!Z:Z,'Gider Miktar'!$B:$B,'Emanet Miktar Dağılım'!$D11,'Gider Miktar'!$F:$F,1002)+SUMIFS('Gider Miktar'!Z:Z,'Gider Miktar'!$B:$B,'Emanet Miktar Dağılım'!$D11,'Gider Miktar'!$F:$F,1003)+SUMIFS('Gider Miktar'!Z:Z,'Gider Miktar'!$B:$B,'Emanet Miktar Dağılım'!$D11,'Gider Miktar'!$F:$F,1004)</f>
        <v>40.193901272197969</v>
      </c>
      <c r="R11" s="9">
        <f>+SUMIFS('Gider Miktar'!AA:AA,'Gider Miktar'!$B:$B,'Emanet Miktar Dağılım'!$D11,'Gider Miktar'!$F:$F,1001)+SUMIFS('Gider Miktar'!AA:AA,'Gider Miktar'!$B:$B,'Emanet Miktar Dağılım'!$D11,'Gider Miktar'!$F:$F,1002)+SUMIFS('Gider Miktar'!AA:AA,'Gider Miktar'!$B:$B,'Emanet Miktar Dağılım'!$D11,'Gider Miktar'!$F:$F,1003)+SUMIFS('Gider Miktar'!AA:AA,'Gider Miktar'!$B:$B,'Emanet Miktar Dağılım'!$D11,'Gider Miktar'!$F:$F,1004)</f>
        <v>62.630397166583037</v>
      </c>
      <c r="S11" s="9">
        <f>+SUMIFS('Gider Miktar'!AB:AB,'Gider Miktar'!$B:$B,'Emanet Miktar Dağılım'!$D11,'Gider Miktar'!$F:$F,1001)+SUMIFS('Gider Miktar'!AB:AB,'Gider Miktar'!$B:$B,'Emanet Miktar Dağılım'!$D11,'Gider Miktar'!$F:$F,1002)+SUMIFS('Gider Miktar'!AB:AB,'Gider Miktar'!$B:$B,'Emanet Miktar Dağılım'!$D11,'Gider Miktar'!$F:$F,1003)+SUMIFS('Gider Miktar'!AB:AB,'Gider Miktar'!$B:$B,'Emanet Miktar Dağılım'!$D11,'Gider Miktar'!$F:$F,1004)</f>
        <v>43.94153992167459</v>
      </c>
      <c r="T11" s="9">
        <f>+SUMIFS('Gider Miktar'!AC:AC,'Gider Miktar'!$B:$B,'Emanet Miktar Dağılım'!$D11,'Gider Miktar'!$F:$F,1001)+SUMIFS('Gider Miktar'!AC:AC,'Gider Miktar'!$B:$B,'Emanet Miktar Dağılım'!$D11,'Gider Miktar'!$F:$F,1002)+SUMIFS('Gider Miktar'!AC:AC,'Gider Miktar'!$B:$B,'Emanet Miktar Dağılım'!$D11,'Gider Miktar'!$F:$F,1003)+SUMIFS('Gider Miktar'!AC:AC,'Gider Miktar'!$B:$B,'Emanet Miktar Dağılım'!$D11,'Gider Miktar'!$F:$F,1004)</f>
        <v>56.171361522576689</v>
      </c>
      <c r="U11" s="9">
        <f>+SUMIFS('Gider Miktar'!AD:AD,'Gider Miktar'!$B:$B,'Emanet Miktar Dağılım'!$D11,'Gider Miktar'!$F:$F,1001)+SUMIFS('Gider Miktar'!AD:AD,'Gider Miktar'!$B:$B,'Emanet Miktar Dağılım'!$D11,'Gider Miktar'!$F:$F,1002)+SUMIFS('Gider Miktar'!AD:AD,'Gider Miktar'!$B:$B,'Emanet Miktar Dağılım'!$D11,'Gider Miktar'!$F:$F,1003)+SUMIFS('Gider Miktar'!AD:AD,'Gider Miktar'!$B:$B,'Emanet Miktar Dağılım'!$D11,'Gider Miktar'!$F:$F,1004)</f>
        <v>121.04749082716404</v>
      </c>
      <c r="V11" s="9">
        <f>+SUMIFS('Gider Miktar'!AE:AE,'Gider Miktar'!$B:$B,'Emanet Miktar Dağılım'!$D11,'Gider Miktar'!$F:$F,1001)+SUMIFS('Gider Miktar'!AE:AE,'Gider Miktar'!$B:$B,'Emanet Miktar Dağılım'!$D11,'Gider Miktar'!$F:$F,1002)+SUMIFS('Gider Miktar'!AE:AE,'Gider Miktar'!$B:$B,'Emanet Miktar Dağılım'!$D11,'Gider Miktar'!$F:$F,1003)+SUMIFS('Gider Miktar'!AE:AE,'Gider Miktar'!$B:$B,'Emanet Miktar Dağılım'!$D11,'Gider Miktar'!$F:$F,1004)</f>
        <v>106.91841873399839</v>
      </c>
      <c r="W11" s="9">
        <f>+SUMIFS('Gider Miktar'!AF:AF,'Gider Miktar'!$B:$B,'Emanet Miktar Dağılım'!$D11,'Gider Miktar'!$F:$F,1001)+SUMIFS('Gider Miktar'!AF:AF,'Gider Miktar'!$B:$B,'Emanet Miktar Dağılım'!$D11,'Gider Miktar'!$F:$F,1002)+SUMIFS('Gider Miktar'!AF:AF,'Gider Miktar'!$B:$B,'Emanet Miktar Dağılım'!$D11,'Gider Miktar'!$F:$F,1003)+SUMIFS('Gider Miktar'!AF:AF,'Gider Miktar'!$B:$B,'Emanet Miktar Dağılım'!$D11,'Gider Miktar'!$F:$F,1004)</f>
        <v>91.776061051556567</v>
      </c>
      <c r="X11" s="9">
        <f>+SUMIFS('Gider Miktar'!AG:AG,'Gider Miktar'!$B:$B,'Emanet Miktar Dağılım'!$D11,'Gider Miktar'!$F:$F,1001)+SUMIFS('Gider Miktar'!AG:AG,'Gider Miktar'!$B:$B,'Emanet Miktar Dağılım'!$D11,'Gider Miktar'!$F:$F,1002)+SUMIFS('Gider Miktar'!AG:AG,'Gider Miktar'!$B:$B,'Emanet Miktar Dağılım'!$D11,'Gider Miktar'!$F:$F,1003)+SUMIFS('Gider Miktar'!AG:AG,'Gider Miktar'!$B:$B,'Emanet Miktar Dağılım'!$D11,'Gider Miktar'!$F:$F,1004)</f>
        <v>103.17078008452204</v>
      </c>
      <c r="Y11" s="9">
        <f>+SUMIFS('Gider Miktar'!AH:AH,'Gider Miktar'!$B:$B,'Emanet Miktar Dağılım'!$D11,'Gider Miktar'!$F:$F,1001)+SUMIFS('Gider Miktar'!AH:AH,'Gider Miktar'!$B:$B,'Emanet Miktar Dağılım'!$D11,'Gider Miktar'!$F:$F,1002)+SUMIFS('Gider Miktar'!AH:AH,'Gider Miktar'!$B:$B,'Emanet Miktar Dağılım'!$D11,'Gider Miktar'!$F:$F,1003)+SUMIFS('Gider Miktar'!AH:AH,'Gider Miktar'!$B:$B,'Emanet Miktar Dağılım'!$D11,'Gider Miktar'!$F:$F,1004)</f>
        <v>103.17078008452204</v>
      </c>
      <c r="Z11" s="9">
        <f>+SUMIFS('Gider Miktar'!AI:AI,'Gider Miktar'!$B:$B,'Emanet Miktar Dağılım'!$D11,'Gider Miktar'!$F:$F,1001)+SUMIFS('Gider Miktar'!AI:AI,'Gider Miktar'!$B:$B,'Emanet Miktar Dağılım'!$D11,'Gider Miktar'!$F:$F,1002)+SUMIFS('Gider Miktar'!AI:AI,'Gider Miktar'!$B:$B,'Emanet Miktar Dağılım'!$D11,'Gider Miktar'!$F:$F,1003)+SUMIFS('Gider Miktar'!AI:AI,'Gider Miktar'!$B:$B,'Emanet Miktar Dağılım'!$D11,'Gider Miktar'!$F:$F,1004)</f>
        <v>88.028422402079968</v>
      </c>
      <c r="AA11" s="9">
        <f>+SUMIFS('Gider Miktar'!AJ:AJ,'Gider Miktar'!$B:$B,'Emanet Miktar Dağılım'!$D11,'Gider Miktar'!$F:$F,1001)+SUMIFS('Gider Miktar'!AJ:AJ,'Gider Miktar'!$B:$B,'Emanet Miktar Dağılım'!$D11,'Gider Miktar'!$F:$F,1002)+SUMIFS('Gider Miktar'!AJ:AJ,'Gider Miktar'!$B:$B,'Emanet Miktar Dağılım'!$D11,'Gider Miktar'!$F:$F,1003)+SUMIFS('Gider Miktar'!AJ:AJ,'Gider Miktar'!$B:$B,'Emanet Miktar Dağılım'!$D11,'Gider Miktar'!$F:$F,1004)</f>
        <v>88.028422402079968</v>
      </c>
      <c r="AB11" s="9">
        <f>+SUMIFS('Gider Miktar'!AK:AK,'Gider Miktar'!$B:$B,'Emanet Miktar Dağılım'!$D11,'Gider Miktar'!$F:$F,1001)+SUMIFS('Gider Miktar'!AK:AK,'Gider Miktar'!$B:$B,'Emanet Miktar Dağılım'!$D11,'Gider Miktar'!$F:$F,1002)+SUMIFS('Gider Miktar'!AK:AK,'Gider Miktar'!$B:$B,'Emanet Miktar Dağılım'!$D11,'Gider Miktar'!$F:$F,1003)+SUMIFS('Gider Miktar'!AK:AK,'Gider Miktar'!$B:$B,'Emanet Miktar Dağılım'!$D11,'Gider Miktar'!$F:$F,1004)</f>
        <v>83.069533302534424</v>
      </c>
      <c r="AC11" s="9">
        <f>+SUMIFS('Gider Miktar'!AL:AL,'Gider Miktar'!$B:$B,'Emanet Miktar Dağılım'!$D11,'Gider Miktar'!$F:$F,1001)+SUMIFS('Gider Miktar'!AL:AL,'Gider Miktar'!$B:$B,'Emanet Miktar Dağılım'!$D11,'Gider Miktar'!$F:$F,1002)+SUMIFS('Gider Miktar'!AL:AL,'Gider Miktar'!$B:$B,'Emanet Miktar Dağılım'!$D11,'Gider Miktar'!$F:$F,1003)+SUMIFS('Gider Miktar'!AL:AL,'Gider Miktar'!$B:$B,'Emanet Miktar Dağılım'!$D11,'Gider Miktar'!$F:$F,1004)</f>
        <v>83.069533302534424</v>
      </c>
      <c r="AD11" s="9">
        <f>+SUMIFS('Gider Miktar'!AM:AM,'Gider Miktar'!$B:$B,'Emanet Miktar Dağılım'!$D11,'Gider Miktar'!$F:$F,1001)+SUMIFS('Gider Miktar'!AM:AM,'Gider Miktar'!$B:$B,'Emanet Miktar Dağılım'!$D11,'Gider Miktar'!$F:$F,1002)+SUMIFS('Gider Miktar'!AM:AM,'Gider Miktar'!$B:$B,'Emanet Miktar Dağılım'!$D11,'Gider Miktar'!$F:$F,1003)+SUMIFS('Gider Miktar'!AM:AM,'Gider Miktar'!$B:$B,'Emanet Miktar Dağılım'!$D11,'Gider Miktar'!$F:$F,1004)</f>
        <v>78.479861918523738</v>
      </c>
      <c r="AE11" s="9">
        <f>+SUMIFS('Gider Miktar'!AN:AN,'Gider Miktar'!$B:$B,'Emanet Miktar Dağılım'!$D11,'Gider Miktar'!$F:$F,1001)+SUMIFS('Gider Miktar'!AN:AN,'Gider Miktar'!$B:$B,'Emanet Miktar Dağılım'!$D11,'Gider Miktar'!$F:$F,1002)+SUMIFS('Gider Miktar'!AN:AN,'Gider Miktar'!$B:$B,'Emanet Miktar Dağılım'!$D11,'Gider Miktar'!$F:$F,1003)+SUMIFS('Gider Miktar'!AN:AN,'Gider Miktar'!$B:$B,'Emanet Miktar Dağılım'!$D11,'Gider Miktar'!$F:$F,1004)</f>
        <v>59.791004673615028</v>
      </c>
      <c r="AF11" s="9">
        <f>+SUMIFS('Gider Miktar'!AO:AO,'Gider Miktar'!$B:$B,'Emanet Miktar Dağılım'!$D11,'Gider Miktar'!$F:$F,1001)+SUMIFS('Gider Miktar'!AO:AO,'Gider Miktar'!$B:$B,'Emanet Miktar Dağılım'!$D11,'Gider Miktar'!$F:$F,1002)+SUMIFS('Gider Miktar'!AO:AO,'Gider Miktar'!$B:$B,'Emanet Miktar Dağılım'!$D11,'Gider Miktar'!$F:$F,1003)+SUMIFS('Gider Miktar'!AO:AO,'Gider Miktar'!$B:$B,'Emanet Miktar Dağılım'!$D11,'Gider Miktar'!$F:$F,1004)</f>
        <v>62.230781476350749</v>
      </c>
      <c r="AG11" s="9">
        <f>+SUMIFS('Gider Miktar'!AP:AP,'Gider Miktar'!$B:$B,'Emanet Miktar Dağılım'!$D11,'Gider Miktar'!$F:$F,1001)+SUMIFS('Gider Miktar'!AP:AP,'Gider Miktar'!$B:$B,'Emanet Miktar Dağılım'!$D11,'Gider Miktar'!$F:$F,1002)+SUMIFS('Gider Miktar'!AP:AP,'Gider Miktar'!$B:$B,'Emanet Miktar Dağılım'!$D11,'Gider Miktar'!$F:$F,1003)+SUMIFS('Gider Miktar'!AP:AP,'Gider Miktar'!$B:$B,'Emanet Miktar Dağılım'!$D11,'Gider Miktar'!$F:$F,1004)</f>
        <v>114.75085364860946</v>
      </c>
      <c r="AH11" s="9">
        <f>+SUMIFS('Gider Miktar'!AQ:AQ,'Gider Miktar'!$B:$B,'Emanet Miktar Dağılım'!$D11,'Gider Miktar'!$F:$F,1001)+SUMIFS('Gider Miktar'!AQ:AQ,'Gider Miktar'!$B:$B,'Emanet Miktar Dağılım'!$D11,'Gider Miktar'!$F:$F,1002)+SUMIFS('Gider Miktar'!AQ:AQ,'Gider Miktar'!$B:$B,'Emanet Miktar Dağılım'!$D11,'Gider Miktar'!$F:$F,1003)+SUMIFS('Gider Miktar'!AQ:AQ,'Gider Miktar'!$B:$B,'Emanet Miktar Dağılım'!$D11,'Gider Miktar'!$F:$F,1004)</f>
        <v>129.89321133105128</v>
      </c>
      <c r="AI11" s="9">
        <f>+SUMIFS('Gider Miktar'!AR:AR,'Gider Miktar'!$B:$B,'Emanet Miktar Dağılım'!$D11,'Gider Miktar'!$F:$F,1001)+SUMIFS('Gider Miktar'!AR:AR,'Gider Miktar'!$B:$B,'Emanet Miktar Dağılım'!$D11,'Gider Miktar'!$F:$F,1002)+SUMIFS('Gider Miktar'!AR:AR,'Gider Miktar'!$B:$B,'Emanet Miktar Dağılım'!$D11,'Gider Miktar'!$F:$F,1003)+SUMIFS('Gider Miktar'!AR:AR,'Gider Miktar'!$B:$B,'Emanet Miktar Dağılım'!$D11,'Gider Miktar'!$F:$F,1004)</f>
        <v>129.89321133105128</v>
      </c>
      <c r="AJ11" s="9">
        <f>+SUMIFS('Gider Miktar'!AS:AS,'Gider Miktar'!$B:$B,'Emanet Miktar Dağılım'!$D11,'Gider Miktar'!$F:$F,1001)+SUMIFS('Gider Miktar'!AS:AS,'Gider Miktar'!$B:$B,'Emanet Miktar Dağılım'!$D11,'Gider Miktar'!$F:$F,1002)+SUMIFS('Gider Miktar'!AS:AS,'Gider Miktar'!$B:$B,'Emanet Miktar Dağılım'!$D11,'Gider Miktar'!$F:$F,1003)+SUMIFS('Gider Miktar'!AS:AS,'Gider Miktar'!$B:$B,'Emanet Miktar Dağılım'!$D11,'Gider Miktar'!$F:$F,1004)</f>
        <v>129.89321133105128</v>
      </c>
      <c r="AK11" s="9">
        <f>+SUMIFS('Gider Miktar'!AT:AT,'Gider Miktar'!$B:$B,'Emanet Miktar Dağılım'!$D11,'Gider Miktar'!$F:$F,1001)+SUMIFS('Gider Miktar'!AT:AT,'Gider Miktar'!$B:$B,'Emanet Miktar Dağılım'!$D11,'Gider Miktar'!$F:$F,1002)+SUMIFS('Gider Miktar'!AT:AT,'Gider Miktar'!$B:$B,'Emanet Miktar Dağılım'!$D11,'Gider Miktar'!$F:$F,1003)+SUMIFS('Gider Miktar'!AT:AT,'Gider Miktar'!$B:$B,'Emanet Miktar Dağılım'!$D11,'Gider Miktar'!$F:$F,1004)</f>
        <v>114.75085364860946</v>
      </c>
      <c r="AL11" s="9">
        <f>+SUMIFS('Gider Miktar'!AU:AU,'Gider Miktar'!$B:$B,'Emanet Miktar Dağılım'!$D11,'Gider Miktar'!$F:$F,1001)+SUMIFS('Gider Miktar'!AU:AU,'Gider Miktar'!$B:$B,'Emanet Miktar Dağılım'!$D11,'Gider Miktar'!$F:$F,1002)+SUMIFS('Gider Miktar'!AU:AU,'Gider Miktar'!$B:$B,'Emanet Miktar Dağılım'!$D11,'Gider Miktar'!$F:$F,1003)+SUMIFS('Gider Miktar'!AU:AU,'Gider Miktar'!$B:$B,'Emanet Miktar Dağılım'!$D11,'Gider Miktar'!$F:$F,1004)</f>
        <v>99.608495966167666</v>
      </c>
      <c r="AM11" s="9">
        <f>+SUMIFS('Gider Miktar'!AV:AV,'Gider Miktar'!$B:$B,'Emanet Miktar Dağılım'!$D11,'Gider Miktar'!$F:$F,1001)+SUMIFS('Gider Miktar'!AV:AV,'Gider Miktar'!$B:$B,'Emanet Miktar Dağılım'!$D11,'Gider Miktar'!$F:$F,1002)+SUMIFS('Gider Miktar'!AV:AV,'Gider Miktar'!$B:$B,'Emanet Miktar Dağılım'!$D11,'Gider Miktar'!$F:$F,1003)+SUMIFS('Gider Miktar'!AV:AV,'Gider Miktar'!$B:$B,'Emanet Miktar Dağılım'!$D11,'Gider Miktar'!$F:$F,1004)</f>
        <v>99.608495966167666</v>
      </c>
      <c r="AN11" s="9">
        <f>+SUMIFS('Gider Miktar'!AW:AW,'Gider Miktar'!$B:$B,'Emanet Miktar Dağılım'!$D11,'Gider Miktar'!$F:$F,1001)+SUMIFS('Gider Miktar'!AW:AW,'Gider Miktar'!$B:$B,'Emanet Miktar Dağılım'!$D11,'Gider Miktar'!$F:$F,1002)+SUMIFS('Gider Miktar'!AW:AW,'Gider Miktar'!$B:$B,'Emanet Miktar Dağılım'!$D11,'Gider Miktar'!$F:$F,1003)+SUMIFS('Gider Miktar'!AW:AW,'Gider Miktar'!$B:$B,'Emanet Miktar Dağılım'!$D11,'Gider Miktar'!$F:$F,1004)</f>
        <v>74.755428979633805</v>
      </c>
      <c r="AO11" s="9">
        <f>+SUMIFS('Gider Miktar'!AX:AX,'Gider Miktar'!$B:$B,'Emanet Miktar Dağılım'!$D11,'Gider Miktar'!$F:$F,1001)+SUMIFS('Gider Miktar'!AX:AX,'Gider Miktar'!$B:$B,'Emanet Miktar Dağılım'!$D11,'Gider Miktar'!$F:$F,1002)+SUMIFS('Gider Miktar'!AX:AX,'Gider Miktar'!$B:$B,'Emanet Miktar Dağılım'!$D11,'Gider Miktar'!$F:$F,1003)+SUMIFS('Gider Miktar'!AX:AX,'Gider Miktar'!$B:$B,'Emanet Miktar Dağılım'!$D11,'Gider Miktar'!$F:$F,1004)</f>
        <v>92.926258198564099</v>
      </c>
      <c r="AP11" s="9">
        <f>+SUMIFS('Gider Miktar'!AY:AY,'Gider Miktar'!$B:$B,'Emanet Miktar Dağılım'!$D11,'Gider Miktar'!$F:$F,1001)+SUMIFS('Gider Miktar'!AY:AY,'Gider Miktar'!$B:$B,'Emanet Miktar Dağılım'!$D11,'Gider Miktar'!$F:$F,1002)+SUMIFS('Gider Miktar'!AY:AY,'Gider Miktar'!$B:$B,'Emanet Miktar Dağılım'!$D11,'Gider Miktar'!$F:$F,1003)+SUMIFS('Gider Miktar'!AY:AY,'Gider Miktar'!$B:$B,'Emanet Miktar Dağılım'!$D11,'Gider Miktar'!$F:$F,1004)</f>
        <v>92.926258198564099</v>
      </c>
      <c r="AQ11" s="9">
        <f>+SUMIFS('Gider Miktar'!AZ:AZ,'Gider Miktar'!$B:$B,'Emanet Miktar Dağılım'!$D11,'Gider Miktar'!$F:$F,1001)+SUMIFS('Gider Miktar'!AZ:AZ,'Gider Miktar'!$B:$B,'Emanet Miktar Dağılım'!$D11,'Gider Miktar'!$F:$F,1002)+SUMIFS('Gider Miktar'!AZ:AZ,'Gider Miktar'!$B:$B,'Emanet Miktar Dağılım'!$D11,'Gider Miktar'!$F:$F,1003)+SUMIFS('Gider Miktar'!AZ:AZ,'Gider Miktar'!$B:$B,'Emanet Miktar Dağılım'!$D11,'Gider Miktar'!$F:$F,1004)</f>
        <v>74.755428979633805</v>
      </c>
      <c r="AR11" s="9">
        <f>+SUMIFS('Gider Miktar'!BA:BA,'Gider Miktar'!$B:$B,'Emanet Miktar Dağılım'!$D11,'Gider Miktar'!$F:$F,1001)+SUMIFS('Gider Miktar'!BA:BA,'Gider Miktar'!$B:$B,'Emanet Miktar Dağılım'!$D11,'Gider Miktar'!$F:$F,1002)+SUMIFS('Gider Miktar'!BA:BA,'Gider Miktar'!$B:$B,'Emanet Miktar Dağılım'!$D11,'Gider Miktar'!$F:$F,1003)+SUMIFS('Gider Miktar'!BA:BA,'Gider Miktar'!$B:$B,'Emanet Miktar Dağılım'!$D11,'Gider Miktar'!$F:$F,1004)</f>
        <v>0</v>
      </c>
      <c r="AS11" s="9">
        <f>+SUMIFS('Gider Miktar'!BB:BB,'Gider Miktar'!$B:$B,'Emanet Miktar Dağılım'!$D11,'Gider Miktar'!$F:$F,1001)+SUMIFS('Gider Miktar'!BB:BB,'Gider Miktar'!$B:$B,'Emanet Miktar Dağılım'!$D11,'Gider Miktar'!$F:$F,1002)+SUMIFS('Gider Miktar'!BB:BB,'Gider Miktar'!$B:$B,'Emanet Miktar Dağılım'!$D11,'Gider Miktar'!$F:$F,1003)+SUMIFS('Gider Miktar'!BB:BB,'Gider Miktar'!$B:$B,'Emanet Miktar Dağılım'!$D11,'Gider Miktar'!$F:$F,1004)</f>
        <v>0</v>
      </c>
      <c r="AT11" s="9">
        <f>+SUMIFS('Gider Miktar'!BC:BC,'Gider Miktar'!$B:$B,'Emanet Miktar Dağılım'!$D11,'Gider Miktar'!$F:$F,1001)+SUMIFS('Gider Miktar'!BC:BC,'Gider Miktar'!$B:$B,'Emanet Miktar Dağılım'!$D11,'Gider Miktar'!$F:$F,1002)+SUMIFS('Gider Miktar'!BC:BC,'Gider Miktar'!$B:$B,'Emanet Miktar Dağılım'!$D11,'Gider Miktar'!$F:$F,1003)+SUMIFS('Gider Miktar'!BC:BC,'Gider Miktar'!$B:$B,'Emanet Miktar Dağılım'!$D11,'Gider Miktar'!$F:$F,1004)</f>
        <v>0</v>
      </c>
      <c r="AU11" s="9">
        <f>+SUMIFS('Gider Miktar'!BD:BD,'Gider Miktar'!$B:$B,'Emanet Miktar Dağılım'!$D11,'Gider Miktar'!$F:$F,1001)+SUMIFS('Gider Miktar'!BD:BD,'Gider Miktar'!$B:$B,'Emanet Miktar Dağılım'!$D11,'Gider Miktar'!$F:$F,1002)+SUMIFS('Gider Miktar'!BD:BD,'Gider Miktar'!$B:$B,'Emanet Miktar Dağılım'!$D11,'Gider Miktar'!$F:$F,1003)+SUMIFS('Gider Miktar'!BD:BD,'Gider Miktar'!$B:$B,'Emanet Miktar Dağılım'!$D11,'Gider Miktar'!$F:$F,1004)</f>
        <v>0</v>
      </c>
      <c r="AV11" s="9">
        <f>+SUMIFS('Gider Miktar'!BE:BE,'Gider Miktar'!$B:$B,'Emanet Miktar Dağılım'!$D11,'Gider Miktar'!$F:$F,1001)+SUMIFS('Gider Miktar'!BE:BE,'Gider Miktar'!$B:$B,'Emanet Miktar Dağılım'!$D11,'Gider Miktar'!$F:$F,1002)+SUMIFS('Gider Miktar'!BE:BE,'Gider Miktar'!$B:$B,'Emanet Miktar Dağılım'!$D11,'Gider Miktar'!$F:$F,1003)+SUMIFS('Gider Miktar'!BE:BE,'Gider Miktar'!$B:$B,'Emanet Miktar Dağılım'!$D11,'Gider Miktar'!$F:$F,1004)</f>
        <v>0</v>
      </c>
      <c r="AW11" s="9">
        <f>+SUMIFS('Gider Miktar'!BF:BF,'Gider Miktar'!$B:$B,'Emanet Miktar Dağılım'!$D11,'Gider Miktar'!$F:$F,1001)+SUMIFS('Gider Miktar'!BF:BF,'Gider Miktar'!$B:$B,'Emanet Miktar Dağılım'!$D11,'Gider Miktar'!$F:$F,1002)+SUMIFS('Gider Miktar'!BF:BF,'Gider Miktar'!$B:$B,'Emanet Miktar Dağılım'!$D11,'Gider Miktar'!$F:$F,1003)+SUMIFS('Gider Miktar'!BF:BF,'Gider Miktar'!$B:$B,'Emanet Miktar Dağılım'!$D11,'Gider Miktar'!$F:$F,1004)</f>
        <v>0</v>
      </c>
      <c r="AX11" s="9">
        <f>+SUMIFS('Gider Miktar'!BG:BG,'Gider Miktar'!$B:$B,'Emanet Miktar Dağılım'!$D11,'Gider Miktar'!$F:$F,1001)+SUMIFS('Gider Miktar'!BG:BG,'Gider Miktar'!$B:$B,'Emanet Miktar Dağılım'!$D11,'Gider Miktar'!$F:$F,1002)+SUMIFS('Gider Miktar'!BG:BG,'Gider Miktar'!$B:$B,'Emanet Miktar Dağılım'!$D11,'Gider Miktar'!$F:$F,1003)+SUMIFS('Gider Miktar'!BG:BG,'Gider Miktar'!$B:$B,'Emanet Miktar Dağılım'!$D11,'Gider Miktar'!$F:$F,1004)</f>
        <v>0</v>
      </c>
      <c r="AY11" s="9">
        <f>+SUMIFS('Gider Miktar'!BH:BH,'Gider Miktar'!$B:$B,'Emanet Miktar Dağılım'!$D11,'Gider Miktar'!$F:$F,1001)+SUMIFS('Gider Miktar'!BH:BH,'Gider Miktar'!$B:$B,'Emanet Miktar Dağılım'!$D11,'Gider Miktar'!$F:$F,1002)+SUMIFS('Gider Miktar'!BH:BH,'Gider Miktar'!$B:$B,'Emanet Miktar Dağılım'!$D11,'Gider Miktar'!$F:$F,1003)+SUMIFS('Gider Miktar'!BH:BH,'Gider Miktar'!$B:$B,'Emanet Miktar Dağılım'!$D11,'Gider Miktar'!$F:$F,1004)</f>
        <v>0</v>
      </c>
      <c r="AZ11" s="9">
        <f>+SUMIFS('Gider Miktar'!BI:BI,'Gider Miktar'!$B:$B,'Emanet Miktar Dağılım'!$D11,'Gider Miktar'!$F:$F,1001)+SUMIFS('Gider Miktar'!BI:BI,'Gider Miktar'!$B:$B,'Emanet Miktar Dağılım'!$D11,'Gider Miktar'!$F:$F,1002)+SUMIFS('Gider Miktar'!BI:BI,'Gider Miktar'!$B:$B,'Emanet Miktar Dağılım'!$D11,'Gider Miktar'!$F:$F,1003)+SUMIFS('Gider Miktar'!BI:BI,'Gider Miktar'!$B:$B,'Emanet Miktar Dağılım'!$D11,'Gider Miktar'!$F:$F,1004)</f>
        <v>0</v>
      </c>
      <c r="BA11" s="9">
        <f>+SUMIFS('Gider Miktar'!BJ:BJ,'Gider Miktar'!$B:$B,'Emanet Miktar Dağılım'!$D11,'Gider Miktar'!$F:$F,1001)+SUMIFS('Gider Miktar'!BJ:BJ,'Gider Miktar'!$B:$B,'Emanet Miktar Dağılım'!$D11,'Gider Miktar'!$F:$F,1002)+SUMIFS('Gider Miktar'!BJ:BJ,'Gider Miktar'!$B:$B,'Emanet Miktar Dağılım'!$D11,'Gider Miktar'!$F:$F,1003)+SUMIFS('Gider Miktar'!BJ:BJ,'Gider Miktar'!$B:$B,'Emanet Miktar Dağılım'!$D11,'Gider Miktar'!$F:$F,1004)</f>
        <v>0</v>
      </c>
      <c r="BB11" s="9">
        <f>+SUMIFS('Gider Miktar'!BK:BK,'Gider Miktar'!$B:$B,'Emanet Miktar Dağılım'!$D11,'Gider Miktar'!$F:$F,1001)+SUMIFS('Gider Miktar'!BK:BK,'Gider Miktar'!$B:$B,'Emanet Miktar Dağılım'!$D11,'Gider Miktar'!$F:$F,1002)+SUMIFS('Gider Miktar'!BK:BK,'Gider Miktar'!$B:$B,'Emanet Miktar Dağılım'!$D11,'Gider Miktar'!$F:$F,1003)+SUMIFS('Gider Miktar'!BK:BK,'Gider Miktar'!$B:$B,'Emanet Miktar Dağılım'!$D11,'Gider Miktar'!$F:$F,1004)</f>
        <v>0</v>
      </c>
      <c r="BC11" s="9">
        <f>+SUMIFS('Gider Miktar'!BL:BL,'Gider Miktar'!$B:$B,'Emanet Miktar Dağılım'!$D11,'Gider Miktar'!$F:$F,1001)+SUMIFS('Gider Miktar'!BL:BL,'Gider Miktar'!$B:$B,'Emanet Miktar Dağılım'!$D11,'Gider Miktar'!$F:$F,1002)+SUMIFS('Gider Miktar'!BL:BL,'Gider Miktar'!$B:$B,'Emanet Miktar Dağılım'!$D11,'Gider Miktar'!$F:$F,1003)+SUMIFS('Gider Miktar'!BL:BL,'Gider Miktar'!$B:$B,'Emanet Miktar Dağılım'!$D11,'Gider Miktar'!$F:$F,1004)</f>
        <v>0</v>
      </c>
      <c r="BD11" s="9">
        <f>+SUMIFS('Gider Miktar'!BM:BM,'Gider Miktar'!$B:$B,'Emanet Miktar Dağılım'!$D11,'Gider Miktar'!$F:$F,1001)+SUMIFS('Gider Miktar'!BM:BM,'Gider Miktar'!$B:$B,'Emanet Miktar Dağılım'!$D11,'Gider Miktar'!$F:$F,1002)+SUMIFS('Gider Miktar'!BM:BM,'Gider Miktar'!$B:$B,'Emanet Miktar Dağılım'!$D11,'Gider Miktar'!$F:$F,1003)+SUMIFS('Gider Miktar'!BM:BM,'Gider Miktar'!$B:$B,'Emanet Miktar Dağılım'!$D11,'Gider Miktar'!$F:$F,1004)</f>
        <v>0</v>
      </c>
      <c r="BE11" s="9">
        <f>+SUMIFS('Gider Miktar'!BN:BN,'Gider Miktar'!$B:$B,'Emanet Miktar Dağılım'!$D11,'Gider Miktar'!$F:$F,1001)+SUMIFS('Gider Miktar'!BN:BN,'Gider Miktar'!$B:$B,'Emanet Miktar Dağılım'!$D11,'Gider Miktar'!$F:$F,1002)+SUMIFS('Gider Miktar'!BN:BN,'Gider Miktar'!$B:$B,'Emanet Miktar Dağılım'!$D11,'Gider Miktar'!$F:$F,1003)+SUMIFS('Gider Miktar'!BN:BN,'Gider Miktar'!$B:$B,'Emanet Miktar Dağılım'!$D11,'Gider Miktar'!$F:$F,1004)</f>
        <v>0</v>
      </c>
      <c r="BF11" s="9">
        <f>+SUMIFS('Gider Miktar'!BO:BO,'Gider Miktar'!$B:$B,'Emanet Miktar Dağılım'!$D11,'Gider Miktar'!$F:$F,1001)+SUMIFS('Gider Miktar'!BO:BO,'Gider Miktar'!$B:$B,'Emanet Miktar Dağılım'!$D11,'Gider Miktar'!$F:$F,1002)+SUMIFS('Gider Miktar'!BO:BO,'Gider Miktar'!$B:$B,'Emanet Miktar Dağılım'!$D11,'Gider Miktar'!$F:$F,1003)+SUMIFS('Gider Miktar'!BO:BO,'Gider Miktar'!$B:$B,'Emanet Miktar Dağılım'!$D11,'Gider Miktar'!$F:$F,1004)</f>
        <v>0</v>
      </c>
      <c r="BG11" s="9">
        <f>+SUMIFS('Gider Miktar'!BP:BP,'Gider Miktar'!$B:$B,'Emanet Miktar Dağılım'!$D11,'Gider Miktar'!$F:$F,1001)+SUMIFS('Gider Miktar'!BP:BP,'Gider Miktar'!$B:$B,'Emanet Miktar Dağılım'!$D11,'Gider Miktar'!$F:$F,1002)+SUMIFS('Gider Miktar'!BP:BP,'Gider Miktar'!$B:$B,'Emanet Miktar Dağılım'!$D11,'Gider Miktar'!$F:$F,1003)+SUMIFS('Gider Miktar'!BP:BP,'Gider Miktar'!$B:$B,'Emanet Miktar Dağılım'!$D11,'Gider Miktar'!$F:$F,1004)</f>
        <v>0</v>
      </c>
      <c r="BH11" s="9">
        <f>+SUMIFS('Gider Miktar'!BQ:BQ,'Gider Miktar'!$B:$B,'Emanet Miktar Dağılım'!$D11,'Gider Miktar'!$F:$F,1001)+SUMIFS('Gider Miktar'!BQ:BQ,'Gider Miktar'!$B:$B,'Emanet Miktar Dağılım'!$D11,'Gider Miktar'!$F:$F,1002)+SUMIFS('Gider Miktar'!BQ:BQ,'Gider Miktar'!$B:$B,'Emanet Miktar Dağılım'!$D11,'Gider Miktar'!$F:$F,1003)+SUMIFS('Gider Miktar'!BQ:BQ,'Gider Miktar'!$B:$B,'Emanet Miktar Dağılım'!$D11,'Gider Miktar'!$F:$F,1004)</f>
        <v>0</v>
      </c>
      <c r="BI11" s="9">
        <f>+SUMIFS('Gider Miktar'!BR:BR,'Gider Miktar'!$B:$B,'Emanet Miktar Dağılım'!$D11,'Gider Miktar'!$F:$F,1001)+SUMIFS('Gider Miktar'!BR:BR,'Gider Miktar'!$B:$B,'Emanet Miktar Dağılım'!$D11,'Gider Miktar'!$F:$F,1002)+SUMIFS('Gider Miktar'!BR:BR,'Gider Miktar'!$B:$B,'Emanet Miktar Dağılım'!$D11,'Gider Miktar'!$F:$F,1003)+SUMIFS('Gider Miktar'!BR:BR,'Gider Miktar'!$B:$B,'Emanet Miktar Dağılım'!$D11,'Gider Miktar'!$F:$F,1004)</f>
        <v>0</v>
      </c>
      <c r="BJ11" s="9">
        <f>+SUMIFS('Gider Miktar'!BS:BS,'Gider Miktar'!$B:$B,'Emanet Miktar Dağılım'!$D11,'Gider Miktar'!$F:$F,1001)+SUMIFS('Gider Miktar'!BS:BS,'Gider Miktar'!$B:$B,'Emanet Miktar Dağılım'!$D11,'Gider Miktar'!$F:$F,1002)+SUMIFS('Gider Miktar'!BS:BS,'Gider Miktar'!$B:$B,'Emanet Miktar Dağılım'!$D11,'Gider Miktar'!$F:$F,1003)+SUMIFS('Gider Miktar'!BS:BS,'Gider Miktar'!$B:$B,'Emanet Miktar Dağılım'!$D11,'Gider Miktar'!$F:$F,1004)</f>
        <v>0</v>
      </c>
      <c r="BK11" s="9">
        <f>+SUMIFS('Gider Miktar'!BT:BT,'Gider Miktar'!$B:$B,'Emanet Miktar Dağılım'!$D11,'Gider Miktar'!$F:$F,1001)+SUMIFS('Gider Miktar'!BT:BT,'Gider Miktar'!$B:$B,'Emanet Miktar Dağılım'!$D11,'Gider Miktar'!$F:$F,1002)+SUMIFS('Gider Miktar'!BT:BT,'Gider Miktar'!$B:$B,'Emanet Miktar Dağılım'!$D11,'Gider Miktar'!$F:$F,1003)+SUMIFS('Gider Miktar'!BT:BT,'Gider Miktar'!$B:$B,'Emanet Miktar Dağılım'!$D11,'Gider Miktar'!$F:$F,1004)</f>
        <v>0</v>
      </c>
      <c r="BL11" s="9">
        <f>+SUMIFS('Gider Miktar'!BU:BU,'Gider Miktar'!$B:$B,'Emanet Miktar Dağılım'!$D11,'Gider Miktar'!$F:$F,1001)+SUMIFS('Gider Miktar'!BU:BU,'Gider Miktar'!$B:$B,'Emanet Miktar Dağılım'!$D11,'Gider Miktar'!$F:$F,1002)+SUMIFS('Gider Miktar'!BU:BU,'Gider Miktar'!$B:$B,'Emanet Miktar Dağılım'!$D11,'Gider Miktar'!$F:$F,1003)+SUMIFS('Gider Miktar'!BU:BU,'Gider Miktar'!$B:$B,'Emanet Miktar Dağılım'!$D11,'Gider Miktar'!$F:$F,1004)</f>
        <v>0</v>
      </c>
      <c r="BM11" s="9">
        <f>+SUMIFS('Gider Miktar'!BV:BV,'Gider Miktar'!$B:$B,'Emanet Miktar Dağılım'!$D11,'Gider Miktar'!$F:$F,1001)+SUMIFS('Gider Miktar'!BV:BV,'Gider Miktar'!$B:$B,'Emanet Miktar Dağılım'!$D11,'Gider Miktar'!$F:$F,1002)+SUMIFS('Gider Miktar'!BV:BV,'Gider Miktar'!$B:$B,'Emanet Miktar Dağılım'!$D11,'Gider Miktar'!$F:$F,1003)+SUMIFS('Gider Miktar'!BV:BV,'Gider Miktar'!$B:$B,'Emanet Miktar Dağılım'!$D11,'Gider Miktar'!$F:$F,1004)</f>
        <v>0</v>
      </c>
      <c r="BN11" s="9">
        <f>+SUMIFS('Gider Miktar'!BW:BW,'Gider Miktar'!$B:$B,'Emanet Miktar Dağılım'!$D11,'Gider Miktar'!$F:$F,1001)+SUMIFS('Gider Miktar'!BW:BW,'Gider Miktar'!$B:$B,'Emanet Miktar Dağılım'!$D11,'Gider Miktar'!$F:$F,1002)+SUMIFS('Gider Miktar'!BW:BW,'Gider Miktar'!$B:$B,'Emanet Miktar Dağılım'!$D11,'Gider Miktar'!$F:$F,1003)+SUMIFS('Gider Miktar'!BW:BW,'Gider Miktar'!$B:$B,'Emanet Miktar Dağılım'!$D11,'Gider Miktar'!$F:$F,1004)</f>
        <v>0</v>
      </c>
      <c r="BO11" s="9">
        <f>+SUMIFS('Gider Miktar'!BX:BX,'Gider Miktar'!$B:$B,'Emanet Miktar Dağılım'!$D11,'Gider Miktar'!$F:$F,1001)+SUMIFS('Gider Miktar'!BX:BX,'Gider Miktar'!$B:$B,'Emanet Miktar Dağılım'!$D11,'Gider Miktar'!$F:$F,1002)+SUMIFS('Gider Miktar'!BX:BX,'Gider Miktar'!$B:$B,'Emanet Miktar Dağılım'!$D11,'Gider Miktar'!$F:$F,1003)+SUMIFS('Gider Miktar'!BX:BX,'Gider Miktar'!$B:$B,'Emanet Miktar Dağılım'!$D11,'Gider Miktar'!$F:$F,1004)</f>
        <v>0</v>
      </c>
    </row>
    <row r="12" spans="2:67">
      <c r="D12" t="s">
        <v>14</v>
      </c>
      <c r="E12" s="9">
        <f>+SUMIFS('Gider Miktar'!N:N,'Gider Miktar'!$B:$B,'Emanet Miktar Dağılım'!$D12,'Gider Miktar'!$F:$F,1001)+SUMIFS('Gider Miktar'!N:N,'Gider Miktar'!$B:$B,'Emanet Miktar Dağılım'!$D12,'Gider Miktar'!$F:$F,1002)+SUMIFS('Gider Miktar'!N:N,'Gider Miktar'!$B:$B,'Emanet Miktar Dağılım'!$D12,'Gider Miktar'!$F:$F,1003)+SUMIFS('Gider Miktar'!N:N,'Gider Miktar'!$B:$B,'Emanet Miktar Dağılım'!$D12,'Gider Miktar'!$F:$F,1004)</f>
        <v>0</v>
      </c>
      <c r="F12" s="9">
        <f>+SUMIFS('Gider Miktar'!O:O,'Gider Miktar'!$B:$B,'Emanet Miktar Dağılım'!$D12,'Gider Miktar'!$F:$F,1001)+SUMIFS('Gider Miktar'!O:O,'Gider Miktar'!$B:$B,'Emanet Miktar Dağılım'!$D12,'Gider Miktar'!$F:$F,1002)+SUMIFS('Gider Miktar'!O:O,'Gider Miktar'!$B:$B,'Emanet Miktar Dağılım'!$D12,'Gider Miktar'!$F:$F,1003)+SUMIFS('Gider Miktar'!O:O,'Gider Miktar'!$B:$B,'Emanet Miktar Dağılım'!$D12,'Gider Miktar'!$F:$F,1004)</f>
        <v>0</v>
      </c>
      <c r="G12" s="9">
        <f>+SUMIFS('Gider Miktar'!P:P,'Gider Miktar'!$B:$B,'Emanet Miktar Dağılım'!$D12,'Gider Miktar'!$F:$F,1001)+SUMIFS('Gider Miktar'!P:P,'Gider Miktar'!$B:$B,'Emanet Miktar Dağılım'!$D12,'Gider Miktar'!$F:$F,1002)+SUMIFS('Gider Miktar'!P:P,'Gider Miktar'!$B:$B,'Emanet Miktar Dağılım'!$D12,'Gider Miktar'!$F:$F,1003)+SUMIFS('Gider Miktar'!P:P,'Gider Miktar'!$B:$B,'Emanet Miktar Dağılım'!$D12,'Gider Miktar'!$F:$F,1004)</f>
        <v>9522</v>
      </c>
      <c r="H12" s="9">
        <f>+SUMIFS('Gider Miktar'!Q:Q,'Gider Miktar'!$B:$B,'Emanet Miktar Dağılım'!$D12,'Gider Miktar'!$F:$F,1001)+SUMIFS('Gider Miktar'!Q:Q,'Gider Miktar'!$B:$B,'Emanet Miktar Dağılım'!$D12,'Gider Miktar'!$F:$F,1002)+SUMIFS('Gider Miktar'!Q:Q,'Gider Miktar'!$B:$B,'Emanet Miktar Dağılım'!$D12,'Gider Miktar'!$F:$F,1003)+SUMIFS('Gider Miktar'!Q:Q,'Gider Miktar'!$B:$B,'Emanet Miktar Dağılım'!$D12,'Gider Miktar'!$F:$F,1004)</f>
        <v>11805</v>
      </c>
      <c r="I12" s="9">
        <f>+SUMIFS('Gider Miktar'!R:R,'Gider Miktar'!$B:$B,'Emanet Miktar Dağılım'!$D12,'Gider Miktar'!$F:$F,1001)+SUMIFS('Gider Miktar'!R:R,'Gider Miktar'!$B:$B,'Emanet Miktar Dağılım'!$D12,'Gider Miktar'!$F:$F,1002)+SUMIFS('Gider Miktar'!R:R,'Gider Miktar'!$B:$B,'Emanet Miktar Dağılım'!$D12,'Gider Miktar'!$F:$F,1003)+SUMIFS('Gider Miktar'!R:R,'Gider Miktar'!$B:$B,'Emanet Miktar Dağılım'!$D12,'Gider Miktar'!$F:$F,1004)</f>
        <v>9743</v>
      </c>
      <c r="J12" s="9">
        <f>+SUMIFS('Gider Miktar'!S:S,'Gider Miktar'!$B:$B,'Emanet Miktar Dağılım'!$D12,'Gider Miktar'!$F:$F,1001)+SUMIFS('Gider Miktar'!S:S,'Gider Miktar'!$B:$B,'Emanet Miktar Dağılım'!$D12,'Gider Miktar'!$F:$F,1002)+SUMIFS('Gider Miktar'!S:S,'Gider Miktar'!$B:$B,'Emanet Miktar Dağılım'!$D12,'Gider Miktar'!$F:$F,1003)+SUMIFS('Gider Miktar'!S:S,'Gider Miktar'!$B:$B,'Emanet Miktar Dağılım'!$D12,'Gider Miktar'!$F:$F,1004)</f>
        <v>3583</v>
      </c>
      <c r="K12" s="9">
        <f>+SUMIFS('Gider Miktar'!T:T,'Gider Miktar'!$B:$B,'Emanet Miktar Dağılım'!$D12,'Gider Miktar'!$F:$F,1001)+SUMIFS('Gider Miktar'!T:T,'Gider Miktar'!$B:$B,'Emanet Miktar Dağılım'!$D12,'Gider Miktar'!$F:$F,1002)+SUMIFS('Gider Miktar'!T:T,'Gider Miktar'!$B:$B,'Emanet Miktar Dağılım'!$D12,'Gider Miktar'!$F:$F,1003)+SUMIFS('Gider Miktar'!T:T,'Gider Miktar'!$B:$B,'Emanet Miktar Dağılım'!$D12,'Gider Miktar'!$F:$F,1004)</f>
        <v>0</v>
      </c>
      <c r="L12" s="9">
        <f>+SUMIFS('Gider Miktar'!U:U,'Gider Miktar'!$B:$B,'Emanet Miktar Dağılım'!$D12,'Gider Miktar'!$F:$F,1001)+SUMIFS('Gider Miktar'!U:U,'Gider Miktar'!$B:$B,'Emanet Miktar Dağılım'!$D12,'Gider Miktar'!$F:$F,1002)+SUMIFS('Gider Miktar'!U:U,'Gider Miktar'!$B:$B,'Emanet Miktar Dağılım'!$D12,'Gider Miktar'!$F:$F,1003)+SUMIFS('Gider Miktar'!U:U,'Gider Miktar'!$B:$B,'Emanet Miktar Dağılım'!$D12,'Gider Miktar'!$F:$F,1004)</f>
        <v>1</v>
      </c>
      <c r="M12" s="9">
        <f>+SUMIFS('Gider Miktar'!V:V,'Gider Miktar'!$B:$B,'Emanet Miktar Dağılım'!$D12,'Gider Miktar'!$F:$F,1001)+SUMIFS('Gider Miktar'!V:V,'Gider Miktar'!$B:$B,'Emanet Miktar Dağılım'!$D12,'Gider Miktar'!$F:$F,1002)+SUMIFS('Gider Miktar'!V:V,'Gider Miktar'!$B:$B,'Emanet Miktar Dağılım'!$D12,'Gider Miktar'!$F:$F,1003)+SUMIFS('Gider Miktar'!V:V,'Gider Miktar'!$B:$B,'Emanet Miktar Dağılım'!$D12,'Gider Miktar'!$F:$F,1004)</f>
        <v>2177</v>
      </c>
      <c r="N12" s="11">
        <f>+SUMIFS('Gider Miktar'!W:W,'Gider Miktar'!$B:$B,'Emanet Miktar Dağılım'!$D12,'Gider Miktar'!$F:$F,1001)+SUMIFS('Gider Miktar'!W:W,'Gider Miktar'!$B:$B,'Emanet Miktar Dağılım'!$D12,'Gider Miktar'!$F:$F,1002)+SUMIFS('Gider Miktar'!W:W,'Gider Miktar'!$B:$B,'Emanet Miktar Dağılım'!$D12,'Gider Miktar'!$F:$F,1003)+SUMIFS('Gider Miktar'!W:W,'Gider Miktar'!$B:$B,'Emanet Miktar Dağılım'!$D12,'Gider Miktar'!$F:$F,1004)</f>
        <v>76</v>
      </c>
      <c r="O12" s="9">
        <f>+SUMIFS('Gider Miktar'!X:X,'Gider Miktar'!$B:$B,'Emanet Miktar Dağılım'!$D12,'Gider Miktar'!$F:$F,1001)+SUMIFS('Gider Miktar'!X:X,'Gider Miktar'!$B:$B,'Emanet Miktar Dağılım'!$D12,'Gider Miktar'!$F:$F,1002)+SUMIFS('Gider Miktar'!X:X,'Gider Miktar'!$B:$B,'Emanet Miktar Dağılım'!$D12,'Gider Miktar'!$F:$F,1003)+SUMIFS('Gider Miktar'!X:X,'Gider Miktar'!$B:$B,'Emanet Miktar Dağılım'!$D12,'Gider Miktar'!$F:$F,1004)</f>
        <v>488.69898184335528</v>
      </c>
      <c r="P12" s="9">
        <f>+SUMIFS('Gider Miktar'!Y:Y,'Gider Miktar'!$B:$B,'Emanet Miktar Dağılım'!$D12,'Gider Miktar'!$F:$F,1001)+SUMIFS('Gider Miktar'!Y:Y,'Gider Miktar'!$B:$B,'Emanet Miktar Dağılım'!$D12,'Gider Miktar'!$F:$F,1002)+SUMIFS('Gider Miktar'!Y:Y,'Gider Miktar'!$B:$B,'Emanet Miktar Dağılım'!$D12,'Gider Miktar'!$F:$F,1003)+SUMIFS('Gider Miktar'!Y:Y,'Gider Miktar'!$B:$B,'Emanet Miktar Dağılım'!$D12,'Gider Miktar'!$F:$F,1004)</f>
        <v>1148.6695034315101</v>
      </c>
      <c r="Q12" s="9">
        <f>+SUMIFS('Gider Miktar'!Z:Z,'Gider Miktar'!$B:$B,'Emanet Miktar Dağılım'!$D12,'Gider Miktar'!$F:$F,1001)+SUMIFS('Gider Miktar'!Z:Z,'Gider Miktar'!$B:$B,'Emanet Miktar Dağılım'!$D12,'Gider Miktar'!$F:$F,1002)+SUMIFS('Gider Miktar'!Z:Z,'Gider Miktar'!$B:$B,'Emanet Miktar Dağılım'!$D12,'Gider Miktar'!$F:$F,1003)+SUMIFS('Gider Miktar'!Z:Z,'Gider Miktar'!$B:$B,'Emanet Miktar Dağılım'!$D12,'Gider Miktar'!$F:$F,1004)</f>
        <v>784.09214816078588</v>
      </c>
      <c r="R12" s="9">
        <f>+SUMIFS('Gider Miktar'!AA:AA,'Gider Miktar'!$B:$B,'Emanet Miktar Dağılım'!$D12,'Gider Miktar'!$F:$F,1001)+SUMIFS('Gider Miktar'!AA:AA,'Gider Miktar'!$B:$B,'Emanet Miktar Dağılım'!$D12,'Gider Miktar'!$F:$F,1002)+SUMIFS('Gider Miktar'!AA:AA,'Gider Miktar'!$B:$B,'Emanet Miktar Dağılım'!$D12,'Gider Miktar'!$F:$F,1003)+SUMIFS('Gider Miktar'!AA:AA,'Gider Miktar'!$B:$B,'Emanet Miktar Dağılım'!$D12,'Gider Miktar'!$F:$F,1004)</f>
        <v>1221.7774612607009</v>
      </c>
      <c r="S12" s="9">
        <f>+SUMIFS('Gider Miktar'!AB:AB,'Gider Miktar'!$B:$B,'Emanet Miktar Dağılım'!$D12,'Gider Miktar'!$F:$F,1001)+SUMIFS('Gider Miktar'!AB:AB,'Gider Miktar'!$B:$B,'Emanet Miktar Dağılım'!$D12,'Gider Miktar'!$F:$F,1002)+SUMIFS('Gider Miktar'!AB:AB,'Gider Miktar'!$B:$B,'Emanet Miktar Dağılım'!$D12,'Gider Miktar'!$F:$F,1003)+SUMIFS('Gider Miktar'!AB:AB,'Gider Miktar'!$B:$B,'Emanet Miktar Dağılım'!$D12,'Gider Miktar'!$F:$F,1004)</f>
        <v>857.20010598997669</v>
      </c>
      <c r="T12" s="9">
        <f>+SUMIFS('Gider Miktar'!AC:AC,'Gider Miktar'!$B:$B,'Emanet Miktar Dağılım'!$D12,'Gider Miktar'!$F:$F,1001)+SUMIFS('Gider Miktar'!AC:AC,'Gider Miktar'!$B:$B,'Emanet Miktar Dağılım'!$D12,'Gider Miktar'!$F:$F,1002)+SUMIFS('Gider Miktar'!AC:AC,'Gider Miktar'!$B:$B,'Emanet Miktar Dağılım'!$D12,'Gider Miktar'!$F:$F,1003)+SUMIFS('Gider Miktar'!AC:AC,'Gider Miktar'!$B:$B,'Emanet Miktar Dağılım'!$D12,'Gider Miktar'!$F:$F,1004)</f>
        <v>1095.7762776766851</v>
      </c>
      <c r="U12" s="9">
        <f>+SUMIFS('Gider Miktar'!AD:AD,'Gider Miktar'!$B:$B,'Emanet Miktar Dağılım'!$D12,'Gider Miktar'!$F:$F,1001)+SUMIFS('Gider Miktar'!AD:AD,'Gider Miktar'!$B:$B,'Emanet Miktar Dağılım'!$D12,'Gider Miktar'!$F:$F,1002)+SUMIFS('Gider Miktar'!AD:AD,'Gider Miktar'!$B:$B,'Emanet Miktar Dağılım'!$D12,'Gider Miktar'!$F:$F,1003)+SUMIFS('Gider Miktar'!AD:AD,'Gider Miktar'!$B:$B,'Emanet Miktar Dağılım'!$D12,'Gider Miktar'!$F:$F,1004)</f>
        <v>2361.3628960619149</v>
      </c>
      <c r="V12" s="9">
        <f>+SUMIFS('Gider Miktar'!AE:AE,'Gider Miktar'!$B:$B,'Emanet Miktar Dağılım'!$D12,'Gider Miktar'!$F:$F,1001)+SUMIFS('Gider Miktar'!AE:AE,'Gider Miktar'!$B:$B,'Emanet Miktar Dağılım'!$D12,'Gider Miktar'!$F:$F,1002)+SUMIFS('Gider Miktar'!AE:AE,'Gider Miktar'!$B:$B,'Emanet Miktar Dağılım'!$D12,'Gider Miktar'!$F:$F,1003)+SUMIFS('Gider Miktar'!AE:AE,'Gider Miktar'!$B:$B,'Emanet Miktar Dağılım'!$D12,'Gider Miktar'!$F:$F,1004)</f>
        <v>2085.7366408739954</v>
      </c>
      <c r="W12" s="9">
        <f>+SUMIFS('Gider Miktar'!AF:AF,'Gider Miktar'!$B:$B,'Emanet Miktar Dağılım'!$D12,'Gider Miktar'!$F:$F,1001)+SUMIFS('Gider Miktar'!AF:AF,'Gider Miktar'!$B:$B,'Emanet Miktar Dağılım'!$D12,'Gider Miktar'!$F:$F,1002)+SUMIFS('Gider Miktar'!AF:AF,'Gider Miktar'!$B:$B,'Emanet Miktar Dağılım'!$D12,'Gider Miktar'!$F:$F,1003)+SUMIFS('Gider Miktar'!AF:AF,'Gider Miktar'!$B:$B,'Emanet Miktar Dağılım'!$D12,'Gider Miktar'!$F:$F,1004)</f>
        <v>1790.3434745565646</v>
      </c>
      <c r="X12" s="9">
        <f>+SUMIFS('Gider Miktar'!AG:AG,'Gider Miktar'!$B:$B,'Emanet Miktar Dağılım'!$D12,'Gider Miktar'!$F:$F,1001)+SUMIFS('Gider Miktar'!AG:AG,'Gider Miktar'!$B:$B,'Emanet Miktar Dağılım'!$D12,'Gider Miktar'!$F:$F,1002)+SUMIFS('Gider Miktar'!AG:AG,'Gider Miktar'!$B:$B,'Emanet Miktar Dağılım'!$D12,'Gider Miktar'!$F:$F,1003)+SUMIFS('Gider Miktar'!AG:AG,'Gider Miktar'!$B:$B,'Emanet Miktar Dağılım'!$D12,'Gider Miktar'!$F:$F,1004)</f>
        <v>2012.62868304481</v>
      </c>
      <c r="Y12" s="9">
        <f>+SUMIFS('Gider Miktar'!AH:AH,'Gider Miktar'!$B:$B,'Emanet Miktar Dağılım'!$D12,'Gider Miktar'!$F:$F,1001)+SUMIFS('Gider Miktar'!AH:AH,'Gider Miktar'!$B:$B,'Emanet Miktar Dağılım'!$D12,'Gider Miktar'!$F:$F,1002)+SUMIFS('Gider Miktar'!AH:AH,'Gider Miktar'!$B:$B,'Emanet Miktar Dağılım'!$D12,'Gider Miktar'!$F:$F,1003)+SUMIFS('Gider Miktar'!AH:AH,'Gider Miktar'!$B:$B,'Emanet Miktar Dağılım'!$D12,'Gider Miktar'!$F:$F,1004)</f>
        <v>2012.62868304481</v>
      </c>
      <c r="Z12" s="9">
        <f>+SUMIFS('Gider Miktar'!AI:AI,'Gider Miktar'!$B:$B,'Emanet Miktar Dağılım'!$D12,'Gider Miktar'!$F:$F,1001)+SUMIFS('Gider Miktar'!AI:AI,'Gider Miktar'!$B:$B,'Emanet Miktar Dağılım'!$D12,'Gider Miktar'!$F:$F,1002)+SUMIFS('Gider Miktar'!AI:AI,'Gider Miktar'!$B:$B,'Emanet Miktar Dağılım'!$D12,'Gider Miktar'!$F:$F,1003)+SUMIFS('Gider Miktar'!AI:AI,'Gider Miktar'!$B:$B,'Emanet Miktar Dağılım'!$D12,'Gider Miktar'!$F:$F,1004)</f>
        <v>1717.235516727374</v>
      </c>
      <c r="AA12" s="9">
        <f>+SUMIFS('Gider Miktar'!AJ:AJ,'Gider Miktar'!$B:$B,'Emanet Miktar Dağılım'!$D12,'Gider Miktar'!$F:$F,1001)+SUMIFS('Gider Miktar'!AJ:AJ,'Gider Miktar'!$B:$B,'Emanet Miktar Dağılım'!$D12,'Gider Miktar'!$F:$F,1002)+SUMIFS('Gider Miktar'!AJ:AJ,'Gider Miktar'!$B:$B,'Emanet Miktar Dağılım'!$D12,'Gider Miktar'!$F:$F,1003)+SUMIFS('Gider Miktar'!AJ:AJ,'Gider Miktar'!$B:$B,'Emanet Miktar Dağılım'!$D12,'Gider Miktar'!$F:$F,1004)</f>
        <v>1717.235516727374</v>
      </c>
      <c r="AB12" s="9">
        <f>+SUMIFS('Gider Miktar'!AK:AK,'Gider Miktar'!$B:$B,'Emanet Miktar Dağılım'!$D12,'Gider Miktar'!$F:$F,1001)+SUMIFS('Gider Miktar'!AK:AK,'Gider Miktar'!$B:$B,'Emanet Miktar Dağılım'!$D12,'Gider Miktar'!$F:$F,1002)+SUMIFS('Gider Miktar'!AK:AK,'Gider Miktar'!$B:$B,'Emanet Miktar Dağılım'!$D12,'Gider Miktar'!$F:$F,1003)+SUMIFS('Gider Miktar'!AK:AK,'Gider Miktar'!$B:$B,'Emanet Miktar Dağılım'!$D12,'Gider Miktar'!$F:$F,1004)</f>
        <v>1620.4988008703531</v>
      </c>
      <c r="AC12" s="9">
        <f>+SUMIFS('Gider Miktar'!AL:AL,'Gider Miktar'!$B:$B,'Emanet Miktar Dağılım'!$D12,'Gider Miktar'!$F:$F,1001)+SUMIFS('Gider Miktar'!AL:AL,'Gider Miktar'!$B:$B,'Emanet Miktar Dağılım'!$D12,'Gider Miktar'!$F:$F,1002)+SUMIFS('Gider Miktar'!AL:AL,'Gider Miktar'!$B:$B,'Emanet Miktar Dağılım'!$D12,'Gider Miktar'!$F:$F,1003)+SUMIFS('Gider Miktar'!AL:AL,'Gider Miktar'!$B:$B,'Emanet Miktar Dağılım'!$D12,'Gider Miktar'!$F:$F,1004)</f>
        <v>1620.4988008703531</v>
      </c>
      <c r="AD12" s="9">
        <f>+SUMIFS('Gider Miktar'!AM:AM,'Gider Miktar'!$B:$B,'Emanet Miktar Dağılım'!$D12,'Gider Miktar'!$F:$F,1001)+SUMIFS('Gider Miktar'!AM:AM,'Gider Miktar'!$B:$B,'Emanet Miktar Dağılım'!$D12,'Gider Miktar'!$F:$F,1002)+SUMIFS('Gider Miktar'!AM:AM,'Gider Miktar'!$B:$B,'Emanet Miktar Dağılım'!$D12,'Gider Miktar'!$F:$F,1003)+SUMIFS('Gider Miktar'!AM:AM,'Gider Miktar'!$B:$B,'Emanet Miktar Dağılım'!$D12,'Gider Miktar'!$F:$F,1004)</f>
        <v>1530.964687959291</v>
      </c>
      <c r="AE12" s="9">
        <f>+SUMIFS('Gider Miktar'!AN:AN,'Gider Miktar'!$B:$B,'Emanet Miktar Dağılım'!$D12,'Gider Miktar'!$F:$F,1001)+SUMIFS('Gider Miktar'!AN:AN,'Gider Miktar'!$B:$B,'Emanet Miktar Dağılım'!$D12,'Gider Miktar'!$F:$F,1002)+SUMIFS('Gider Miktar'!AN:AN,'Gider Miktar'!$B:$B,'Emanet Miktar Dağılım'!$D12,'Gider Miktar'!$F:$F,1003)+SUMIFS('Gider Miktar'!AN:AN,'Gider Miktar'!$B:$B,'Emanet Miktar Dağılım'!$D12,'Gider Miktar'!$F:$F,1004)</f>
        <v>1166.3873326885621</v>
      </c>
      <c r="AF12" s="9">
        <f>+SUMIFS('Gider Miktar'!AO:AO,'Gider Miktar'!$B:$B,'Emanet Miktar Dağılım'!$D12,'Gider Miktar'!$F:$F,1001)+SUMIFS('Gider Miktar'!AO:AO,'Gider Miktar'!$B:$B,'Emanet Miktar Dağılım'!$D12,'Gider Miktar'!$F:$F,1002)+SUMIFS('Gider Miktar'!AO:AO,'Gider Miktar'!$B:$B,'Emanet Miktar Dağılım'!$D12,'Gider Miktar'!$F:$F,1003)+SUMIFS('Gider Miktar'!AO:AO,'Gider Miktar'!$B:$B,'Emanet Miktar Dağılım'!$D12,'Gider Miktar'!$F:$F,1004)</f>
        <v>1213.9818625485718</v>
      </c>
      <c r="AG12" s="9">
        <f>+SUMIFS('Gider Miktar'!AP:AP,'Gider Miktar'!$B:$B,'Emanet Miktar Dağılım'!$D12,'Gider Miktar'!$F:$F,1001)+SUMIFS('Gider Miktar'!AP:AP,'Gider Miktar'!$B:$B,'Emanet Miktar Dağılım'!$D12,'Gider Miktar'!$F:$F,1002)+SUMIFS('Gider Miktar'!AP:AP,'Gider Miktar'!$B:$B,'Emanet Miktar Dağılım'!$D12,'Gider Miktar'!$F:$F,1003)+SUMIFS('Gider Miktar'!AP:AP,'Gider Miktar'!$B:$B,'Emanet Miktar Dağılım'!$D12,'Gider Miktar'!$F:$F,1004)</f>
        <v>2238.5297394074514</v>
      </c>
      <c r="AH12" s="9">
        <f>+SUMIFS('Gider Miktar'!AQ:AQ,'Gider Miktar'!$B:$B,'Emanet Miktar Dağılım'!$D12,'Gider Miktar'!$F:$F,1001)+SUMIFS('Gider Miktar'!AQ:AQ,'Gider Miktar'!$B:$B,'Emanet Miktar Dağılım'!$D12,'Gider Miktar'!$F:$F,1002)+SUMIFS('Gider Miktar'!AQ:AQ,'Gider Miktar'!$B:$B,'Emanet Miktar Dağılım'!$D12,'Gider Miktar'!$F:$F,1003)+SUMIFS('Gider Miktar'!AQ:AQ,'Gider Miktar'!$B:$B,'Emanet Miktar Dağılım'!$D12,'Gider Miktar'!$F:$F,1004)</f>
        <v>2533.9229057248826</v>
      </c>
      <c r="AI12" s="9">
        <f>+SUMIFS('Gider Miktar'!AR:AR,'Gider Miktar'!$B:$B,'Emanet Miktar Dağılım'!$D12,'Gider Miktar'!$F:$F,1001)+SUMIFS('Gider Miktar'!AR:AR,'Gider Miktar'!$B:$B,'Emanet Miktar Dağılım'!$D12,'Gider Miktar'!$F:$F,1002)+SUMIFS('Gider Miktar'!AR:AR,'Gider Miktar'!$B:$B,'Emanet Miktar Dağılım'!$D12,'Gider Miktar'!$F:$F,1003)+SUMIFS('Gider Miktar'!AR:AR,'Gider Miktar'!$B:$B,'Emanet Miktar Dağılım'!$D12,'Gider Miktar'!$F:$F,1004)</f>
        <v>2533.9229057248826</v>
      </c>
      <c r="AJ12" s="9">
        <f>+SUMIFS('Gider Miktar'!AS:AS,'Gider Miktar'!$B:$B,'Emanet Miktar Dağılım'!$D12,'Gider Miktar'!$F:$F,1001)+SUMIFS('Gider Miktar'!AS:AS,'Gider Miktar'!$B:$B,'Emanet Miktar Dağılım'!$D12,'Gider Miktar'!$F:$F,1002)+SUMIFS('Gider Miktar'!AS:AS,'Gider Miktar'!$B:$B,'Emanet Miktar Dağılım'!$D12,'Gider Miktar'!$F:$F,1003)+SUMIFS('Gider Miktar'!AS:AS,'Gider Miktar'!$B:$B,'Emanet Miktar Dağılım'!$D12,'Gider Miktar'!$F:$F,1004)</f>
        <v>2533.9229057248826</v>
      </c>
      <c r="AK12" s="9">
        <f>+SUMIFS('Gider Miktar'!AT:AT,'Gider Miktar'!$B:$B,'Emanet Miktar Dağılım'!$D12,'Gider Miktar'!$F:$F,1001)+SUMIFS('Gider Miktar'!AT:AT,'Gider Miktar'!$B:$B,'Emanet Miktar Dağılım'!$D12,'Gider Miktar'!$F:$F,1002)+SUMIFS('Gider Miktar'!AT:AT,'Gider Miktar'!$B:$B,'Emanet Miktar Dağılım'!$D12,'Gider Miktar'!$F:$F,1003)+SUMIFS('Gider Miktar'!AT:AT,'Gider Miktar'!$B:$B,'Emanet Miktar Dağılım'!$D12,'Gider Miktar'!$F:$F,1004)</f>
        <v>2238.5297394074514</v>
      </c>
      <c r="AL12" s="9">
        <f>+SUMIFS('Gider Miktar'!AU:AU,'Gider Miktar'!$B:$B,'Emanet Miktar Dağılım'!$D12,'Gider Miktar'!$F:$F,1001)+SUMIFS('Gider Miktar'!AU:AU,'Gider Miktar'!$B:$B,'Emanet Miktar Dağılım'!$D12,'Gider Miktar'!$F:$F,1002)+SUMIFS('Gider Miktar'!AU:AU,'Gider Miktar'!$B:$B,'Emanet Miktar Dağılım'!$D12,'Gider Miktar'!$F:$F,1003)+SUMIFS('Gider Miktar'!AU:AU,'Gider Miktar'!$B:$B,'Emanet Miktar Dağılım'!$D12,'Gider Miktar'!$F:$F,1004)</f>
        <v>1943.1365730900206</v>
      </c>
      <c r="AM12" s="9">
        <f>+SUMIFS('Gider Miktar'!AV:AV,'Gider Miktar'!$B:$B,'Emanet Miktar Dağılım'!$D12,'Gider Miktar'!$F:$F,1001)+SUMIFS('Gider Miktar'!AV:AV,'Gider Miktar'!$B:$B,'Emanet Miktar Dağılım'!$D12,'Gider Miktar'!$F:$F,1002)+SUMIFS('Gider Miktar'!AV:AV,'Gider Miktar'!$B:$B,'Emanet Miktar Dağılım'!$D12,'Gider Miktar'!$F:$F,1003)+SUMIFS('Gider Miktar'!AV:AV,'Gider Miktar'!$B:$B,'Emanet Miktar Dağılım'!$D12,'Gider Miktar'!$F:$F,1004)</f>
        <v>1943.1365730900206</v>
      </c>
      <c r="AN12" s="9">
        <f>+SUMIFS('Gider Miktar'!AW:AW,'Gider Miktar'!$B:$B,'Emanet Miktar Dağılım'!$D12,'Gider Miktar'!$F:$F,1001)+SUMIFS('Gider Miktar'!AW:AW,'Gider Miktar'!$B:$B,'Emanet Miktar Dağılım'!$D12,'Gider Miktar'!$F:$F,1002)+SUMIFS('Gider Miktar'!AW:AW,'Gider Miktar'!$B:$B,'Emanet Miktar Dağılım'!$D12,'Gider Miktar'!$F:$F,1003)+SUMIFS('Gider Miktar'!AW:AW,'Gider Miktar'!$B:$B,'Emanet Miktar Dağılım'!$D12,'Gider Miktar'!$F:$F,1004)</f>
        <v>1458.3094210828972</v>
      </c>
      <c r="AO12" s="9">
        <f>+SUMIFS('Gider Miktar'!AX:AX,'Gider Miktar'!$B:$B,'Emanet Miktar Dağılım'!$D12,'Gider Miktar'!$F:$F,1001)+SUMIFS('Gider Miktar'!AX:AX,'Gider Miktar'!$B:$B,'Emanet Miktar Dağılım'!$D12,'Gider Miktar'!$F:$F,1002)+SUMIFS('Gider Miktar'!AX:AX,'Gider Miktar'!$B:$B,'Emanet Miktar Dağılım'!$D12,'Gider Miktar'!$F:$F,1003)+SUMIFS('Gider Miktar'!AX:AX,'Gider Miktar'!$B:$B,'Emanet Miktar Dağılım'!$D12,'Gider Miktar'!$F:$F,1004)</f>
        <v>1812.7812206638164</v>
      </c>
      <c r="AP12" s="9">
        <f>+SUMIFS('Gider Miktar'!AY:AY,'Gider Miktar'!$B:$B,'Emanet Miktar Dağılım'!$D12,'Gider Miktar'!$F:$F,1001)+SUMIFS('Gider Miktar'!AY:AY,'Gider Miktar'!$B:$B,'Emanet Miktar Dağılım'!$D12,'Gider Miktar'!$F:$F,1002)+SUMIFS('Gider Miktar'!AY:AY,'Gider Miktar'!$B:$B,'Emanet Miktar Dağılım'!$D12,'Gider Miktar'!$F:$F,1003)+SUMIFS('Gider Miktar'!AY:AY,'Gider Miktar'!$B:$B,'Emanet Miktar Dağılım'!$D12,'Gider Miktar'!$F:$F,1004)</f>
        <v>1812.7812206638164</v>
      </c>
      <c r="AQ12" s="9">
        <f>+SUMIFS('Gider Miktar'!AZ:AZ,'Gider Miktar'!$B:$B,'Emanet Miktar Dağılım'!$D12,'Gider Miktar'!$F:$F,1001)+SUMIFS('Gider Miktar'!AZ:AZ,'Gider Miktar'!$B:$B,'Emanet Miktar Dağılım'!$D12,'Gider Miktar'!$F:$F,1002)+SUMIFS('Gider Miktar'!AZ:AZ,'Gider Miktar'!$B:$B,'Emanet Miktar Dağılım'!$D12,'Gider Miktar'!$F:$F,1003)+SUMIFS('Gider Miktar'!AZ:AZ,'Gider Miktar'!$B:$B,'Emanet Miktar Dağılım'!$D12,'Gider Miktar'!$F:$F,1004)</f>
        <v>1458.3094210828972</v>
      </c>
      <c r="AR12" s="9">
        <f>+SUMIFS('Gider Miktar'!BA:BA,'Gider Miktar'!$B:$B,'Emanet Miktar Dağılım'!$D12,'Gider Miktar'!$F:$F,1001)+SUMIFS('Gider Miktar'!BA:BA,'Gider Miktar'!$B:$B,'Emanet Miktar Dağılım'!$D12,'Gider Miktar'!$F:$F,1002)+SUMIFS('Gider Miktar'!BA:BA,'Gider Miktar'!$B:$B,'Emanet Miktar Dağılım'!$D12,'Gider Miktar'!$F:$F,1003)+SUMIFS('Gider Miktar'!BA:BA,'Gider Miktar'!$B:$B,'Emanet Miktar Dağılım'!$D12,'Gider Miktar'!$F:$F,1004)</f>
        <v>0</v>
      </c>
      <c r="AS12" s="9">
        <f>+SUMIFS('Gider Miktar'!BB:BB,'Gider Miktar'!$B:$B,'Emanet Miktar Dağılım'!$D12,'Gider Miktar'!$F:$F,1001)+SUMIFS('Gider Miktar'!BB:BB,'Gider Miktar'!$B:$B,'Emanet Miktar Dağılım'!$D12,'Gider Miktar'!$F:$F,1002)+SUMIFS('Gider Miktar'!BB:BB,'Gider Miktar'!$B:$B,'Emanet Miktar Dağılım'!$D12,'Gider Miktar'!$F:$F,1003)+SUMIFS('Gider Miktar'!BB:BB,'Gider Miktar'!$B:$B,'Emanet Miktar Dağılım'!$D12,'Gider Miktar'!$F:$F,1004)</f>
        <v>0</v>
      </c>
      <c r="AT12" s="9">
        <f>+SUMIFS('Gider Miktar'!BC:BC,'Gider Miktar'!$B:$B,'Emanet Miktar Dağılım'!$D12,'Gider Miktar'!$F:$F,1001)+SUMIFS('Gider Miktar'!BC:BC,'Gider Miktar'!$B:$B,'Emanet Miktar Dağılım'!$D12,'Gider Miktar'!$F:$F,1002)+SUMIFS('Gider Miktar'!BC:BC,'Gider Miktar'!$B:$B,'Emanet Miktar Dağılım'!$D12,'Gider Miktar'!$F:$F,1003)+SUMIFS('Gider Miktar'!BC:BC,'Gider Miktar'!$B:$B,'Emanet Miktar Dağılım'!$D12,'Gider Miktar'!$F:$F,1004)</f>
        <v>0</v>
      </c>
      <c r="AU12" s="9">
        <f>+SUMIFS('Gider Miktar'!BD:BD,'Gider Miktar'!$B:$B,'Emanet Miktar Dağılım'!$D12,'Gider Miktar'!$F:$F,1001)+SUMIFS('Gider Miktar'!BD:BD,'Gider Miktar'!$B:$B,'Emanet Miktar Dağılım'!$D12,'Gider Miktar'!$F:$F,1002)+SUMIFS('Gider Miktar'!BD:BD,'Gider Miktar'!$B:$B,'Emanet Miktar Dağılım'!$D12,'Gider Miktar'!$F:$F,1003)+SUMIFS('Gider Miktar'!BD:BD,'Gider Miktar'!$B:$B,'Emanet Miktar Dağılım'!$D12,'Gider Miktar'!$F:$F,1004)</f>
        <v>0</v>
      </c>
      <c r="AV12" s="9">
        <f>+SUMIFS('Gider Miktar'!BE:BE,'Gider Miktar'!$B:$B,'Emanet Miktar Dağılım'!$D12,'Gider Miktar'!$F:$F,1001)+SUMIFS('Gider Miktar'!BE:BE,'Gider Miktar'!$B:$B,'Emanet Miktar Dağılım'!$D12,'Gider Miktar'!$F:$F,1002)+SUMIFS('Gider Miktar'!BE:BE,'Gider Miktar'!$B:$B,'Emanet Miktar Dağılım'!$D12,'Gider Miktar'!$F:$F,1003)+SUMIFS('Gider Miktar'!BE:BE,'Gider Miktar'!$B:$B,'Emanet Miktar Dağılım'!$D12,'Gider Miktar'!$F:$F,1004)</f>
        <v>0</v>
      </c>
      <c r="AW12" s="9">
        <f>+SUMIFS('Gider Miktar'!BF:BF,'Gider Miktar'!$B:$B,'Emanet Miktar Dağılım'!$D12,'Gider Miktar'!$F:$F,1001)+SUMIFS('Gider Miktar'!BF:BF,'Gider Miktar'!$B:$B,'Emanet Miktar Dağılım'!$D12,'Gider Miktar'!$F:$F,1002)+SUMIFS('Gider Miktar'!BF:BF,'Gider Miktar'!$B:$B,'Emanet Miktar Dağılım'!$D12,'Gider Miktar'!$F:$F,1003)+SUMIFS('Gider Miktar'!BF:BF,'Gider Miktar'!$B:$B,'Emanet Miktar Dağılım'!$D12,'Gider Miktar'!$F:$F,1004)</f>
        <v>0</v>
      </c>
      <c r="AX12" s="9">
        <f>+SUMIFS('Gider Miktar'!BG:BG,'Gider Miktar'!$B:$B,'Emanet Miktar Dağılım'!$D12,'Gider Miktar'!$F:$F,1001)+SUMIFS('Gider Miktar'!BG:BG,'Gider Miktar'!$B:$B,'Emanet Miktar Dağılım'!$D12,'Gider Miktar'!$F:$F,1002)+SUMIFS('Gider Miktar'!BG:BG,'Gider Miktar'!$B:$B,'Emanet Miktar Dağılım'!$D12,'Gider Miktar'!$F:$F,1003)+SUMIFS('Gider Miktar'!BG:BG,'Gider Miktar'!$B:$B,'Emanet Miktar Dağılım'!$D12,'Gider Miktar'!$F:$F,1004)</f>
        <v>0</v>
      </c>
      <c r="AY12" s="9">
        <f>+SUMIFS('Gider Miktar'!BH:BH,'Gider Miktar'!$B:$B,'Emanet Miktar Dağılım'!$D12,'Gider Miktar'!$F:$F,1001)+SUMIFS('Gider Miktar'!BH:BH,'Gider Miktar'!$B:$B,'Emanet Miktar Dağılım'!$D12,'Gider Miktar'!$F:$F,1002)+SUMIFS('Gider Miktar'!BH:BH,'Gider Miktar'!$B:$B,'Emanet Miktar Dağılım'!$D12,'Gider Miktar'!$F:$F,1003)+SUMIFS('Gider Miktar'!BH:BH,'Gider Miktar'!$B:$B,'Emanet Miktar Dağılım'!$D12,'Gider Miktar'!$F:$F,1004)</f>
        <v>0</v>
      </c>
      <c r="AZ12" s="9">
        <f>+SUMIFS('Gider Miktar'!BI:BI,'Gider Miktar'!$B:$B,'Emanet Miktar Dağılım'!$D12,'Gider Miktar'!$F:$F,1001)+SUMIFS('Gider Miktar'!BI:BI,'Gider Miktar'!$B:$B,'Emanet Miktar Dağılım'!$D12,'Gider Miktar'!$F:$F,1002)+SUMIFS('Gider Miktar'!BI:BI,'Gider Miktar'!$B:$B,'Emanet Miktar Dağılım'!$D12,'Gider Miktar'!$F:$F,1003)+SUMIFS('Gider Miktar'!BI:BI,'Gider Miktar'!$B:$B,'Emanet Miktar Dağılım'!$D12,'Gider Miktar'!$F:$F,1004)</f>
        <v>0</v>
      </c>
      <c r="BA12" s="9">
        <f>+SUMIFS('Gider Miktar'!BJ:BJ,'Gider Miktar'!$B:$B,'Emanet Miktar Dağılım'!$D12,'Gider Miktar'!$F:$F,1001)+SUMIFS('Gider Miktar'!BJ:BJ,'Gider Miktar'!$B:$B,'Emanet Miktar Dağılım'!$D12,'Gider Miktar'!$F:$F,1002)+SUMIFS('Gider Miktar'!BJ:BJ,'Gider Miktar'!$B:$B,'Emanet Miktar Dağılım'!$D12,'Gider Miktar'!$F:$F,1003)+SUMIFS('Gider Miktar'!BJ:BJ,'Gider Miktar'!$B:$B,'Emanet Miktar Dağılım'!$D12,'Gider Miktar'!$F:$F,1004)</f>
        <v>0</v>
      </c>
      <c r="BB12" s="9">
        <f>+SUMIFS('Gider Miktar'!BK:BK,'Gider Miktar'!$B:$B,'Emanet Miktar Dağılım'!$D12,'Gider Miktar'!$F:$F,1001)+SUMIFS('Gider Miktar'!BK:BK,'Gider Miktar'!$B:$B,'Emanet Miktar Dağılım'!$D12,'Gider Miktar'!$F:$F,1002)+SUMIFS('Gider Miktar'!BK:BK,'Gider Miktar'!$B:$B,'Emanet Miktar Dağılım'!$D12,'Gider Miktar'!$F:$F,1003)+SUMIFS('Gider Miktar'!BK:BK,'Gider Miktar'!$B:$B,'Emanet Miktar Dağılım'!$D12,'Gider Miktar'!$F:$F,1004)</f>
        <v>0</v>
      </c>
      <c r="BC12" s="9">
        <f>+SUMIFS('Gider Miktar'!BL:BL,'Gider Miktar'!$B:$B,'Emanet Miktar Dağılım'!$D12,'Gider Miktar'!$F:$F,1001)+SUMIFS('Gider Miktar'!BL:BL,'Gider Miktar'!$B:$B,'Emanet Miktar Dağılım'!$D12,'Gider Miktar'!$F:$F,1002)+SUMIFS('Gider Miktar'!BL:BL,'Gider Miktar'!$B:$B,'Emanet Miktar Dağılım'!$D12,'Gider Miktar'!$F:$F,1003)+SUMIFS('Gider Miktar'!BL:BL,'Gider Miktar'!$B:$B,'Emanet Miktar Dağılım'!$D12,'Gider Miktar'!$F:$F,1004)</f>
        <v>0</v>
      </c>
      <c r="BD12" s="9">
        <f>+SUMIFS('Gider Miktar'!BM:BM,'Gider Miktar'!$B:$B,'Emanet Miktar Dağılım'!$D12,'Gider Miktar'!$F:$F,1001)+SUMIFS('Gider Miktar'!BM:BM,'Gider Miktar'!$B:$B,'Emanet Miktar Dağılım'!$D12,'Gider Miktar'!$F:$F,1002)+SUMIFS('Gider Miktar'!BM:BM,'Gider Miktar'!$B:$B,'Emanet Miktar Dağılım'!$D12,'Gider Miktar'!$F:$F,1003)+SUMIFS('Gider Miktar'!BM:BM,'Gider Miktar'!$B:$B,'Emanet Miktar Dağılım'!$D12,'Gider Miktar'!$F:$F,1004)</f>
        <v>0</v>
      </c>
      <c r="BE12" s="9">
        <f>+SUMIFS('Gider Miktar'!BN:BN,'Gider Miktar'!$B:$B,'Emanet Miktar Dağılım'!$D12,'Gider Miktar'!$F:$F,1001)+SUMIFS('Gider Miktar'!BN:BN,'Gider Miktar'!$B:$B,'Emanet Miktar Dağılım'!$D12,'Gider Miktar'!$F:$F,1002)+SUMIFS('Gider Miktar'!BN:BN,'Gider Miktar'!$B:$B,'Emanet Miktar Dağılım'!$D12,'Gider Miktar'!$F:$F,1003)+SUMIFS('Gider Miktar'!BN:BN,'Gider Miktar'!$B:$B,'Emanet Miktar Dağılım'!$D12,'Gider Miktar'!$F:$F,1004)</f>
        <v>0</v>
      </c>
      <c r="BF12" s="9">
        <f>+SUMIFS('Gider Miktar'!BO:BO,'Gider Miktar'!$B:$B,'Emanet Miktar Dağılım'!$D12,'Gider Miktar'!$F:$F,1001)+SUMIFS('Gider Miktar'!BO:BO,'Gider Miktar'!$B:$B,'Emanet Miktar Dağılım'!$D12,'Gider Miktar'!$F:$F,1002)+SUMIFS('Gider Miktar'!BO:BO,'Gider Miktar'!$B:$B,'Emanet Miktar Dağılım'!$D12,'Gider Miktar'!$F:$F,1003)+SUMIFS('Gider Miktar'!BO:BO,'Gider Miktar'!$B:$B,'Emanet Miktar Dağılım'!$D12,'Gider Miktar'!$F:$F,1004)</f>
        <v>0</v>
      </c>
      <c r="BG12" s="9">
        <f>+SUMIFS('Gider Miktar'!BP:BP,'Gider Miktar'!$B:$B,'Emanet Miktar Dağılım'!$D12,'Gider Miktar'!$F:$F,1001)+SUMIFS('Gider Miktar'!BP:BP,'Gider Miktar'!$B:$B,'Emanet Miktar Dağılım'!$D12,'Gider Miktar'!$F:$F,1002)+SUMIFS('Gider Miktar'!BP:BP,'Gider Miktar'!$B:$B,'Emanet Miktar Dağılım'!$D12,'Gider Miktar'!$F:$F,1003)+SUMIFS('Gider Miktar'!BP:BP,'Gider Miktar'!$B:$B,'Emanet Miktar Dağılım'!$D12,'Gider Miktar'!$F:$F,1004)</f>
        <v>0</v>
      </c>
      <c r="BH12" s="9">
        <f>+SUMIFS('Gider Miktar'!BQ:BQ,'Gider Miktar'!$B:$B,'Emanet Miktar Dağılım'!$D12,'Gider Miktar'!$F:$F,1001)+SUMIFS('Gider Miktar'!BQ:BQ,'Gider Miktar'!$B:$B,'Emanet Miktar Dağılım'!$D12,'Gider Miktar'!$F:$F,1002)+SUMIFS('Gider Miktar'!BQ:BQ,'Gider Miktar'!$B:$B,'Emanet Miktar Dağılım'!$D12,'Gider Miktar'!$F:$F,1003)+SUMIFS('Gider Miktar'!BQ:BQ,'Gider Miktar'!$B:$B,'Emanet Miktar Dağılım'!$D12,'Gider Miktar'!$F:$F,1004)</f>
        <v>0</v>
      </c>
      <c r="BI12" s="9">
        <f>+SUMIFS('Gider Miktar'!BR:BR,'Gider Miktar'!$B:$B,'Emanet Miktar Dağılım'!$D12,'Gider Miktar'!$F:$F,1001)+SUMIFS('Gider Miktar'!BR:BR,'Gider Miktar'!$B:$B,'Emanet Miktar Dağılım'!$D12,'Gider Miktar'!$F:$F,1002)+SUMIFS('Gider Miktar'!BR:BR,'Gider Miktar'!$B:$B,'Emanet Miktar Dağılım'!$D12,'Gider Miktar'!$F:$F,1003)+SUMIFS('Gider Miktar'!BR:BR,'Gider Miktar'!$B:$B,'Emanet Miktar Dağılım'!$D12,'Gider Miktar'!$F:$F,1004)</f>
        <v>0</v>
      </c>
      <c r="BJ12" s="9">
        <f>+SUMIFS('Gider Miktar'!BS:BS,'Gider Miktar'!$B:$B,'Emanet Miktar Dağılım'!$D12,'Gider Miktar'!$F:$F,1001)+SUMIFS('Gider Miktar'!BS:BS,'Gider Miktar'!$B:$B,'Emanet Miktar Dağılım'!$D12,'Gider Miktar'!$F:$F,1002)+SUMIFS('Gider Miktar'!BS:BS,'Gider Miktar'!$B:$B,'Emanet Miktar Dağılım'!$D12,'Gider Miktar'!$F:$F,1003)+SUMIFS('Gider Miktar'!BS:BS,'Gider Miktar'!$B:$B,'Emanet Miktar Dağılım'!$D12,'Gider Miktar'!$F:$F,1004)</f>
        <v>0</v>
      </c>
      <c r="BK12" s="9">
        <f>+SUMIFS('Gider Miktar'!BT:BT,'Gider Miktar'!$B:$B,'Emanet Miktar Dağılım'!$D12,'Gider Miktar'!$F:$F,1001)+SUMIFS('Gider Miktar'!BT:BT,'Gider Miktar'!$B:$B,'Emanet Miktar Dağılım'!$D12,'Gider Miktar'!$F:$F,1002)+SUMIFS('Gider Miktar'!BT:BT,'Gider Miktar'!$B:$B,'Emanet Miktar Dağılım'!$D12,'Gider Miktar'!$F:$F,1003)+SUMIFS('Gider Miktar'!BT:BT,'Gider Miktar'!$B:$B,'Emanet Miktar Dağılım'!$D12,'Gider Miktar'!$F:$F,1004)</f>
        <v>0</v>
      </c>
      <c r="BL12" s="9">
        <f>+SUMIFS('Gider Miktar'!BU:BU,'Gider Miktar'!$B:$B,'Emanet Miktar Dağılım'!$D12,'Gider Miktar'!$F:$F,1001)+SUMIFS('Gider Miktar'!BU:BU,'Gider Miktar'!$B:$B,'Emanet Miktar Dağılım'!$D12,'Gider Miktar'!$F:$F,1002)+SUMIFS('Gider Miktar'!BU:BU,'Gider Miktar'!$B:$B,'Emanet Miktar Dağılım'!$D12,'Gider Miktar'!$F:$F,1003)+SUMIFS('Gider Miktar'!BU:BU,'Gider Miktar'!$B:$B,'Emanet Miktar Dağılım'!$D12,'Gider Miktar'!$F:$F,1004)</f>
        <v>0</v>
      </c>
      <c r="BM12" s="9">
        <f>+SUMIFS('Gider Miktar'!BV:BV,'Gider Miktar'!$B:$B,'Emanet Miktar Dağılım'!$D12,'Gider Miktar'!$F:$F,1001)+SUMIFS('Gider Miktar'!BV:BV,'Gider Miktar'!$B:$B,'Emanet Miktar Dağılım'!$D12,'Gider Miktar'!$F:$F,1002)+SUMIFS('Gider Miktar'!BV:BV,'Gider Miktar'!$B:$B,'Emanet Miktar Dağılım'!$D12,'Gider Miktar'!$F:$F,1003)+SUMIFS('Gider Miktar'!BV:BV,'Gider Miktar'!$B:$B,'Emanet Miktar Dağılım'!$D12,'Gider Miktar'!$F:$F,1004)</f>
        <v>0</v>
      </c>
      <c r="BN12" s="9">
        <f>+SUMIFS('Gider Miktar'!BW:BW,'Gider Miktar'!$B:$B,'Emanet Miktar Dağılım'!$D12,'Gider Miktar'!$F:$F,1001)+SUMIFS('Gider Miktar'!BW:BW,'Gider Miktar'!$B:$B,'Emanet Miktar Dağılım'!$D12,'Gider Miktar'!$F:$F,1002)+SUMIFS('Gider Miktar'!BW:BW,'Gider Miktar'!$B:$B,'Emanet Miktar Dağılım'!$D12,'Gider Miktar'!$F:$F,1003)+SUMIFS('Gider Miktar'!BW:BW,'Gider Miktar'!$B:$B,'Emanet Miktar Dağılım'!$D12,'Gider Miktar'!$F:$F,1004)</f>
        <v>0</v>
      </c>
      <c r="BO12" s="9">
        <f>+SUMIFS('Gider Miktar'!BX:BX,'Gider Miktar'!$B:$B,'Emanet Miktar Dağılım'!$D12,'Gider Miktar'!$F:$F,1001)+SUMIFS('Gider Miktar'!BX:BX,'Gider Miktar'!$B:$B,'Emanet Miktar Dağılım'!$D12,'Gider Miktar'!$F:$F,1002)+SUMIFS('Gider Miktar'!BX:BX,'Gider Miktar'!$B:$B,'Emanet Miktar Dağılım'!$D12,'Gider Miktar'!$F:$F,1003)+SUMIFS('Gider Miktar'!BX:BX,'Gider Miktar'!$B:$B,'Emanet Miktar Dağılım'!$D12,'Gider Miktar'!$F:$F,1004)</f>
        <v>0</v>
      </c>
    </row>
    <row r="13" spans="2:67">
      <c r="D13" t="s">
        <v>15</v>
      </c>
      <c r="E13" s="9">
        <f>+SUMIFS('Gider Miktar'!N:N,'Gider Miktar'!$B:$B,'Emanet Miktar Dağılım'!$D13,'Gider Miktar'!$F:$F,1001)+SUMIFS('Gider Miktar'!N:N,'Gider Miktar'!$B:$B,'Emanet Miktar Dağılım'!$D13,'Gider Miktar'!$F:$F,1002)+SUMIFS('Gider Miktar'!N:N,'Gider Miktar'!$B:$B,'Emanet Miktar Dağılım'!$D13,'Gider Miktar'!$F:$F,1003)+SUMIFS('Gider Miktar'!N:N,'Gider Miktar'!$B:$B,'Emanet Miktar Dağılım'!$D13,'Gider Miktar'!$F:$F,1004)</f>
        <v>0</v>
      </c>
      <c r="F13" s="9">
        <f>+SUMIFS('Gider Miktar'!O:O,'Gider Miktar'!$B:$B,'Emanet Miktar Dağılım'!$D13,'Gider Miktar'!$F:$F,1001)+SUMIFS('Gider Miktar'!O:O,'Gider Miktar'!$B:$B,'Emanet Miktar Dağılım'!$D13,'Gider Miktar'!$F:$F,1002)+SUMIFS('Gider Miktar'!O:O,'Gider Miktar'!$B:$B,'Emanet Miktar Dağılım'!$D13,'Gider Miktar'!$F:$F,1003)+SUMIFS('Gider Miktar'!O:O,'Gider Miktar'!$B:$B,'Emanet Miktar Dağılım'!$D13,'Gider Miktar'!$F:$F,1004)</f>
        <v>0</v>
      </c>
      <c r="G13" s="9">
        <f>+SUMIFS('Gider Miktar'!P:P,'Gider Miktar'!$B:$B,'Emanet Miktar Dağılım'!$D13,'Gider Miktar'!$F:$F,1001)+SUMIFS('Gider Miktar'!P:P,'Gider Miktar'!$B:$B,'Emanet Miktar Dağılım'!$D13,'Gider Miktar'!$F:$F,1002)+SUMIFS('Gider Miktar'!P:P,'Gider Miktar'!$B:$B,'Emanet Miktar Dağılım'!$D13,'Gider Miktar'!$F:$F,1003)+SUMIFS('Gider Miktar'!P:P,'Gider Miktar'!$B:$B,'Emanet Miktar Dağılım'!$D13,'Gider Miktar'!$F:$F,1004)</f>
        <v>2646</v>
      </c>
      <c r="H13" s="9">
        <f>+SUMIFS('Gider Miktar'!Q:Q,'Gider Miktar'!$B:$B,'Emanet Miktar Dağılım'!$D13,'Gider Miktar'!$F:$F,1001)+SUMIFS('Gider Miktar'!Q:Q,'Gider Miktar'!$B:$B,'Emanet Miktar Dağılım'!$D13,'Gider Miktar'!$F:$F,1002)+SUMIFS('Gider Miktar'!Q:Q,'Gider Miktar'!$B:$B,'Emanet Miktar Dağılım'!$D13,'Gider Miktar'!$F:$F,1003)+SUMIFS('Gider Miktar'!Q:Q,'Gider Miktar'!$B:$B,'Emanet Miktar Dağılım'!$D13,'Gider Miktar'!$F:$F,1004)</f>
        <v>2550</v>
      </c>
      <c r="I13" s="9">
        <f>+SUMIFS('Gider Miktar'!R:R,'Gider Miktar'!$B:$B,'Emanet Miktar Dağılım'!$D13,'Gider Miktar'!$F:$F,1001)+SUMIFS('Gider Miktar'!R:R,'Gider Miktar'!$B:$B,'Emanet Miktar Dağılım'!$D13,'Gider Miktar'!$F:$F,1002)+SUMIFS('Gider Miktar'!R:R,'Gider Miktar'!$B:$B,'Emanet Miktar Dağılım'!$D13,'Gider Miktar'!$F:$F,1003)+SUMIFS('Gider Miktar'!R:R,'Gider Miktar'!$B:$B,'Emanet Miktar Dağılım'!$D13,'Gider Miktar'!$F:$F,1004)</f>
        <v>1615</v>
      </c>
      <c r="J13" s="9">
        <f>+SUMIFS('Gider Miktar'!S:S,'Gider Miktar'!$B:$B,'Emanet Miktar Dağılım'!$D13,'Gider Miktar'!$F:$F,1001)+SUMIFS('Gider Miktar'!S:S,'Gider Miktar'!$B:$B,'Emanet Miktar Dağılım'!$D13,'Gider Miktar'!$F:$F,1002)+SUMIFS('Gider Miktar'!S:S,'Gider Miktar'!$B:$B,'Emanet Miktar Dağılım'!$D13,'Gider Miktar'!$F:$F,1003)+SUMIFS('Gider Miktar'!S:S,'Gider Miktar'!$B:$B,'Emanet Miktar Dağılım'!$D13,'Gider Miktar'!$F:$F,1004)</f>
        <v>1398</v>
      </c>
      <c r="K13" s="9">
        <f>+SUMIFS('Gider Miktar'!T:T,'Gider Miktar'!$B:$B,'Emanet Miktar Dağılım'!$D13,'Gider Miktar'!$F:$F,1001)+SUMIFS('Gider Miktar'!T:T,'Gider Miktar'!$B:$B,'Emanet Miktar Dağılım'!$D13,'Gider Miktar'!$F:$F,1002)+SUMIFS('Gider Miktar'!T:T,'Gider Miktar'!$B:$B,'Emanet Miktar Dağılım'!$D13,'Gider Miktar'!$F:$F,1003)+SUMIFS('Gider Miktar'!T:T,'Gider Miktar'!$B:$B,'Emanet Miktar Dağılım'!$D13,'Gider Miktar'!$F:$F,1004)</f>
        <v>806</v>
      </c>
      <c r="L13" s="9">
        <f>+SUMIFS('Gider Miktar'!U:U,'Gider Miktar'!$B:$B,'Emanet Miktar Dağılım'!$D13,'Gider Miktar'!$F:$F,1001)+SUMIFS('Gider Miktar'!U:U,'Gider Miktar'!$B:$B,'Emanet Miktar Dağılım'!$D13,'Gider Miktar'!$F:$F,1002)+SUMIFS('Gider Miktar'!U:U,'Gider Miktar'!$B:$B,'Emanet Miktar Dağılım'!$D13,'Gider Miktar'!$F:$F,1003)+SUMIFS('Gider Miktar'!U:U,'Gider Miktar'!$B:$B,'Emanet Miktar Dağılım'!$D13,'Gider Miktar'!$F:$F,1004)</f>
        <v>-2</v>
      </c>
      <c r="M13" s="9">
        <f>+SUMIFS('Gider Miktar'!V:V,'Gider Miktar'!$B:$B,'Emanet Miktar Dağılım'!$D13,'Gider Miktar'!$F:$F,1001)+SUMIFS('Gider Miktar'!V:V,'Gider Miktar'!$B:$B,'Emanet Miktar Dağılım'!$D13,'Gider Miktar'!$F:$F,1002)+SUMIFS('Gider Miktar'!V:V,'Gider Miktar'!$B:$B,'Emanet Miktar Dağılım'!$D13,'Gider Miktar'!$F:$F,1003)+SUMIFS('Gider Miktar'!V:V,'Gider Miktar'!$B:$B,'Emanet Miktar Dağılım'!$D13,'Gider Miktar'!$F:$F,1004)</f>
        <v>184</v>
      </c>
      <c r="N13" s="11">
        <f>+SUMIFS('Gider Miktar'!W:W,'Gider Miktar'!$B:$B,'Emanet Miktar Dağılım'!$D13,'Gider Miktar'!$F:$F,1001)+SUMIFS('Gider Miktar'!W:W,'Gider Miktar'!$B:$B,'Emanet Miktar Dağılım'!$D13,'Gider Miktar'!$F:$F,1002)+SUMIFS('Gider Miktar'!W:W,'Gider Miktar'!$B:$B,'Emanet Miktar Dağılım'!$D13,'Gider Miktar'!$F:$F,1003)+SUMIFS('Gider Miktar'!W:W,'Gider Miktar'!$B:$B,'Emanet Miktar Dağılım'!$D13,'Gider Miktar'!$F:$F,1004)</f>
        <v>24</v>
      </c>
      <c r="O13" s="9">
        <f>+SUMIFS('Gider Miktar'!X:X,'Gider Miktar'!$B:$B,'Emanet Miktar Dağılım'!$D13,'Gider Miktar'!$F:$F,1001)+SUMIFS('Gider Miktar'!X:X,'Gider Miktar'!$B:$B,'Emanet Miktar Dağılım'!$D13,'Gider Miktar'!$F:$F,1002)+SUMIFS('Gider Miktar'!X:X,'Gider Miktar'!$B:$B,'Emanet Miktar Dağılım'!$D13,'Gider Miktar'!$F:$F,1003)+SUMIFS('Gider Miktar'!X:X,'Gider Miktar'!$B:$B,'Emanet Miktar Dağılım'!$D13,'Gider Miktar'!$F:$F,1004)</f>
        <v>150.26447969902119</v>
      </c>
      <c r="P13" s="9">
        <f>+SUMIFS('Gider Miktar'!Y:Y,'Gider Miktar'!$B:$B,'Emanet Miktar Dağılım'!$D13,'Gider Miktar'!$F:$F,1001)+SUMIFS('Gider Miktar'!Y:Y,'Gider Miktar'!$B:$B,'Emanet Miktar Dağılım'!$D13,'Gider Miktar'!$F:$F,1002)+SUMIFS('Gider Miktar'!Y:Y,'Gider Miktar'!$B:$B,'Emanet Miktar Dağılım'!$D13,'Gider Miktar'!$F:$F,1003)+SUMIFS('Gider Miktar'!Y:Y,'Gider Miktar'!$B:$B,'Emanet Miktar Dağılım'!$D13,'Gider Miktar'!$F:$F,1004)</f>
        <v>353.19129298819462</v>
      </c>
      <c r="Q13" s="9">
        <f>+SUMIFS('Gider Miktar'!Z:Z,'Gider Miktar'!$B:$B,'Emanet Miktar Dağılım'!$D13,'Gider Miktar'!$F:$F,1001)+SUMIFS('Gider Miktar'!Z:Z,'Gider Miktar'!$B:$B,'Emanet Miktar Dağılım'!$D13,'Gider Miktar'!$F:$F,1002)+SUMIFS('Gider Miktar'!Z:Z,'Gider Miktar'!$B:$B,'Emanet Miktar Dağılım'!$D13,'Gider Miktar'!$F:$F,1003)+SUMIFS('Gider Miktar'!Z:Z,'Gider Miktar'!$B:$B,'Emanet Miktar Dağılım'!$D13,'Gider Miktar'!$F:$F,1004)</f>
        <v>241.09155749629542</v>
      </c>
      <c r="R13" s="9">
        <f>+SUMIFS('Gider Miktar'!AA:AA,'Gider Miktar'!$B:$B,'Emanet Miktar Dağılım'!$D13,'Gider Miktar'!$F:$F,1001)+SUMIFS('Gider Miktar'!AA:AA,'Gider Miktar'!$B:$B,'Emanet Miktar Dağılım'!$D13,'Gider Miktar'!$F:$F,1002)+SUMIFS('Gider Miktar'!AA:AA,'Gider Miktar'!$B:$B,'Emanet Miktar Dağılım'!$D13,'Gider Miktar'!$F:$F,1003)+SUMIFS('Gider Miktar'!AA:AA,'Gider Miktar'!$B:$B,'Emanet Miktar Dağılım'!$D13,'Gider Miktar'!$F:$F,1004)</f>
        <v>375.67042565105447</v>
      </c>
      <c r="S13" s="9">
        <f>+SUMIFS('Gider Miktar'!AB:AB,'Gider Miktar'!$B:$B,'Emanet Miktar Dağılım'!$D13,'Gider Miktar'!$F:$F,1001)+SUMIFS('Gider Miktar'!AB:AB,'Gider Miktar'!$B:$B,'Emanet Miktar Dağılım'!$D13,'Gider Miktar'!$F:$F,1002)+SUMIFS('Gider Miktar'!AB:AB,'Gider Miktar'!$B:$B,'Emanet Miktar Dağılım'!$D13,'Gider Miktar'!$F:$F,1003)+SUMIFS('Gider Miktar'!AB:AB,'Gider Miktar'!$B:$B,'Emanet Miktar Dağılım'!$D13,'Gider Miktar'!$F:$F,1004)</f>
        <v>263.57069015915528</v>
      </c>
      <c r="T13" s="9">
        <f>+SUMIFS('Gider Miktar'!AC:AC,'Gider Miktar'!$B:$B,'Emanet Miktar Dağılım'!$D13,'Gider Miktar'!$F:$F,1001)+SUMIFS('Gider Miktar'!AC:AC,'Gider Miktar'!$B:$B,'Emanet Miktar Dağılım'!$D13,'Gider Miktar'!$F:$F,1002)+SUMIFS('Gider Miktar'!AC:AC,'Gider Miktar'!$B:$B,'Emanet Miktar Dağılım'!$D13,'Gider Miktar'!$F:$F,1003)+SUMIFS('Gider Miktar'!AC:AC,'Gider Miktar'!$B:$B,'Emanet Miktar Dağılım'!$D13,'Gider Miktar'!$F:$F,1004)</f>
        <v>336.92775788183491</v>
      </c>
      <c r="U13" s="9">
        <f>+SUMIFS('Gider Miktar'!AD:AD,'Gider Miktar'!$B:$B,'Emanet Miktar Dağılım'!$D13,'Gider Miktar'!$F:$F,1001)+SUMIFS('Gider Miktar'!AD:AD,'Gider Miktar'!$B:$B,'Emanet Miktar Dağılım'!$D13,'Gider Miktar'!$F:$F,1002)+SUMIFS('Gider Miktar'!AD:AD,'Gider Miktar'!$B:$B,'Emanet Miktar Dağılım'!$D13,'Gider Miktar'!$F:$F,1003)+SUMIFS('Gider Miktar'!AD:AD,'Gider Miktar'!$B:$B,'Emanet Miktar Dağılım'!$D13,'Gider Miktar'!$F:$F,1004)</f>
        <v>726.06856191702127</v>
      </c>
      <c r="V13" s="9">
        <f>+SUMIFS('Gider Miktar'!AE:AE,'Gider Miktar'!$B:$B,'Emanet Miktar Dağılım'!$D13,'Gider Miktar'!$F:$F,1001)+SUMIFS('Gider Miktar'!AE:AE,'Gider Miktar'!$B:$B,'Emanet Miktar Dağılım'!$D13,'Gider Miktar'!$F:$F,1002)+SUMIFS('Gider Miktar'!AE:AE,'Gider Miktar'!$B:$B,'Emanet Miktar Dağılım'!$D13,'Gider Miktar'!$F:$F,1003)+SUMIFS('Gider Miktar'!AE:AE,'Gider Miktar'!$B:$B,'Emanet Miktar Dağılım'!$D13,'Gider Miktar'!$F:$F,1004)</f>
        <v>641.31938631821095</v>
      </c>
      <c r="W13" s="9">
        <f>+SUMIFS('Gider Miktar'!AF:AF,'Gider Miktar'!$B:$B,'Emanet Miktar Dağılım'!$D13,'Gider Miktar'!$F:$F,1001)+SUMIFS('Gider Miktar'!AF:AF,'Gider Miktar'!$B:$B,'Emanet Miktar Dağılım'!$D13,'Gider Miktar'!$F:$F,1002)+SUMIFS('Gider Miktar'!AF:AF,'Gider Miktar'!$B:$B,'Emanet Miktar Dağılım'!$D13,'Gider Miktar'!$F:$F,1003)+SUMIFS('Gider Miktar'!AF:AF,'Gider Miktar'!$B:$B,'Emanet Miktar Dağılım'!$D13,'Gider Miktar'!$F:$F,1004)</f>
        <v>550.4923085209366</v>
      </c>
      <c r="X13" s="9">
        <f>+SUMIFS('Gider Miktar'!AG:AG,'Gider Miktar'!$B:$B,'Emanet Miktar Dağılım'!$D13,'Gider Miktar'!$F:$F,1001)+SUMIFS('Gider Miktar'!AG:AG,'Gider Miktar'!$B:$B,'Emanet Miktar Dağılım'!$D13,'Gider Miktar'!$F:$F,1002)+SUMIFS('Gider Miktar'!AG:AG,'Gider Miktar'!$B:$B,'Emanet Miktar Dağılım'!$D13,'Gider Miktar'!$F:$F,1003)+SUMIFS('Gider Miktar'!AG:AG,'Gider Miktar'!$B:$B,'Emanet Miktar Dağılım'!$D13,'Gider Miktar'!$F:$F,1004)</f>
        <v>618.84025365535274</v>
      </c>
      <c r="Y13" s="9">
        <f>+SUMIFS('Gider Miktar'!AH:AH,'Gider Miktar'!$B:$B,'Emanet Miktar Dağılım'!$D13,'Gider Miktar'!$F:$F,1001)+SUMIFS('Gider Miktar'!AH:AH,'Gider Miktar'!$B:$B,'Emanet Miktar Dağılım'!$D13,'Gider Miktar'!$F:$F,1002)+SUMIFS('Gider Miktar'!AH:AH,'Gider Miktar'!$B:$B,'Emanet Miktar Dağılım'!$D13,'Gider Miktar'!$F:$F,1003)+SUMIFS('Gider Miktar'!AH:AH,'Gider Miktar'!$B:$B,'Emanet Miktar Dağılım'!$D13,'Gider Miktar'!$F:$F,1004)</f>
        <v>618.84025365535274</v>
      </c>
      <c r="Z13" s="9">
        <f>+SUMIFS('Gider Miktar'!AI:AI,'Gider Miktar'!$B:$B,'Emanet Miktar Dağılım'!$D13,'Gider Miktar'!$F:$F,1001)+SUMIFS('Gider Miktar'!AI:AI,'Gider Miktar'!$B:$B,'Emanet Miktar Dağılım'!$D13,'Gider Miktar'!$F:$F,1002)+SUMIFS('Gider Miktar'!AI:AI,'Gider Miktar'!$B:$B,'Emanet Miktar Dağılım'!$D13,'Gider Miktar'!$F:$F,1003)+SUMIFS('Gider Miktar'!AI:AI,'Gider Miktar'!$B:$B,'Emanet Miktar Dağılım'!$D13,'Gider Miktar'!$F:$F,1004)</f>
        <v>528.01317585807681</v>
      </c>
      <c r="AA13" s="9">
        <f>+SUMIFS('Gider Miktar'!AJ:AJ,'Gider Miktar'!$B:$B,'Emanet Miktar Dağılım'!$D13,'Gider Miktar'!$F:$F,1001)+SUMIFS('Gider Miktar'!AJ:AJ,'Gider Miktar'!$B:$B,'Emanet Miktar Dağılım'!$D13,'Gider Miktar'!$F:$F,1002)+SUMIFS('Gider Miktar'!AJ:AJ,'Gider Miktar'!$B:$B,'Emanet Miktar Dağılım'!$D13,'Gider Miktar'!$F:$F,1003)+SUMIFS('Gider Miktar'!AJ:AJ,'Gider Miktar'!$B:$B,'Emanet Miktar Dağılım'!$D13,'Gider Miktar'!$F:$F,1004)</f>
        <v>528.01317585807681</v>
      </c>
      <c r="AB13" s="9">
        <f>+SUMIFS('Gider Miktar'!AK:AK,'Gider Miktar'!$B:$B,'Emanet Miktar Dağılım'!$D13,'Gider Miktar'!$F:$F,1001)+SUMIFS('Gider Miktar'!AK:AK,'Gider Miktar'!$B:$B,'Emanet Miktar Dağılım'!$D13,'Gider Miktar'!$F:$F,1002)+SUMIFS('Gider Miktar'!AK:AK,'Gider Miktar'!$B:$B,'Emanet Miktar Dağılım'!$D13,'Gider Miktar'!$F:$F,1003)+SUMIFS('Gider Miktar'!AK:AK,'Gider Miktar'!$B:$B,'Emanet Miktar Dağılım'!$D13,'Gider Miktar'!$F:$F,1004)</f>
        <v>498.26870571161214</v>
      </c>
      <c r="AC13" s="9">
        <f>+SUMIFS('Gider Miktar'!AL:AL,'Gider Miktar'!$B:$B,'Emanet Miktar Dağılım'!$D13,'Gider Miktar'!$F:$F,1001)+SUMIFS('Gider Miktar'!AL:AL,'Gider Miktar'!$B:$B,'Emanet Miktar Dağılım'!$D13,'Gider Miktar'!$F:$F,1002)+SUMIFS('Gider Miktar'!AL:AL,'Gider Miktar'!$B:$B,'Emanet Miktar Dağılım'!$D13,'Gider Miktar'!$F:$F,1003)+SUMIFS('Gider Miktar'!AL:AL,'Gider Miktar'!$B:$B,'Emanet Miktar Dağılım'!$D13,'Gider Miktar'!$F:$F,1004)</f>
        <v>498.26870571161214</v>
      </c>
      <c r="AD13" s="9">
        <f>+SUMIFS('Gider Miktar'!AM:AM,'Gider Miktar'!$B:$B,'Emanet Miktar Dağılım'!$D13,'Gider Miktar'!$F:$F,1001)+SUMIFS('Gider Miktar'!AM:AM,'Gider Miktar'!$B:$B,'Emanet Miktar Dağılım'!$D13,'Gider Miktar'!$F:$F,1002)+SUMIFS('Gider Miktar'!AM:AM,'Gider Miktar'!$B:$B,'Emanet Miktar Dağılım'!$D13,'Gider Miktar'!$F:$F,1003)+SUMIFS('Gider Miktar'!AM:AM,'Gider Miktar'!$B:$B,'Emanet Miktar Dağılım'!$D13,'Gider Miktar'!$F:$F,1004)</f>
        <v>470.73888184918701</v>
      </c>
      <c r="AE13" s="9">
        <f>+SUMIFS('Gider Miktar'!AN:AN,'Gider Miktar'!$B:$B,'Emanet Miktar Dağılım'!$D13,'Gider Miktar'!$F:$F,1001)+SUMIFS('Gider Miktar'!AN:AN,'Gider Miktar'!$B:$B,'Emanet Miktar Dağılım'!$D13,'Gider Miktar'!$F:$F,1002)+SUMIFS('Gider Miktar'!AN:AN,'Gider Miktar'!$B:$B,'Emanet Miktar Dağılım'!$D13,'Gider Miktar'!$F:$F,1003)+SUMIFS('Gider Miktar'!AN:AN,'Gider Miktar'!$B:$B,'Emanet Miktar Dağılım'!$D13,'Gider Miktar'!$F:$F,1004)</f>
        <v>358.63914635728634</v>
      </c>
      <c r="AF13" s="9">
        <f>+SUMIFS('Gider Miktar'!AO:AO,'Gider Miktar'!$B:$B,'Emanet Miktar Dağılım'!$D13,'Gider Miktar'!$F:$F,1001)+SUMIFS('Gider Miktar'!AO:AO,'Gider Miktar'!$B:$B,'Emanet Miktar Dağılım'!$D13,'Gider Miktar'!$F:$F,1002)+SUMIFS('Gider Miktar'!AO:AO,'Gider Miktar'!$B:$B,'Emanet Miktar Dağılım'!$D13,'Gider Miktar'!$F:$F,1003)+SUMIFS('Gider Miktar'!AO:AO,'Gider Miktar'!$B:$B,'Emanet Miktar Dağılım'!$D13,'Gider Miktar'!$F:$F,1004)</f>
        <v>373.2734458578862</v>
      </c>
      <c r="AG13" s="9">
        <f>+SUMIFS('Gider Miktar'!AP:AP,'Gider Miktar'!$B:$B,'Emanet Miktar Dağılım'!$D13,'Gider Miktar'!$F:$F,1001)+SUMIFS('Gider Miktar'!AP:AP,'Gider Miktar'!$B:$B,'Emanet Miktar Dağılım'!$D13,'Gider Miktar'!$F:$F,1002)+SUMIFS('Gider Miktar'!AP:AP,'Gider Miktar'!$B:$B,'Emanet Miktar Dağılım'!$D13,'Gider Miktar'!$F:$F,1003)+SUMIFS('Gider Miktar'!AP:AP,'Gider Miktar'!$B:$B,'Emanet Miktar Dağılım'!$D13,'Gider Miktar'!$F:$F,1004)</f>
        <v>688.29999463895888</v>
      </c>
      <c r="AH13" s="9">
        <f>+SUMIFS('Gider Miktar'!AQ:AQ,'Gider Miktar'!$B:$B,'Emanet Miktar Dağılım'!$D13,'Gider Miktar'!$F:$F,1001)+SUMIFS('Gider Miktar'!AQ:AQ,'Gider Miktar'!$B:$B,'Emanet Miktar Dağılım'!$D13,'Gider Miktar'!$F:$F,1002)+SUMIFS('Gider Miktar'!AQ:AQ,'Gider Miktar'!$B:$B,'Emanet Miktar Dağılım'!$D13,'Gider Miktar'!$F:$F,1003)+SUMIFS('Gider Miktar'!AQ:AQ,'Gider Miktar'!$B:$B,'Emanet Miktar Dağılım'!$D13,'Gider Miktar'!$F:$F,1004)</f>
        <v>779.12707243623333</v>
      </c>
      <c r="AI13" s="9">
        <f>+SUMIFS('Gider Miktar'!AR:AR,'Gider Miktar'!$B:$B,'Emanet Miktar Dağılım'!$D13,'Gider Miktar'!$F:$F,1001)+SUMIFS('Gider Miktar'!AR:AR,'Gider Miktar'!$B:$B,'Emanet Miktar Dağılım'!$D13,'Gider Miktar'!$F:$F,1002)+SUMIFS('Gider Miktar'!AR:AR,'Gider Miktar'!$B:$B,'Emanet Miktar Dağılım'!$D13,'Gider Miktar'!$F:$F,1003)+SUMIFS('Gider Miktar'!AR:AR,'Gider Miktar'!$B:$B,'Emanet Miktar Dağılım'!$D13,'Gider Miktar'!$F:$F,1004)</f>
        <v>779.12707243623333</v>
      </c>
      <c r="AJ13" s="9">
        <f>+SUMIFS('Gider Miktar'!AS:AS,'Gider Miktar'!$B:$B,'Emanet Miktar Dağılım'!$D13,'Gider Miktar'!$F:$F,1001)+SUMIFS('Gider Miktar'!AS:AS,'Gider Miktar'!$B:$B,'Emanet Miktar Dağılım'!$D13,'Gider Miktar'!$F:$F,1002)+SUMIFS('Gider Miktar'!AS:AS,'Gider Miktar'!$B:$B,'Emanet Miktar Dağılım'!$D13,'Gider Miktar'!$F:$F,1003)+SUMIFS('Gider Miktar'!AS:AS,'Gider Miktar'!$B:$B,'Emanet Miktar Dağılım'!$D13,'Gider Miktar'!$F:$F,1004)</f>
        <v>779.12707243623333</v>
      </c>
      <c r="AK13" s="9">
        <f>+SUMIFS('Gider Miktar'!AT:AT,'Gider Miktar'!$B:$B,'Emanet Miktar Dağılım'!$D13,'Gider Miktar'!$F:$F,1001)+SUMIFS('Gider Miktar'!AT:AT,'Gider Miktar'!$B:$B,'Emanet Miktar Dağılım'!$D13,'Gider Miktar'!$F:$F,1002)+SUMIFS('Gider Miktar'!AT:AT,'Gider Miktar'!$B:$B,'Emanet Miktar Dağılım'!$D13,'Gider Miktar'!$F:$F,1003)+SUMIFS('Gider Miktar'!AT:AT,'Gider Miktar'!$B:$B,'Emanet Miktar Dağılım'!$D13,'Gider Miktar'!$F:$F,1004)</f>
        <v>688.29999463895888</v>
      </c>
      <c r="AL13" s="9">
        <f>+SUMIFS('Gider Miktar'!AU:AU,'Gider Miktar'!$B:$B,'Emanet Miktar Dağılım'!$D13,'Gider Miktar'!$F:$F,1001)+SUMIFS('Gider Miktar'!AU:AU,'Gider Miktar'!$B:$B,'Emanet Miktar Dağılım'!$D13,'Gider Miktar'!$F:$F,1002)+SUMIFS('Gider Miktar'!AU:AU,'Gider Miktar'!$B:$B,'Emanet Miktar Dağılım'!$D13,'Gider Miktar'!$F:$F,1003)+SUMIFS('Gider Miktar'!AU:AU,'Gider Miktar'!$B:$B,'Emanet Miktar Dağılım'!$D13,'Gider Miktar'!$F:$F,1004)</f>
        <v>597.47291684168465</v>
      </c>
      <c r="AM13" s="9">
        <f>+SUMIFS('Gider Miktar'!AV:AV,'Gider Miktar'!$B:$B,'Emanet Miktar Dağılım'!$D13,'Gider Miktar'!$F:$F,1001)+SUMIFS('Gider Miktar'!AV:AV,'Gider Miktar'!$B:$B,'Emanet Miktar Dağılım'!$D13,'Gider Miktar'!$F:$F,1002)+SUMIFS('Gider Miktar'!AV:AV,'Gider Miktar'!$B:$B,'Emanet Miktar Dağılım'!$D13,'Gider Miktar'!$F:$F,1003)+SUMIFS('Gider Miktar'!AV:AV,'Gider Miktar'!$B:$B,'Emanet Miktar Dağılım'!$D13,'Gider Miktar'!$F:$F,1004)</f>
        <v>597.47291684168465</v>
      </c>
      <c r="AN13" s="9">
        <f>+SUMIFS('Gider Miktar'!AW:AW,'Gider Miktar'!$B:$B,'Emanet Miktar Dağılım'!$D13,'Gider Miktar'!$F:$F,1001)+SUMIFS('Gider Miktar'!AW:AW,'Gider Miktar'!$B:$B,'Emanet Miktar Dağılım'!$D13,'Gider Miktar'!$F:$F,1002)+SUMIFS('Gider Miktar'!AW:AW,'Gider Miktar'!$B:$B,'Emanet Miktar Dağılım'!$D13,'Gider Miktar'!$F:$F,1003)+SUMIFS('Gider Miktar'!AW:AW,'Gider Miktar'!$B:$B,'Emanet Miktar Dağılım'!$D13,'Gider Miktar'!$F:$F,1004)</f>
        <v>448.39894196759678</v>
      </c>
      <c r="AO13" s="9">
        <f>+SUMIFS('Gider Miktar'!AX:AX,'Gider Miktar'!$B:$B,'Emanet Miktar Dağılım'!$D13,'Gider Miktar'!$F:$F,1001)+SUMIFS('Gider Miktar'!AX:AX,'Gider Miktar'!$B:$B,'Emanet Miktar Dağılım'!$D13,'Gider Miktar'!$F:$F,1002)+SUMIFS('Gider Miktar'!AX:AX,'Gider Miktar'!$B:$B,'Emanet Miktar Dağılım'!$D13,'Gider Miktar'!$F:$F,1003)+SUMIFS('Gider Miktar'!AX:AX,'Gider Miktar'!$B:$B,'Emanet Miktar Dağılım'!$D13,'Gider Miktar'!$F:$F,1004)</f>
        <v>557.39143532432672</v>
      </c>
      <c r="AP13" s="9">
        <f>+SUMIFS('Gider Miktar'!AY:AY,'Gider Miktar'!$B:$B,'Emanet Miktar Dağılım'!$D13,'Gider Miktar'!$F:$F,1001)+SUMIFS('Gider Miktar'!AY:AY,'Gider Miktar'!$B:$B,'Emanet Miktar Dağılım'!$D13,'Gider Miktar'!$F:$F,1002)+SUMIFS('Gider Miktar'!AY:AY,'Gider Miktar'!$B:$B,'Emanet Miktar Dağılım'!$D13,'Gider Miktar'!$F:$F,1003)+SUMIFS('Gider Miktar'!AY:AY,'Gider Miktar'!$B:$B,'Emanet Miktar Dağılım'!$D13,'Gider Miktar'!$F:$F,1004)</f>
        <v>557.39143532432672</v>
      </c>
      <c r="AQ13" s="9">
        <f>+SUMIFS('Gider Miktar'!AZ:AZ,'Gider Miktar'!$B:$B,'Emanet Miktar Dağılım'!$D13,'Gider Miktar'!$F:$F,1001)+SUMIFS('Gider Miktar'!AZ:AZ,'Gider Miktar'!$B:$B,'Emanet Miktar Dağılım'!$D13,'Gider Miktar'!$F:$F,1002)+SUMIFS('Gider Miktar'!AZ:AZ,'Gider Miktar'!$B:$B,'Emanet Miktar Dağılım'!$D13,'Gider Miktar'!$F:$F,1003)+SUMIFS('Gider Miktar'!AZ:AZ,'Gider Miktar'!$B:$B,'Emanet Miktar Dağılım'!$D13,'Gider Miktar'!$F:$F,1004)</f>
        <v>448.39894196759678</v>
      </c>
      <c r="AR13" s="9">
        <f>+SUMIFS('Gider Miktar'!BA:BA,'Gider Miktar'!$B:$B,'Emanet Miktar Dağılım'!$D13,'Gider Miktar'!$F:$F,1001)+SUMIFS('Gider Miktar'!BA:BA,'Gider Miktar'!$B:$B,'Emanet Miktar Dağılım'!$D13,'Gider Miktar'!$F:$F,1002)+SUMIFS('Gider Miktar'!BA:BA,'Gider Miktar'!$B:$B,'Emanet Miktar Dağılım'!$D13,'Gider Miktar'!$F:$F,1003)+SUMIFS('Gider Miktar'!BA:BA,'Gider Miktar'!$B:$B,'Emanet Miktar Dağılım'!$D13,'Gider Miktar'!$F:$F,1004)</f>
        <v>0</v>
      </c>
      <c r="AS13" s="9">
        <f>+SUMIFS('Gider Miktar'!BB:BB,'Gider Miktar'!$B:$B,'Emanet Miktar Dağılım'!$D13,'Gider Miktar'!$F:$F,1001)+SUMIFS('Gider Miktar'!BB:BB,'Gider Miktar'!$B:$B,'Emanet Miktar Dağılım'!$D13,'Gider Miktar'!$F:$F,1002)+SUMIFS('Gider Miktar'!BB:BB,'Gider Miktar'!$B:$B,'Emanet Miktar Dağılım'!$D13,'Gider Miktar'!$F:$F,1003)+SUMIFS('Gider Miktar'!BB:BB,'Gider Miktar'!$B:$B,'Emanet Miktar Dağılım'!$D13,'Gider Miktar'!$F:$F,1004)</f>
        <v>0</v>
      </c>
      <c r="AT13" s="9">
        <f>+SUMIFS('Gider Miktar'!BC:BC,'Gider Miktar'!$B:$B,'Emanet Miktar Dağılım'!$D13,'Gider Miktar'!$F:$F,1001)+SUMIFS('Gider Miktar'!BC:BC,'Gider Miktar'!$B:$B,'Emanet Miktar Dağılım'!$D13,'Gider Miktar'!$F:$F,1002)+SUMIFS('Gider Miktar'!BC:BC,'Gider Miktar'!$B:$B,'Emanet Miktar Dağılım'!$D13,'Gider Miktar'!$F:$F,1003)+SUMIFS('Gider Miktar'!BC:BC,'Gider Miktar'!$B:$B,'Emanet Miktar Dağılım'!$D13,'Gider Miktar'!$F:$F,1004)</f>
        <v>0</v>
      </c>
      <c r="AU13" s="9">
        <f>+SUMIFS('Gider Miktar'!BD:BD,'Gider Miktar'!$B:$B,'Emanet Miktar Dağılım'!$D13,'Gider Miktar'!$F:$F,1001)+SUMIFS('Gider Miktar'!BD:BD,'Gider Miktar'!$B:$B,'Emanet Miktar Dağılım'!$D13,'Gider Miktar'!$F:$F,1002)+SUMIFS('Gider Miktar'!BD:BD,'Gider Miktar'!$B:$B,'Emanet Miktar Dağılım'!$D13,'Gider Miktar'!$F:$F,1003)+SUMIFS('Gider Miktar'!BD:BD,'Gider Miktar'!$B:$B,'Emanet Miktar Dağılım'!$D13,'Gider Miktar'!$F:$F,1004)</f>
        <v>0</v>
      </c>
      <c r="AV13" s="9">
        <f>+SUMIFS('Gider Miktar'!BE:BE,'Gider Miktar'!$B:$B,'Emanet Miktar Dağılım'!$D13,'Gider Miktar'!$F:$F,1001)+SUMIFS('Gider Miktar'!BE:BE,'Gider Miktar'!$B:$B,'Emanet Miktar Dağılım'!$D13,'Gider Miktar'!$F:$F,1002)+SUMIFS('Gider Miktar'!BE:BE,'Gider Miktar'!$B:$B,'Emanet Miktar Dağılım'!$D13,'Gider Miktar'!$F:$F,1003)+SUMIFS('Gider Miktar'!BE:BE,'Gider Miktar'!$B:$B,'Emanet Miktar Dağılım'!$D13,'Gider Miktar'!$F:$F,1004)</f>
        <v>0</v>
      </c>
      <c r="AW13" s="9">
        <f>+SUMIFS('Gider Miktar'!BF:BF,'Gider Miktar'!$B:$B,'Emanet Miktar Dağılım'!$D13,'Gider Miktar'!$F:$F,1001)+SUMIFS('Gider Miktar'!BF:BF,'Gider Miktar'!$B:$B,'Emanet Miktar Dağılım'!$D13,'Gider Miktar'!$F:$F,1002)+SUMIFS('Gider Miktar'!BF:BF,'Gider Miktar'!$B:$B,'Emanet Miktar Dağılım'!$D13,'Gider Miktar'!$F:$F,1003)+SUMIFS('Gider Miktar'!BF:BF,'Gider Miktar'!$B:$B,'Emanet Miktar Dağılım'!$D13,'Gider Miktar'!$F:$F,1004)</f>
        <v>0</v>
      </c>
      <c r="AX13" s="9">
        <f>+SUMIFS('Gider Miktar'!BG:BG,'Gider Miktar'!$B:$B,'Emanet Miktar Dağılım'!$D13,'Gider Miktar'!$F:$F,1001)+SUMIFS('Gider Miktar'!BG:BG,'Gider Miktar'!$B:$B,'Emanet Miktar Dağılım'!$D13,'Gider Miktar'!$F:$F,1002)+SUMIFS('Gider Miktar'!BG:BG,'Gider Miktar'!$B:$B,'Emanet Miktar Dağılım'!$D13,'Gider Miktar'!$F:$F,1003)+SUMIFS('Gider Miktar'!BG:BG,'Gider Miktar'!$B:$B,'Emanet Miktar Dağılım'!$D13,'Gider Miktar'!$F:$F,1004)</f>
        <v>0</v>
      </c>
      <c r="AY13" s="9">
        <f>+SUMIFS('Gider Miktar'!BH:BH,'Gider Miktar'!$B:$B,'Emanet Miktar Dağılım'!$D13,'Gider Miktar'!$F:$F,1001)+SUMIFS('Gider Miktar'!BH:BH,'Gider Miktar'!$B:$B,'Emanet Miktar Dağılım'!$D13,'Gider Miktar'!$F:$F,1002)+SUMIFS('Gider Miktar'!BH:BH,'Gider Miktar'!$B:$B,'Emanet Miktar Dağılım'!$D13,'Gider Miktar'!$F:$F,1003)+SUMIFS('Gider Miktar'!BH:BH,'Gider Miktar'!$B:$B,'Emanet Miktar Dağılım'!$D13,'Gider Miktar'!$F:$F,1004)</f>
        <v>0</v>
      </c>
      <c r="AZ13" s="9">
        <f>+SUMIFS('Gider Miktar'!BI:BI,'Gider Miktar'!$B:$B,'Emanet Miktar Dağılım'!$D13,'Gider Miktar'!$F:$F,1001)+SUMIFS('Gider Miktar'!BI:BI,'Gider Miktar'!$B:$B,'Emanet Miktar Dağılım'!$D13,'Gider Miktar'!$F:$F,1002)+SUMIFS('Gider Miktar'!BI:BI,'Gider Miktar'!$B:$B,'Emanet Miktar Dağılım'!$D13,'Gider Miktar'!$F:$F,1003)+SUMIFS('Gider Miktar'!BI:BI,'Gider Miktar'!$B:$B,'Emanet Miktar Dağılım'!$D13,'Gider Miktar'!$F:$F,1004)</f>
        <v>0</v>
      </c>
      <c r="BA13" s="9">
        <f>+SUMIFS('Gider Miktar'!BJ:BJ,'Gider Miktar'!$B:$B,'Emanet Miktar Dağılım'!$D13,'Gider Miktar'!$F:$F,1001)+SUMIFS('Gider Miktar'!BJ:BJ,'Gider Miktar'!$B:$B,'Emanet Miktar Dağılım'!$D13,'Gider Miktar'!$F:$F,1002)+SUMIFS('Gider Miktar'!BJ:BJ,'Gider Miktar'!$B:$B,'Emanet Miktar Dağılım'!$D13,'Gider Miktar'!$F:$F,1003)+SUMIFS('Gider Miktar'!BJ:BJ,'Gider Miktar'!$B:$B,'Emanet Miktar Dağılım'!$D13,'Gider Miktar'!$F:$F,1004)</f>
        <v>0</v>
      </c>
      <c r="BB13" s="9">
        <f>+SUMIFS('Gider Miktar'!BK:BK,'Gider Miktar'!$B:$B,'Emanet Miktar Dağılım'!$D13,'Gider Miktar'!$F:$F,1001)+SUMIFS('Gider Miktar'!BK:BK,'Gider Miktar'!$B:$B,'Emanet Miktar Dağılım'!$D13,'Gider Miktar'!$F:$F,1002)+SUMIFS('Gider Miktar'!BK:BK,'Gider Miktar'!$B:$B,'Emanet Miktar Dağılım'!$D13,'Gider Miktar'!$F:$F,1003)+SUMIFS('Gider Miktar'!BK:BK,'Gider Miktar'!$B:$B,'Emanet Miktar Dağılım'!$D13,'Gider Miktar'!$F:$F,1004)</f>
        <v>0</v>
      </c>
      <c r="BC13" s="9">
        <f>+SUMIFS('Gider Miktar'!BL:BL,'Gider Miktar'!$B:$B,'Emanet Miktar Dağılım'!$D13,'Gider Miktar'!$F:$F,1001)+SUMIFS('Gider Miktar'!BL:BL,'Gider Miktar'!$B:$B,'Emanet Miktar Dağılım'!$D13,'Gider Miktar'!$F:$F,1002)+SUMIFS('Gider Miktar'!BL:BL,'Gider Miktar'!$B:$B,'Emanet Miktar Dağılım'!$D13,'Gider Miktar'!$F:$F,1003)+SUMIFS('Gider Miktar'!BL:BL,'Gider Miktar'!$B:$B,'Emanet Miktar Dağılım'!$D13,'Gider Miktar'!$F:$F,1004)</f>
        <v>0</v>
      </c>
      <c r="BD13" s="9">
        <f>+SUMIFS('Gider Miktar'!BM:BM,'Gider Miktar'!$B:$B,'Emanet Miktar Dağılım'!$D13,'Gider Miktar'!$F:$F,1001)+SUMIFS('Gider Miktar'!BM:BM,'Gider Miktar'!$B:$B,'Emanet Miktar Dağılım'!$D13,'Gider Miktar'!$F:$F,1002)+SUMIFS('Gider Miktar'!BM:BM,'Gider Miktar'!$B:$B,'Emanet Miktar Dağılım'!$D13,'Gider Miktar'!$F:$F,1003)+SUMIFS('Gider Miktar'!BM:BM,'Gider Miktar'!$B:$B,'Emanet Miktar Dağılım'!$D13,'Gider Miktar'!$F:$F,1004)</f>
        <v>0</v>
      </c>
      <c r="BE13" s="9">
        <f>+SUMIFS('Gider Miktar'!BN:BN,'Gider Miktar'!$B:$B,'Emanet Miktar Dağılım'!$D13,'Gider Miktar'!$F:$F,1001)+SUMIFS('Gider Miktar'!BN:BN,'Gider Miktar'!$B:$B,'Emanet Miktar Dağılım'!$D13,'Gider Miktar'!$F:$F,1002)+SUMIFS('Gider Miktar'!BN:BN,'Gider Miktar'!$B:$B,'Emanet Miktar Dağılım'!$D13,'Gider Miktar'!$F:$F,1003)+SUMIFS('Gider Miktar'!BN:BN,'Gider Miktar'!$B:$B,'Emanet Miktar Dağılım'!$D13,'Gider Miktar'!$F:$F,1004)</f>
        <v>0</v>
      </c>
      <c r="BF13" s="9">
        <f>+SUMIFS('Gider Miktar'!BO:BO,'Gider Miktar'!$B:$B,'Emanet Miktar Dağılım'!$D13,'Gider Miktar'!$F:$F,1001)+SUMIFS('Gider Miktar'!BO:BO,'Gider Miktar'!$B:$B,'Emanet Miktar Dağılım'!$D13,'Gider Miktar'!$F:$F,1002)+SUMIFS('Gider Miktar'!BO:BO,'Gider Miktar'!$B:$B,'Emanet Miktar Dağılım'!$D13,'Gider Miktar'!$F:$F,1003)+SUMIFS('Gider Miktar'!BO:BO,'Gider Miktar'!$B:$B,'Emanet Miktar Dağılım'!$D13,'Gider Miktar'!$F:$F,1004)</f>
        <v>0</v>
      </c>
      <c r="BG13" s="9">
        <f>+SUMIFS('Gider Miktar'!BP:BP,'Gider Miktar'!$B:$B,'Emanet Miktar Dağılım'!$D13,'Gider Miktar'!$F:$F,1001)+SUMIFS('Gider Miktar'!BP:BP,'Gider Miktar'!$B:$B,'Emanet Miktar Dağılım'!$D13,'Gider Miktar'!$F:$F,1002)+SUMIFS('Gider Miktar'!BP:BP,'Gider Miktar'!$B:$B,'Emanet Miktar Dağılım'!$D13,'Gider Miktar'!$F:$F,1003)+SUMIFS('Gider Miktar'!BP:BP,'Gider Miktar'!$B:$B,'Emanet Miktar Dağılım'!$D13,'Gider Miktar'!$F:$F,1004)</f>
        <v>0</v>
      </c>
      <c r="BH13" s="9">
        <f>+SUMIFS('Gider Miktar'!BQ:BQ,'Gider Miktar'!$B:$B,'Emanet Miktar Dağılım'!$D13,'Gider Miktar'!$F:$F,1001)+SUMIFS('Gider Miktar'!BQ:BQ,'Gider Miktar'!$B:$B,'Emanet Miktar Dağılım'!$D13,'Gider Miktar'!$F:$F,1002)+SUMIFS('Gider Miktar'!BQ:BQ,'Gider Miktar'!$B:$B,'Emanet Miktar Dağılım'!$D13,'Gider Miktar'!$F:$F,1003)+SUMIFS('Gider Miktar'!BQ:BQ,'Gider Miktar'!$B:$B,'Emanet Miktar Dağılım'!$D13,'Gider Miktar'!$F:$F,1004)</f>
        <v>0</v>
      </c>
      <c r="BI13" s="9">
        <f>+SUMIFS('Gider Miktar'!BR:BR,'Gider Miktar'!$B:$B,'Emanet Miktar Dağılım'!$D13,'Gider Miktar'!$F:$F,1001)+SUMIFS('Gider Miktar'!BR:BR,'Gider Miktar'!$B:$B,'Emanet Miktar Dağılım'!$D13,'Gider Miktar'!$F:$F,1002)+SUMIFS('Gider Miktar'!BR:BR,'Gider Miktar'!$B:$B,'Emanet Miktar Dağılım'!$D13,'Gider Miktar'!$F:$F,1003)+SUMIFS('Gider Miktar'!BR:BR,'Gider Miktar'!$B:$B,'Emanet Miktar Dağılım'!$D13,'Gider Miktar'!$F:$F,1004)</f>
        <v>0</v>
      </c>
      <c r="BJ13" s="9">
        <f>+SUMIFS('Gider Miktar'!BS:BS,'Gider Miktar'!$B:$B,'Emanet Miktar Dağılım'!$D13,'Gider Miktar'!$F:$F,1001)+SUMIFS('Gider Miktar'!BS:BS,'Gider Miktar'!$B:$B,'Emanet Miktar Dağılım'!$D13,'Gider Miktar'!$F:$F,1002)+SUMIFS('Gider Miktar'!BS:BS,'Gider Miktar'!$B:$B,'Emanet Miktar Dağılım'!$D13,'Gider Miktar'!$F:$F,1003)+SUMIFS('Gider Miktar'!BS:BS,'Gider Miktar'!$B:$B,'Emanet Miktar Dağılım'!$D13,'Gider Miktar'!$F:$F,1004)</f>
        <v>0</v>
      </c>
      <c r="BK13" s="9">
        <f>+SUMIFS('Gider Miktar'!BT:BT,'Gider Miktar'!$B:$B,'Emanet Miktar Dağılım'!$D13,'Gider Miktar'!$F:$F,1001)+SUMIFS('Gider Miktar'!BT:BT,'Gider Miktar'!$B:$B,'Emanet Miktar Dağılım'!$D13,'Gider Miktar'!$F:$F,1002)+SUMIFS('Gider Miktar'!BT:BT,'Gider Miktar'!$B:$B,'Emanet Miktar Dağılım'!$D13,'Gider Miktar'!$F:$F,1003)+SUMIFS('Gider Miktar'!BT:BT,'Gider Miktar'!$B:$B,'Emanet Miktar Dağılım'!$D13,'Gider Miktar'!$F:$F,1004)</f>
        <v>0</v>
      </c>
      <c r="BL13" s="9">
        <f>+SUMIFS('Gider Miktar'!BU:BU,'Gider Miktar'!$B:$B,'Emanet Miktar Dağılım'!$D13,'Gider Miktar'!$F:$F,1001)+SUMIFS('Gider Miktar'!BU:BU,'Gider Miktar'!$B:$B,'Emanet Miktar Dağılım'!$D13,'Gider Miktar'!$F:$F,1002)+SUMIFS('Gider Miktar'!BU:BU,'Gider Miktar'!$B:$B,'Emanet Miktar Dağılım'!$D13,'Gider Miktar'!$F:$F,1003)+SUMIFS('Gider Miktar'!BU:BU,'Gider Miktar'!$B:$B,'Emanet Miktar Dağılım'!$D13,'Gider Miktar'!$F:$F,1004)</f>
        <v>0</v>
      </c>
      <c r="BM13" s="9">
        <f>+SUMIFS('Gider Miktar'!BV:BV,'Gider Miktar'!$B:$B,'Emanet Miktar Dağılım'!$D13,'Gider Miktar'!$F:$F,1001)+SUMIFS('Gider Miktar'!BV:BV,'Gider Miktar'!$B:$B,'Emanet Miktar Dağılım'!$D13,'Gider Miktar'!$F:$F,1002)+SUMIFS('Gider Miktar'!BV:BV,'Gider Miktar'!$B:$B,'Emanet Miktar Dağılım'!$D13,'Gider Miktar'!$F:$F,1003)+SUMIFS('Gider Miktar'!BV:BV,'Gider Miktar'!$B:$B,'Emanet Miktar Dağılım'!$D13,'Gider Miktar'!$F:$F,1004)</f>
        <v>0</v>
      </c>
      <c r="BN13" s="9">
        <f>+SUMIFS('Gider Miktar'!BW:BW,'Gider Miktar'!$B:$B,'Emanet Miktar Dağılım'!$D13,'Gider Miktar'!$F:$F,1001)+SUMIFS('Gider Miktar'!BW:BW,'Gider Miktar'!$B:$B,'Emanet Miktar Dağılım'!$D13,'Gider Miktar'!$F:$F,1002)+SUMIFS('Gider Miktar'!BW:BW,'Gider Miktar'!$B:$B,'Emanet Miktar Dağılım'!$D13,'Gider Miktar'!$F:$F,1003)+SUMIFS('Gider Miktar'!BW:BW,'Gider Miktar'!$B:$B,'Emanet Miktar Dağılım'!$D13,'Gider Miktar'!$F:$F,1004)</f>
        <v>0</v>
      </c>
      <c r="BO13" s="9">
        <f>+SUMIFS('Gider Miktar'!BX:BX,'Gider Miktar'!$B:$B,'Emanet Miktar Dağılım'!$D13,'Gider Miktar'!$F:$F,1001)+SUMIFS('Gider Miktar'!BX:BX,'Gider Miktar'!$B:$B,'Emanet Miktar Dağılım'!$D13,'Gider Miktar'!$F:$F,1002)+SUMIFS('Gider Miktar'!BX:BX,'Gider Miktar'!$B:$B,'Emanet Miktar Dağılım'!$D13,'Gider Miktar'!$F:$F,1003)+SUMIFS('Gider Miktar'!BX:BX,'Gider Miktar'!$B:$B,'Emanet Miktar Dağılım'!$D13,'Gider Miktar'!$F:$F,1004)</f>
        <v>0</v>
      </c>
    </row>
    <row r="14" spans="2:67">
      <c r="D14" t="s">
        <v>16</v>
      </c>
      <c r="E14" s="9">
        <f>+SUMIFS('Gider Miktar'!N:N,'Gider Miktar'!$B:$B,'Emanet Miktar Dağılım'!$D14,'Gider Miktar'!$F:$F,1001)+SUMIFS('Gider Miktar'!N:N,'Gider Miktar'!$B:$B,'Emanet Miktar Dağılım'!$D14,'Gider Miktar'!$F:$F,1002)+SUMIFS('Gider Miktar'!N:N,'Gider Miktar'!$B:$B,'Emanet Miktar Dağılım'!$D14,'Gider Miktar'!$F:$F,1003)+SUMIFS('Gider Miktar'!N:N,'Gider Miktar'!$B:$B,'Emanet Miktar Dağılım'!$D14,'Gider Miktar'!$F:$F,1004)</f>
        <v>0</v>
      </c>
      <c r="F14" s="9">
        <f>+SUMIFS('Gider Miktar'!O:O,'Gider Miktar'!$B:$B,'Emanet Miktar Dağılım'!$D14,'Gider Miktar'!$F:$F,1001)+SUMIFS('Gider Miktar'!O:O,'Gider Miktar'!$B:$B,'Emanet Miktar Dağılım'!$D14,'Gider Miktar'!$F:$F,1002)+SUMIFS('Gider Miktar'!O:O,'Gider Miktar'!$B:$B,'Emanet Miktar Dağılım'!$D14,'Gider Miktar'!$F:$F,1003)+SUMIFS('Gider Miktar'!O:O,'Gider Miktar'!$B:$B,'Emanet Miktar Dağılım'!$D14,'Gider Miktar'!$F:$F,1004)</f>
        <v>0</v>
      </c>
      <c r="G14" s="9">
        <f>+SUMIFS('Gider Miktar'!P:P,'Gider Miktar'!$B:$B,'Emanet Miktar Dağılım'!$D14,'Gider Miktar'!$F:$F,1001)+SUMIFS('Gider Miktar'!P:P,'Gider Miktar'!$B:$B,'Emanet Miktar Dağılım'!$D14,'Gider Miktar'!$F:$F,1002)+SUMIFS('Gider Miktar'!P:P,'Gider Miktar'!$B:$B,'Emanet Miktar Dağılım'!$D14,'Gider Miktar'!$F:$F,1003)+SUMIFS('Gider Miktar'!P:P,'Gider Miktar'!$B:$B,'Emanet Miktar Dağılım'!$D14,'Gider Miktar'!$F:$F,1004)</f>
        <v>0</v>
      </c>
      <c r="H14" s="9">
        <f>+SUMIFS('Gider Miktar'!Q:Q,'Gider Miktar'!$B:$B,'Emanet Miktar Dağılım'!$D14,'Gider Miktar'!$F:$F,1001)+SUMIFS('Gider Miktar'!Q:Q,'Gider Miktar'!$B:$B,'Emanet Miktar Dağılım'!$D14,'Gider Miktar'!$F:$F,1002)+SUMIFS('Gider Miktar'!Q:Q,'Gider Miktar'!$B:$B,'Emanet Miktar Dağılım'!$D14,'Gider Miktar'!$F:$F,1003)+SUMIFS('Gider Miktar'!Q:Q,'Gider Miktar'!$B:$B,'Emanet Miktar Dağılım'!$D14,'Gider Miktar'!$F:$F,1004)</f>
        <v>0</v>
      </c>
      <c r="I14" s="9">
        <f>+SUMIFS('Gider Miktar'!R:R,'Gider Miktar'!$B:$B,'Emanet Miktar Dağılım'!$D14,'Gider Miktar'!$F:$F,1001)+SUMIFS('Gider Miktar'!R:R,'Gider Miktar'!$B:$B,'Emanet Miktar Dağılım'!$D14,'Gider Miktar'!$F:$F,1002)+SUMIFS('Gider Miktar'!R:R,'Gider Miktar'!$B:$B,'Emanet Miktar Dağılım'!$D14,'Gider Miktar'!$F:$F,1003)+SUMIFS('Gider Miktar'!R:R,'Gider Miktar'!$B:$B,'Emanet Miktar Dağılım'!$D14,'Gider Miktar'!$F:$F,1004)</f>
        <v>1124.54</v>
      </c>
      <c r="J14" s="9">
        <f>+SUMIFS('Gider Miktar'!S:S,'Gider Miktar'!$B:$B,'Emanet Miktar Dağılım'!$D14,'Gider Miktar'!$F:$F,1001)+SUMIFS('Gider Miktar'!S:S,'Gider Miktar'!$B:$B,'Emanet Miktar Dağılım'!$D14,'Gider Miktar'!$F:$F,1002)+SUMIFS('Gider Miktar'!S:S,'Gider Miktar'!$B:$B,'Emanet Miktar Dağılım'!$D14,'Gider Miktar'!$F:$F,1003)+SUMIFS('Gider Miktar'!S:S,'Gider Miktar'!$B:$B,'Emanet Miktar Dağılım'!$D14,'Gider Miktar'!$F:$F,1004)</f>
        <v>6547.55</v>
      </c>
      <c r="K14" s="9">
        <f>+SUMIFS('Gider Miktar'!T:T,'Gider Miktar'!$B:$B,'Emanet Miktar Dağılım'!$D14,'Gider Miktar'!$F:$F,1001)+SUMIFS('Gider Miktar'!T:T,'Gider Miktar'!$B:$B,'Emanet Miktar Dağılım'!$D14,'Gider Miktar'!$F:$F,1002)+SUMIFS('Gider Miktar'!T:T,'Gider Miktar'!$B:$B,'Emanet Miktar Dağılım'!$D14,'Gider Miktar'!$F:$F,1003)+SUMIFS('Gider Miktar'!T:T,'Gider Miktar'!$B:$B,'Emanet Miktar Dağılım'!$D14,'Gider Miktar'!$F:$F,1004)</f>
        <v>6493.8630000000003</v>
      </c>
      <c r="L14" s="9">
        <f>+SUMIFS('Gider Miktar'!U:U,'Gider Miktar'!$B:$B,'Emanet Miktar Dağılım'!$D14,'Gider Miktar'!$F:$F,1001)+SUMIFS('Gider Miktar'!U:U,'Gider Miktar'!$B:$B,'Emanet Miktar Dağılım'!$D14,'Gider Miktar'!$F:$F,1002)+SUMIFS('Gider Miktar'!U:U,'Gider Miktar'!$B:$B,'Emanet Miktar Dağılım'!$D14,'Gider Miktar'!$F:$F,1003)+SUMIFS('Gider Miktar'!U:U,'Gider Miktar'!$B:$B,'Emanet Miktar Dağılım'!$D14,'Gider Miktar'!$F:$F,1004)</f>
        <v>17360.794301666669</v>
      </c>
      <c r="M14" s="9">
        <f>+SUMIFS('Gider Miktar'!V:V,'Gider Miktar'!$B:$B,'Emanet Miktar Dağılım'!$D14,'Gider Miktar'!$F:$F,1001)+SUMIFS('Gider Miktar'!V:V,'Gider Miktar'!$B:$B,'Emanet Miktar Dağılım'!$D14,'Gider Miktar'!$F:$F,1002)+SUMIFS('Gider Miktar'!V:V,'Gider Miktar'!$B:$B,'Emanet Miktar Dağılım'!$D14,'Gider Miktar'!$F:$F,1003)+SUMIFS('Gider Miktar'!V:V,'Gider Miktar'!$B:$B,'Emanet Miktar Dağılım'!$D14,'Gider Miktar'!$F:$F,1004)</f>
        <v>18508.498698333326</v>
      </c>
      <c r="N14" s="11">
        <f>+SUMIFS('Gider Miktar'!W:W,'Gider Miktar'!$B:$B,'Emanet Miktar Dağılım'!$D14,'Gider Miktar'!$F:$F,1001)+SUMIFS('Gider Miktar'!W:W,'Gider Miktar'!$B:$B,'Emanet Miktar Dağılım'!$D14,'Gider Miktar'!$F:$F,1002)+SUMIFS('Gider Miktar'!W:W,'Gider Miktar'!$B:$B,'Emanet Miktar Dağılım'!$D14,'Gider Miktar'!$F:$F,1003)+SUMIFS('Gider Miktar'!W:W,'Gider Miktar'!$B:$B,'Emanet Miktar Dağılım'!$D14,'Gider Miktar'!$F:$F,1004)</f>
        <v>20784.770999999997</v>
      </c>
      <c r="O14" s="9">
        <f>+SUMIFS('Gider Miktar'!X:X,'Gider Miktar'!$B:$B,'Emanet Miktar Dağılım'!$D14,'Gider Miktar'!$F:$F,1001)+SUMIFS('Gider Miktar'!X:X,'Gider Miktar'!$B:$B,'Emanet Miktar Dağılım'!$D14,'Gider Miktar'!$F:$F,1002)+SUMIFS('Gider Miktar'!X:X,'Gider Miktar'!$B:$B,'Emanet Miktar Dağılım'!$D14,'Gider Miktar'!$F:$F,1003)+SUMIFS('Gider Miktar'!X:X,'Gider Miktar'!$B:$B,'Emanet Miktar Dağılım'!$D14,'Gider Miktar'!$F:$F,1004)</f>
        <v>37211.400418167963</v>
      </c>
      <c r="P14" s="9">
        <f>+SUMIFS('Gider Miktar'!Y:Y,'Gider Miktar'!$B:$B,'Emanet Miktar Dağılım'!$D14,'Gider Miktar'!$F:$F,1001)+SUMIFS('Gider Miktar'!Y:Y,'Gider Miktar'!$B:$B,'Emanet Miktar Dağılım'!$D14,'Gider Miktar'!$F:$F,1002)+SUMIFS('Gider Miktar'!Y:Y,'Gider Miktar'!$B:$B,'Emanet Miktar Dağılım'!$D14,'Gider Miktar'!$F:$F,1003)+SUMIFS('Gider Miktar'!Y:Y,'Gider Miktar'!$B:$B,'Emanet Miktar Dağılım'!$D14,'Gider Miktar'!$F:$F,1004)</f>
        <v>45300.067496464697</v>
      </c>
      <c r="Q14" s="9">
        <f>+SUMIFS('Gider Miktar'!Z:Z,'Gider Miktar'!$B:$B,'Emanet Miktar Dağılım'!$D14,'Gider Miktar'!$F:$F,1001)+SUMIFS('Gider Miktar'!Z:Z,'Gider Miktar'!$B:$B,'Emanet Miktar Dağılım'!$D14,'Gider Miktar'!$F:$F,1002)+SUMIFS('Gider Miktar'!Z:Z,'Gider Miktar'!$B:$B,'Emanet Miktar Dağılım'!$D14,'Gider Miktar'!$F:$F,1003)+SUMIFS('Gider Miktar'!Z:Z,'Gider Miktar'!$B:$B,'Emanet Miktar Dağılım'!$D14,'Gider Miktar'!$F:$F,1004)</f>
        <v>35343.998951482536</v>
      </c>
      <c r="R14" s="9">
        <f>+SUMIFS('Gider Miktar'!AA:AA,'Gider Miktar'!$B:$B,'Emanet Miktar Dağılım'!$D14,'Gider Miktar'!$F:$F,1001)+SUMIFS('Gider Miktar'!AA:AA,'Gider Miktar'!$B:$B,'Emanet Miktar Dağılım'!$D14,'Gider Miktar'!$F:$F,1002)+SUMIFS('Gider Miktar'!AA:AA,'Gider Miktar'!$B:$B,'Emanet Miktar Dağılım'!$D14,'Gider Miktar'!$F:$F,1003)+SUMIFS('Gider Miktar'!AA:AA,'Gider Miktar'!$B:$B,'Emanet Miktar Dağılım'!$D14,'Gider Miktar'!$F:$F,1004)</f>
        <v>28693.323016824699</v>
      </c>
      <c r="S14" s="9">
        <f>+SUMIFS('Gider Miktar'!AB:AB,'Gider Miktar'!$B:$B,'Emanet Miktar Dağılım'!$D14,'Gider Miktar'!$F:$F,1001)+SUMIFS('Gider Miktar'!AB:AB,'Gider Miktar'!$B:$B,'Emanet Miktar Dağılım'!$D14,'Gider Miktar'!$F:$F,1002)+SUMIFS('Gider Miktar'!AB:AB,'Gider Miktar'!$B:$B,'Emanet Miktar Dağılım'!$D14,'Gider Miktar'!$F:$F,1003)+SUMIFS('Gider Miktar'!AB:AB,'Gider Miktar'!$B:$B,'Emanet Miktar Dağılım'!$D14,'Gider Miktar'!$F:$F,1004)</f>
        <v>30121.325376985784</v>
      </c>
      <c r="T14" s="9">
        <f>+SUMIFS('Gider Miktar'!AC:AC,'Gider Miktar'!$B:$B,'Emanet Miktar Dağılım'!$D14,'Gider Miktar'!$F:$F,1001)+SUMIFS('Gider Miktar'!AC:AC,'Gider Miktar'!$B:$B,'Emanet Miktar Dağılım'!$D14,'Gider Miktar'!$F:$F,1002)+SUMIFS('Gider Miktar'!AC:AC,'Gider Miktar'!$B:$B,'Emanet Miktar Dağılım'!$D14,'Gider Miktar'!$F:$F,1003)+SUMIFS('Gider Miktar'!AC:AC,'Gider Miktar'!$B:$B,'Emanet Miktar Dağılım'!$D14,'Gider Miktar'!$F:$F,1004)</f>
        <v>31549.466474372584</v>
      </c>
      <c r="U14" s="9">
        <f>+SUMIFS('Gider Miktar'!AD:AD,'Gider Miktar'!$B:$B,'Emanet Miktar Dağılım'!$D14,'Gider Miktar'!$F:$F,1001)+SUMIFS('Gider Miktar'!AD:AD,'Gider Miktar'!$B:$B,'Emanet Miktar Dağılım'!$D14,'Gider Miktar'!$F:$F,1002)+SUMIFS('Gider Miktar'!AD:AD,'Gider Miktar'!$B:$B,'Emanet Miktar Dağılım'!$D14,'Gider Miktar'!$F:$F,1003)+SUMIFS('Gider Miktar'!AD:AD,'Gider Miktar'!$B:$B,'Emanet Miktar Dağılım'!$D14,'Gider Miktar'!$F:$F,1004)</f>
        <v>29342.553735942012</v>
      </c>
      <c r="V14" s="9">
        <f>+SUMIFS('Gider Miktar'!AE:AE,'Gider Miktar'!$B:$B,'Emanet Miktar Dağılım'!$D14,'Gider Miktar'!$F:$F,1001)+SUMIFS('Gider Miktar'!AE:AE,'Gider Miktar'!$B:$B,'Emanet Miktar Dağılım'!$D14,'Gider Miktar'!$F:$F,1002)+SUMIFS('Gider Miktar'!AE:AE,'Gider Miktar'!$B:$B,'Emanet Miktar Dağılım'!$D14,'Gider Miktar'!$F:$F,1003)+SUMIFS('Gider Miktar'!AE:AE,'Gider Miktar'!$B:$B,'Emanet Miktar Dağılım'!$D14,'Gider Miktar'!$F:$F,1004)</f>
        <v>32005.566347406973</v>
      </c>
      <c r="W14" s="9">
        <f>+SUMIFS('Gider Miktar'!AF:AF,'Gider Miktar'!$B:$B,'Emanet Miktar Dağılım'!$D14,'Gider Miktar'!$F:$F,1001)+SUMIFS('Gider Miktar'!AF:AF,'Gider Miktar'!$B:$B,'Emanet Miktar Dağılım'!$D14,'Gider Miktar'!$F:$F,1002)+SUMIFS('Gider Miktar'!AF:AF,'Gider Miktar'!$B:$B,'Emanet Miktar Dağılım'!$D14,'Gider Miktar'!$F:$F,1003)+SUMIFS('Gider Miktar'!AF:AF,'Gider Miktar'!$B:$B,'Emanet Miktar Dağılım'!$D14,'Gider Miktar'!$F:$F,1004)</f>
        <v>23018.144962406455</v>
      </c>
      <c r="X14" s="9">
        <f>+SUMIFS('Gider Miktar'!AG:AG,'Gider Miktar'!$B:$B,'Emanet Miktar Dağılım'!$D14,'Gider Miktar'!$F:$F,1001)+SUMIFS('Gider Miktar'!AG:AG,'Gider Miktar'!$B:$B,'Emanet Miktar Dağılım'!$D14,'Gider Miktar'!$F:$F,1002)+SUMIFS('Gider Miktar'!AG:AG,'Gider Miktar'!$B:$B,'Emanet Miktar Dağılım'!$D14,'Gider Miktar'!$F:$F,1003)+SUMIFS('Gider Miktar'!AG:AG,'Gider Miktar'!$B:$B,'Emanet Miktar Dağılım'!$D14,'Gider Miktar'!$F:$F,1004)</f>
        <v>15099.04597325121</v>
      </c>
      <c r="Y14" s="9">
        <f>+SUMIFS('Gider Miktar'!AH:AH,'Gider Miktar'!$B:$B,'Emanet Miktar Dağılım'!$D14,'Gider Miktar'!$F:$F,1001)+SUMIFS('Gider Miktar'!AH:AH,'Gider Miktar'!$B:$B,'Emanet Miktar Dağılım'!$D14,'Gider Miktar'!$F:$F,1002)+SUMIFS('Gider Miktar'!AH:AH,'Gider Miktar'!$B:$B,'Emanet Miktar Dağılım'!$D14,'Gider Miktar'!$F:$F,1003)+SUMIFS('Gider Miktar'!AH:AH,'Gider Miktar'!$B:$B,'Emanet Miktar Dağılım'!$D14,'Gider Miktar'!$F:$F,1004)</f>
        <v>15784.830604142237</v>
      </c>
      <c r="Z14" s="9">
        <f>+SUMIFS('Gider Miktar'!AI:AI,'Gider Miktar'!$B:$B,'Emanet Miktar Dağılım'!$D14,'Gider Miktar'!$F:$F,1001)+SUMIFS('Gider Miktar'!AI:AI,'Gider Miktar'!$B:$B,'Emanet Miktar Dağılım'!$D14,'Gider Miktar'!$F:$F,1002)+SUMIFS('Gider Miktar'!AI:AI,'Gider Miktar'!$B:$B,'Emanet Miktar Dağılım'!$D14,'Gider Miktar'!$F:$F,1003)+SUMIFS('Gider Miktar'!AI:AI,'Gider Miktar'!$B:$B,'Emanet Miktar Dağılım'!$D14,'Gider Miktar'!$F:$F,1004)</f>
        <v>17762.058584716186</v>
      </c>
      <c r="AA14" s="9">
        <f>+SUMIFS('Gider Miktar'!AJ:AJ,'Gider Miktar'!$B:$B,'Emanet Miktar Dağılım'!$D14,'Gider Miktar'!$F:$F,1001)+SUMIFS('Gider Miktar'!AJ:AJ,'Gider Miktar'!$B:$B,'Emanet Miktar Dağılım'!$D14,'Gider Miktar'!$F:$F,1002)+SUMIFS('Gider Miktar'!AJ:AJ,'Gider Miktar'!$B:$B,'Emanet Miktar Dağılım'!$D14,'Gider Miktar'!$F:$F,1003)+SUMIFS('Gider Miktar'!AJ:AJ,'Gider Miktar'!$B:$B,'Emanet Miktar Dağılım'!$D14,'Gider Miktar'!$F:$F,1004)</f>
        <v>17495.757323569687</v>
      </c>
      <c r="AB14" s="9">
        <f>+SUMIFS('Gider Miktar'!AK:AK,'Gider Miktar'!$B:$B,'Emanet Miktar Dağılım'!$D14,'Gider Miktar'!$F:$F,1001)+SUMIFS('Gider Miktar'!AK:AK,'Gider Miktar'!$B:$B,'Emanet Miktar Dağılım'!$D14,'Gider Miktar'!$F:$F,1002)+SUMIFS('Gider Miktar'!AK:AK,'Gider Miktar'!$B:$B,'Emanet Miktar Dağılım'!$D14,'Gider Miktar'!$F:$F,1003)+SUMIFS('Gider Miktar'!AK:AK,'Gider Miktar'!$B:$B,'Emanet Miktar Dağılım'!$D14,'Gider Miktar'!$F:$F,1004)</f>
        <v>17495.757323569687</v>
      </c>
      <c r="AC14" s="9">
        <f>+SUMIFS('Gider Miktar'!AL:AL,'Gider Miktar'!$B:$B,'Emanet Miktar Dağılım'!$D14,'Gider Miktar'!$F:$F,1001)+SUMIFS('Gider Miktar'!AL:AL,'Gider Miktar'!$B:$B,'Emanet Miktar Dağılım'!$D14,'Gider Miktar'!$F:$F,1002)+SUMIFS('Gider Miktar'!AL:AL,'Gider Miktar'!$B:$B,'Emanet Miktar Dağılım'!$D14,'Gider Miktar'!$F:$F,1003)+SUMIFS('Gider Miktar'!AL:AL,'Gider Miktar'!$B:$B,'Emanet Miktar Dağılım'!$D14,'Gider Miktar'!$F:$F,1004)</f>
        <v>9639.8701197480277</v>
      </c>
      <c r="AD14" s="9">
        <f>+SUMIFS('Gider Miktar'!AM:AM,'Gider Miktar'!$B:$B,'Emanet Miktar Dağılım'!$D14,'Gider Miktar'!$F:$F,1001)+SUMIFS('Gider Miktar'!AM:AM,'Gider Miktar'!$B:$B,'Emanet Miktar Dağılım'!$D14,'Gider Miktar'!$F:$F,1002)+SUMIFS('Gider Miktar'!AM:AM,'Gider Miktar'!$B:$B,'Emanet Miktar Dağılım'!$D14,'Gider Miktar'!$F:$F,1003)+SUMIFS('Gider Miktar'!AM:AM,'Gider Miktar'!$B:$B,'Emanet Miktar Dağılım'!$D14,'Gider Miktar'!$F:$F,1004)</f>
        <v>7908.9119222957988</v>
      </c>
      <c r="AE14" s="9">
        <f>+SUMIFS('Gider Miktar'!AN:AN,'Gider Miktar'!$B:$B,'Emanet Miktar Dağılım'!$D14,'Gider Miktar'!$F:$F,1001)+SUMIFS('Gider Miktar'!AN:AN,'Gider Miktar'!$B:$B,'Emanet Miktar Dağılım'!$D14,'Gider Miktar'!$F:$F,1002)+SUMIFS('Gider Miktar'!AN:AN,'Gider Miktar'!$B:$B,'Emanet Miktar Dağılım'!$D14,'Gider Miktar'!$F:$F,1003)+SUMIFS('Gider Miktar'!AN:AN,'Gider Miktar'!$B:$B,'Emanet Miktar Dağılım'!$D14,'Gider Miktar'!$F:$F,1004)</f>
        <v>7908.9119222957988</v>
      </c>
      <c r="AF14" s="9">
        <f>+SUMIFS('Gider Miktar'!AO:AO,'Gider Miktar'!$B:$B,'Emanet Miktar Dağılım'!$D14,'Gider Miktar'!$F:$F,1001)+SUMIFS('Gider Miktar'!AO:AO,'Gider Miktar'!$B:$B,'Emanet Miktar Dağılım'!$D14,'Gider Miktar'!$F:$F,1002)+SUMIFS('Gider Miktar'!AO:AO,'Gider Miktar'!$B:$B,'Emanet Miktar Dağılım'!$D14,'Gider Miktar'!$F:$F,1003)+SUMIFS('Gider Miktar'!AO:AO,'Gider Miktar'!$B:$B,'Emanet Miktar Dağılım'!$D14,'Gider Miktar'!$F:$F,1004)</f>
        <v>7908.9119222957988</v>
      </c>
      <c r="AG14" s="9">
        <f>+SUMIFS('Gider Miktar'!AP:AP,'Gider Miktar'!$B:$B,'Emanet Miktar Dağılım'!$D14,'Gider Miktar'!$F:$F,1001)+SUMIFS('Gider Miktar'!AP:AP,'Gider Miktar'!$B:$B,'Emanet Miktar Dağılım'!$D14,'Gider Miktar'!$F:$F,1002)+SUMIFS('Gider Miktar'!AP:AP,'Gider Miktar'!$B:$B,'Emanet Miktar Dağılım'!$D14,'Gider Miktar'!$F:$F,1003)+SUMIFS('Gider Miktar'!AP:AP,'Gider Miktar'!$B:$B,'Emanet Miktar Dağılım'!$D14,'Gider Miktar'!$F:$F,1004)</f>
        <v>7908.9119222957988</v>
      </c>
      <c r="AH14" s="9">
        <f>+SUMIFS('Gider Miktar'!AQ:AQ,'Gider Miktar'!$B:$B,'Emanet Miktar Dağılım'!$D14,'Gider Miktar'!$F:$F,1001)+SUMIFS('Gider Miktar'!AQ:AQ,'Gider Miktar'!$B:$B,'Emanet Miktar Dağılım'!$D14,'Gider Miktar'!$F:$F,1002)+SUMIFS('Gider Miktar'!AQ:AQ,'Gider Miktar'!$B:$B,'Emanet Miktar Dağılım'!$D14,'Gider Miktar'!$F:$F,1003)+SUMIFS('Gider Miktar'!AQ:AQ,'Gider Miktar'!$B:$B,'Emanet Miktar Dağılım'!$D14,'Gider Miktar'!$F:$F,1004)</f>
        <v>5931.6839417218498</v>
      </c>
      <c r="AI14" s="9">
        <f>+SUMIFS('Gider Miktar'!AR:AR,'Gider Miktar'!$B:$B,'Emanet Miktar Dağılım'!$D14,'Gider Miktar'!$F:$F,1001)+SUMIFS('Gider Miktar'!AR:AR,'Gider Miktar'!$B:$B,'Emanet Miktar Dağılım'!$D14,'Gider Miktar'!$F:$F,1002)+SUMIFS('Gider Miktar'!AR:AR,'Gider Miktar'!$B:$B,'Emanet Miktar Dağılım'!$D14,'Gider Miktar'!$F:$F,1003)+SUMIFS('Gider Miktar'!AR:AR,'Gider Miktar'!$B:$B,'Emanet Miktar Dağılım'!$D14,'Gider Miktar'!$F:$F,1004)</f>
        <v>7010.1719311258212</v>
      </c>
      <c r="AJ14" s="9">
        <f>+SUMIFS('Gider Miktar'!AS:AS,'Gider Miktar'!$B:$B,'Emanet Miktar Dağılım'!$D14,'Gider Miktar'!$F:$F,1001)+SUMIFS('Gider Miktar'!AS:AS,'Gider Miktar'!$B:$B,'Emanet Miktar Dağılım'!$D14,'Gider Miktar'!$F:$F,1002)+SUMIFS('Gider Miktar'!AS:AS,'Gider Miktar'!$B:$B,'Emanet Miktar Dağılım'!$D14,'Gider Miktar'!$F:$F,1003)+SUMIFS('Gider Miktar'!AS:AS,'Gider Miktar'!$B:$B,'Emanet Miktar Dağılım'!$D14,'Gider Miktar'!$F:$F,1004)</f>
        <v>4313.9519576159037</v>
      </c>
      <c r="AK14" s="9">
        <f>+SUMIFS('Gider Miktar'!AT:AT,'Gider Miktar'!$B:$B,'Emanet Miktar Dağılım'!$D14,'Gider Miktar'!$F:$F,1001)+SUMIFS('Gider Miktar'!AT:AT,'Gider Miktar'!$B:$B,'Emanet Miktar Dağılım'!$D14,'Gider Miktar'!$F:$F,1002)+SUMIFS('Gider Miktar'!AT:AT,'Gider Miktar'!$B:$B,'Emanet Miktar Dağılım'!$D14,'Gider Miktar'!$F:$F,1003)+SUMIFS('Gider Miktar'!AT:AT,'Gider Miktar'!$B:$B,'Emanet Miktar Dağılım'!$D14,'Gider Miktar'!$F:$F,1004)</f>
        <v>3235.4639682119123</v>
      </c>
      <c r="AL14" s="9">
        <f>+SUMIFS('Gider Miktar'!AU:AU,'Gider Miktar'!$B:$B,'Emanet Miktar Dağılım'!$D14,'Gider Miktar'!$F:$F,1001)+SUMIFS('Gider Miktar'!AU:AU,'Gider Miktar'!$B:$B,'Emanet Miktar Dağılım'!$D14,'Gider Miktar'!$F:$F,1002)+SUMIFS('Gider Miktar'!AU:AU,'Gider Miktar'!$B:$B,'Emanet Miktar Dağılım'!$D14,'Gider Miktar'!$F:$F,1003)+SUMIFS('Gider Miktar'!AU:AU,'Gider Miktar'!$B:$B,'Emanet Miktar Dağılım'!$D14,'Gider Miktar'!$F:$F,1004)</f>
        <v>4313.9519576159037</v>
      </c>
      <c r="AM14" s="9">
        <f>+SUMIFS('Gider Miktar'!AV:AV,'Gider Miktar'!$B:$B,'Emanet Miktar Dağılım'!$D14,'Gider Miktar'!$F:$F,1001)+SUMIFS('Gider Miktar'!AV:AV,'Gider Miktar'!$B:$B,'Emanet Miktar Dağılım'!$D14,'Gider Miktar'!$F:$F,1002)+SUMIFS('Gider Miktar'!AV:AV,'Gider Miktar'!$B:$B,'Emanet Miktar Dağılım'!$D14,'Gider Miktar'!$F:$F,1003)+SUMIFS('Gider Miktar'!AV:AV,'Gider Miktar'!$B:$B,'Emanet Miktar Dağılım'!$D14,'Gider Miktar'!$F:$F,1004)</f>
        <v>4313.9519576159037</v>
      </c>
      <c r="AN14" s="9">
        <f>+SUMIFS('Gider Miktar'!AW:AW,'Gider Miktar'!$B:$B,'Emanet Miktar Dağılım'!$D14,'Gider Miktar'!$F:$F,1001)+SUMIFS('Gider Miktar'!AW:AW,'Gider Miktar'!$B:$B,'Emanet Miktar Dağılım'!$D14,'Gider Miktar'!$F:$F,1002)+SUMIFS('Gider Miktar'!AW:AW,'Gider Miktar'!$B:$B,'Emanet Miktar Dağılım'!$D14,'Gider Miktar'!$F:$F,1003)+SUMIFS('Gider Miktar'!AW:AW,'Gider Miktar'!$B:$B,'Emanet Miktar Dağılım'!$D14,'Gider Miktar'!$F:$F,1004)</f>
        <v>4313.9519576159037</v>
      </c>
      <c r="AO14" s="9">
        <f>+SUMIFS('Gider Miktar'!AX:AX,'Gider Miktar'!$B:$B,'Emanet Miktar Dağılım'!$D14,'Gider Miktar'!$F:$F,1001)+SUMIFS('Gider Miktar'!AX:AX,'Gider Miktar'!$B:$B,'Emanet Miktar Dağılım'!$D14,'Gider Miktar'!$F:$F,1002)+SUMIFS('Gider Miktar'!AX:AX,'Gider Miktar'!$B:$B,'Emanet Miktar Dağılım'!$D14,'Gider Miktar'!$F:$F,1003)+SUMIFS('Gider Miktar'!AX:AX,'Gider Miktar'!$B:$B,'Emanet Miktar Dağılım'!$D14,'Gider Miktar'!$F:$F,1004)</f>
        <v>4313.9519576159037</v>
      </c>
      <c r="AP14" s="9">
        <f>+SUMIFS('Gider Miktar'!AY:AY,'Gider Miktar'!$B:$B,'Emanet Miktar Dağılım'!$D14,'Gider Miktar'!$F:$F,1001)+SUMIFS('Gider Miktar'!AY:AY,'Gider Miktar'!$B:$B,'Emanet Miktar Dağılım'!$D14,'Gider Miktar'!$F:$F,1002)+SUMIFS('Gider Miktar'!AY:AY,'Gider Miktar'!$B:$B,'Emanet Miktar Dağılım'!$D14,'Gider Miktar'!$F:$F,1003)+SUMIFS('Gider Miktar'!AY:AY,'Gider Miktar'!$B:$B,'Emanet Miktar Dağılım'!$D14,'Gider Miktar'!$F:$F,1004)</f>
        <v>2786.093972626923</v>
      </c>
      <c r="AQ14" s="9">
        <f>+SUMIFS('Gider Miktar'!AZ:AZ,'Gider Miktar'!$B:$B,'Emanet Miktar Dağılım'!$D14,'Gider Miktar'!$F:$F,1001)+SUMIFS('Gider Miktar'!AZ:AZ,'Gider Miktar'!$B:$B,'Emanet Miktar Dağılım'!$D14,'Gider Miktar'!$F:$F,1002)+SUMIFS('Gider Miktar'!AZ:AZ,'Gider Miktar'!$B:$B,'Emanet Miktar Dağılım'!$D14,'Gider Miktar'!$F:$F,1003)+SUMIFS('Gider Miktar'!AZ:AZ,'Gider Miktar'!$B:$B,'Emanet Miktar Dağılım'!$D14,'Gider Miktar'!$F:$F,1004)</f>
        <v>0</v>
      </c>
      <c r="AR14" s="9">
        <f>+SUMIFS('Gider Miktar'!BA:BA,'Gider Miktar'!$B:$B,'Emanet Miktar Dağılım'!$D14,'Gider Miktar'!$F:$F,1001)+SUMIFS('Gider Miktar'!BA:BA,'Gider Miktar'!$B:$B,'Emanet Miktar Dağılım'!$D14,'Gider Miktar'!$F:$F,1002)+SUMIFS('Gider Miktar'!BA:BA,'Gider Miktar'!$B:$B,'Emanet Miktar Dağılım'!$D14,'Gider Miktar'!$F:$F,1003)+SUMIFS('Gider Miktar'!BA:BA,'Gider Miktar'!$B:$B,'Emanet Miktar Dağılım'!$D14,'Gider Miktar'!$F:$F,1004)</f>
        <v>0</v>
      </c>
      <c r="AS14" s="9">
        <f>+SUMIFS('Gider Miktar'!BB:BB,'Gider Miktar'!$B:$B,'Emanet Miktar Dağılım'!$D14,'Gider Miktar'!$F:$F,1001)+SUMIFS('Gider Miktar'!BB:BB,'Gider Miktar'!$B:$B,'Emanet Miktar Dağılım'!$D14,'Gider Miktar'!$F:$F,1002)+SUMIFS('Gider Miktar'!BB:BB,'Gider Miktar'!$B:$B,'Emanet Miktar Dağılım'!$D14,'Gider Miktar'!$F:$F,1003)+SUMIFS('Gider Miktar'!BB:BB,'Gider Miktar'!$B:$B,'Emanet Miktar Dağılım'!$D14,'Gider Miktar'!$F:$F,1004)</f>
        <v>0</v>
      </c>
      <c r="AT14" s="9">
        <f>+SUMIFS('Gider Miktar'!BC:BC,'Gider Miktar'!$B:$B,'Emanet Miktar Dağılım'!$D14,'Gider Miktar'!$F:$F,1001)+SUMIFS('Gider Miktar'!BC:BC,'Gider Miktar'!$B:$B,'Emanet Miktar Dağılım'!$D14,'Gider Miktar'!$F:$F,1002)+SUMIFS('Gider Miktar'!BC:BC,'Gider Miktar'!$B:$B,'Emanet Miktar Dağılım'!$D14,'Gider Miktar'!$F:$F,1003)+SUMIFS('Gider Miktar'!BC:BC,'Gider Miktar'!$B:$B,'Emanet Miktar Dağılım'!$D14,'Gider Miktar'!$F:$F,1004)</f>
        <v>0</v>
      </c>
      <c r="AU14" s="9">
        <f>+SUMIFS('Gider Miktar'!BD:BD,'Gider Miktar'!$B:$B,'Emanet Miktar Dağılım'!$D14,'Gider Miktar'!$F:$F,1001)+SUMIFS('Gider Miktar'!BD:BD,'Gider Miktar'!$B:$B,'Emanet Miktar Dağılım'!$D14,'Gider Miktar'!$F:$F,1002)+SUMIFS('Gider Miktar'!BD:BD,'Gider Miktar'!$B:$B,'Emanet Miktar Dağılım'!$D14,'Gider Miktar'!$F:$F,1003)+SUMIFS('Gider Miktar'!BD:BD,'Gider Miktar'!$B:$B,'Emanet Miktar Dağılım'!$D14,'Gider Miktar'!$F:$F,1004)</f>
        <v>0</v>
      </c>
      <c r="AV14" s="9">
        <f>+SUMIFS('Gider Miktar'!BE:BE,'Gider Miktar'!$B:$B,'Emanet Miktar Dağılım'!$D14,'Gider Miktar'!$F:$F,1001)+SUMIFS('Gider Miktar'!BE:BE,'Gider Miktar'!$B:$B,'Emanet Miktar Dağılım'!$D14,'Gider Miktar'!$F:$F,1002)+SUMIFS('Gider Miktar'!BE:BE,'Gider Miktar'!$B:$B,'Emanet Miktar Dağılım'!$D14,'Gider Miktar'!$F:$F,1003)+SUMIFS('Gider Miktar'!BE:BE,'Gider Miktar'!$B:$B,'Emanet Miktar Dağılım'!$D14,'Gider Miktar'!$F:$F,1004)</f>
        <v>0</v>
      </c>
      <c r="AW14" s="9">
        <f>+SUMIFS('Gider Miktar'!BF:BF,'Gider Miktar'!$B:$B,'Emanet Miktar Dağılım'!$D14,'Gider Miktar'!$F:$F,1001)+SUMIFS('Gider Miktar'!BF:BF,'Gider Miktar'!$B:$B,'Emanet Miktar Dağılım'!$D14,'Gider Miktar'!$F:$F,1002)+SUMIFS('Gider Miktar'!BF:BF,'Gider Miktar'!$B:$B,'Emanet Miktar Dağılım'!$D14,'Gider Miktar'!$F:$F,1003)+SUMIFS('Gider Miktar'!BF:BF,'Gider Miktar'!$B:$B,'Emanet Miktar Dağılım'!$D14,'Gider Miktar'!$F:$F,1004)</f>
        <v>0</v>
      </c>
      <c r="AX14" s="9">
        <f>+SUMIFS('Gider Miktar'!BG:BG,'Gider Miktar'!$B:$B,'Emanet Miktar Dağılım'!$D14,'Gider Miktar'!$F:$F,1001)+SUMIFS('Gider Miktar'!BG:BG,'Gider Miktar'!$B:$B,'Emanet Miktar Dağılım'!$D14,'Gider Miktar'!$F:$F,1002)+SUMIFS('Gider Miktar'!BG:BG,'Gider Miktar'!$B:$B,'Emanet Miktar Dağılım'!$D14,'Gider Miktar'!$F:$F,1003)+SUMIFS('Gider Miktar'!BG:BG,'Gider Miktar'!$B:$B,'Emanet Miktar Dağılım'!$D14,'Gider Miktar'!$F:$F,1004)</f>
        <v>0</v>
      </c>
      <c r="AY14" s="9">
        <f>+SUMIFS('Gider Miktar'!BH:BH,'Gider Miktar'!$B:$B,'Emanet Miktar Dağılım'!$D14,'Gider Miktar'!$F:$F,1001)+SUMIFS('Gider Miktar'!BH:BH,'Gider Miktar'!$B:$B,'Emanet Miktar Dağılım'!$D14,'Gider Miktar'!$F:$F,1002)+SUMIFS('Gider Miktar'!BH:BH,'Gider Miktar'!$B:$B,'Emanet Miktar Dağılım'!$D14,'Gider Miktar'!$F:$F,1003)+SUMIFS('Gider Miktar'!BH:BH,'Gider Miktar'!$B:$B,'Emanet Miktar Dağılım'!$D14,'Gider Miktar'!$F:$F,1004)</f>
        <v>0</v>
      </c>
      <c r="AZ14" s="9">
        <f>+SUMIFS('Gider Miktar'!BI:BI,'Gider Miktar'!$B:$B,'Emanet Miktar Dağılım'!$D14,'Gider Miktar'!$F:$F,1001)+SUMIFS('Gider Miktar'!BI:BI,'Gider Miktar'!$B:$B,'Emanet Miktar Dağılım'!$D14,'Gider Miktar'!$F:$F,1002)+SUMIFS('Gider Miktar'!BI:BI,'Gider Miktar'!$B:$B,'Emanet Miktar Dağılım'!$D14,'Gider Miktar'!$F:$F,1003)+SUMIFS('Gider Miktar'!BI:BI,'Gider Miktar'!$B:$B,'Emanet Miktar Dağılım'!$D14,'Gider Miktar'!$F:$F,1004)</f>
        <v>0</v>
      </c>
      <c r="BA14" s="9">
        <f>+SUMIFS('Gider Miktar'!BJ:BJ,'Gider Miktar'!$B:$B,'Emanet Miktar Dağılım'!$D14,'Gider Miktar'!$F:$F,1001)+SUMIFS('Gider Miktar'!BJ:BJ,'Gider Miktar'!$B:$B,'Emanet Miktar Dağılım'!$D14,'Gider Miktar'!$F:$F,1002)+SUMIFS('Gider Miktar'!BJ:BJ,'Gider Miktar'!$B:$B,'Emanet Miktar Dağılım'!$D14,'Gider Miktar'!$F:$F,1003)+SUMIFS('Gider Miktar'!BJ:BJ,'Gider Miktar'!$B:$B,'Emanet Miktar Dağılım'!$D14,'Gider Miktar'!$F:$F,1004)</f>
        <v>0</v>
      </c>
      <c r="BB14" s="9">
        <f>+SUMIFS('Gider Miktar'!BK:BK,'Gider Miktar'!$B:$B,'Emanet Miktar Dağılım'!$D14,'Gider Miktar'!$F:$F,1001)+SUMIFS('Gider Miktar'!BK:BK,'Gider Miktar'!$B:$B,'Emanet Miktar Dağılım'!$D14,'Gider Miktar'!$F:$F,1002)+SUMIFS('Gider Miktar'!BK:BK,'Gider Miktar'!$B:$B,'Emanet Miktar Dağılım'!$D14,'Gider Miktar'!$F:$F,1003)+SUMIFS('Gider Miktar'!BK:BK,'Gider Miktar'!$B:$B,'Emanet Miktar Dağılım'!$D14,'Gider Miktar'!$F:$F,1004)</f>
        <v>0</v>
      </c>
      <c r="BC14" s="9">
        <f>+SUMIFS('Gider Miktar'!BL:BL,'Gider Miktar'!$B:$B,'Emanet Miktar Dağılım'!$D14,'Gider Miktar'!$F:$F,1001)+SUMIFS('Gider Miktar'!BL:BL,'Gider Miktar'!$B:$B,'Emanet Miktar Dağılım'!$D14,'Gider Miktar'!$F:$F,1002)+SUMIFS('Gider Miktar'!BL:BL,'Gider Miktar'!$B:$B,'Emanet Miktar Dağılım'!$D14,'Gider Miktar'!$F:$F,1003)+SUMIFS('Gider Miktar'!BL:BL,'Gider Miktar'!$B:$B,'Emanet Miktar Dağılım'!$D14,'Gider Miktar'!$F:$F,1004)</f>
        <v>0</v>
      </c>
      <c r="BD14" s="9">
        <f>+SUMIFS('Gider Miktar'!BM:BM,'Gider Miktar'!$B:$B,'Emanet Miktar Dağılım'!$D14,'Gider Miktar'!$F:$F,1001)+SUMIFS('Gider Miktar'!BM:BM,'Gider Miktar'!$B:$B,'Emanet Miktar Dağılım'!$D14,'Gider Miktar'!$F:$F,1002)+SUMIFS('Gider Miktar'!BM:BM,'Gider Miktar'!$B:$B,'Emanet Miktar Dağılım'!$D14,'Gider Miktar'!$F:$F,1003)+SUMIFS('Gider Miktar'!BM:BM,'Gider Miktar'!$B:$B,'Emanet Miktar Dağılım'!$D14,'Gider Miktar'!$F:$F,1004)</f>
        <v>0</v>
      </c>
      <c r="BE14" s="9">
        <f>+SUMIFS('Gider Miktar'!BN:BN,'Gider Miktar'!$B:$B,'Emanet Miktar Dağılım'!$D14,'Gider Miktar'!$F:$F,1001)+SUMIFS('Gider Miktar'!BN:BN,'Gider Miktar'!$B:$B,'Emanet Miktar Dağılım'!$D14,'Gider Miktar'!$F:$F,1002)+SUMIFS('Gider Miktar'!BN:BN,'Gider Miktar'!$B:$B,'Emanet Miktar Dağılım'!$D14,'Gider Miktar'!$F:$F,1003)+SUMIFS('Gider Miktar'!BN:BN,'Gider Miktar'!$B:$B,'Emanet Miktar Dağılım'!$D14,'Gider Miktar'!$F:$F,1004)</f>
        <v>0</v>
      </c>
      <c r="BF14" s="9">
        <f>+SUMIFS('Gider Miktar'!BO:BO,'Gider Miktar'!$B:$B,'Emanet Miktar Dağılım'!$D14,'Gider Miktar'!$F:$F,1001)+SUMIFS('Gider Miktar'!BO:BO,'Gider Miktar'!$B:$B,'Emanet Miktar Dağılım'!$D14,'Gider Miktar'!$F:$F,1002)+SUMIFS('Gider Miktar'!BO:BO,'Gider Miktar'!$B:$B,'Emanet Miktar Dağılım'!$D14,'Gider Miktar'!$F:$F,1003)+SUMIFS('Gider Miktar'!BO:BO,'Gider Miktar'!$B:$B,'Emanet Miktar Dağılım'!$D14,'Gider Miktar'!$F:$F,1004)</f>
        <v>0</v>
      </c>
      <c r="BG14" s="9">
        <f>+SUMIFS('Gider Miktar'!BP:BP,'Gider Miktar'!$B:$B,'Emanet Miktar Dağılım'!$D14,'Gider Miktar'!$F:$F,1001)+SUMIFS('Gider Miktar'!BP:BP,'Gider Miktar'!$B:$B,'Emanet Miktar Dağılım'!$D14,'Gider Miktar'!$F:$F,1002)+SUMIFS('Gider Miktar'!BP:BP,'Gider Miktar'!$B:$B,'Emanet Miktar Dağılım'!$D14,'Gider Miktar'!$F:$F,1003)+SUMIFS('Gider Miktar'!BP:BP,'Gider Miktar'!$B:$B,'Emanet Miktar Dağılım'!$D14,'Gider Miktar'!$F:$F,1004)</f>
        <v>0</v>
      </c>
      <c r="BH14" s="9">
        <f>+SUMIFS('Gider Miktar'!BQ:BQ,'Gider Miktar'!$B:$B,'Emanet Miktar Dağılım'!$D14,'Gider Miktar'!$F:$F,1001)+SUMIFS('Gider Miktar'!BQ:BQ,'Gider Miktar'!$B:$B,'Emanet Miktar Dağılım'!$D14,'Gider Miktar'!$F:$F,1002)+SUMIFS('Gider Miktar'!BQ:BQ,'Gider Miktar'!$B:$B,'Emanet Miktar Dağılım'!$D14,'Gider Miktar'!$F:$F,1003)+SUMIFS('Gider Miktar'!BQ:BQ,'Gider Miktar'!$B:$B,'Emanet Miktar Dağılım'!$D14,'Gider Miktar'!$F:$F,1004)</f>
        <v>0</v>
      </c>
      <c r="BI14" s="9">
        <f>+SUMIFS('Gider Miktar'!BR:BR,'Gider Miktar'!$B:$B,'Emanet Miktar Dağılım'!$D14,'Gider Miktar'!$F:$F,1001)+SUMIFS('Gider Miktar'!BR:BR,'Gider Miktar'!$B:$B,'Emanet Miktar Dağılım'!$D14,'Gider Miktar'!$F:$F,1002)+SUMIFS('Gider Miktar'!BR:BR,'Gider Miktar'!$B:$B,'Emanet Miktar Dağılım'!$D14,'Gider Miktar'!$F:$F,1003)+SUMIFS('Gider Miktar'!BR:BR,'Gider Miktar'!$B:$B,'Emanet Miktar Dağılım'!$D14,'Gider Miktar'!$F:$F,1004)</f>
        <v>0</v>
      </c>
      <c r="BJ14" s="9">
        <f>+SUMIFS('Gider Miktar'!BS:BS,'Gider Miktar'!$B:$B,'Emanet Miktar Dağılım'!$D14,'Gider Miktar'!$F:$F,1001)+SUMIFS('Gider Miktar'!BS:BS,'Gider Miktar'!$B:$B,'Emanet Miktar Dağılım'!$D14,'Gider Miktar'!$F:$F,1002)+SUMIFS('Gider Miktar'!BS:BS,'Gider Miktar'!$B:$B,'Emanet Miktar Dağılım'!$D14,'Gider Miktar'!$F:$F,1003)+SUMIFS('Gider Miktar'!BS:BS,'Gider Miktar'!$B:$B,'Emanet Miktar Dağılım'!$D14,'Gider Miktar'!$F:$F,1004)</f>
        <v>0</v>
      </c>
      <c r="BK14" s="9">
        <f>+SUMIFS('Gider Miktar'!BT:BT,'Gider Miktar'!$B:$B,'Emanet Miktar Dağılım'!$D14,'Gider Miktar'!$F:$F,1001)+SUMIFS('Gider Miktar'!BT:BT,'Gider Miktar'!$B:$B,'Emanet Miktar Dağılım'!$D14,'Gider Miktar'!$F:$F,1002)+SUMIFS('Gider Miktar'!BT:BT,'Gider Miktar'!$B:$B,'Emanet Miktar Dağılım'!$D14,'Gider Miktar'!$F:$F,1003)+SUMIFS('Gider Miktar'!BT:BT,'Gider Miktar'!$B:$B,'Emanet Miktar Dağılım'!$D14,'Gider Miktar'!$F:$F,1004)</f>
        <v>0</v>
      </c>
      <c r="BL14" s="9">
        <f>+SUMIFS('Gider Miktar'!BU:BU,'Gider Miktar'!$B:$B,'Emanet Miktar Dağılım'!$D14,'Gider Miktar'!$F:$F,1001)+SUMIFS('Gider Miktar'!BU:BU,'Gider Miktar'!$B:$B,'Emanet Miktar Dağılım'!$D14,'Gider Miktar'!$F:$F,1002)+SUMIFS('Gider Miktar'!BU:BU,'Gider Miktar'!$B:$B,'Emanet Miktar Dağılım'!$D14,'Gider Miktar'!$F:$F,1003)+SUMIFS('Gider Miktar'!BU:BU,'Gider Miktar'!$B:$B,'Emanet Miktar Dağılım'!$D14,'Gider Miktar'!$F:$F,1004)</f>
        <v>0</v>
      </c>
      <c r="BM14" s="9">
        <f>+SUMIFS('Gider Miktar'!BV:BV,'Gider Miktar'!$B:$B,'Emanet Miktar Dağılım'!$D14,'Gider Miktar'!$F:$F,1001)+SUMIFS('Gider Miktar'!BV:BV,'Gider Miktar'!$B:$B,'Emanet Miktar Dağılım'!$D14,'Gider Miktar'!$F:$F,1002)+SUMIFS('Gider Miktar'!BV:BV,'Gider Miktar'!$B:$B,'Emanet Miktar Dağılım'!$D14,'Gider Miktar'!$F:$F,1003)+SUMIFS('Gider Miktar'!BV:BV,'Gider Miktar'!$B:$B,'Emanet Miktar Dağılım'!$D14,'Gider Miktar'!$F:$F,1004)</f>
        <v>0</v>
      </c>
      <c r="BN14" s="9">
        <f>+SUMIFS('Gider Miktar'!BW:BW,'Gider Miktar'!$B:$B,'Emanet Miktar Dağılım'!$D14,'Gider Miktar'!$F:$F,1001)+SUMIFS('Gider Miktar'!BW:BW,'Gider Miktar'!$B:$B,'Emanet Miktar Dağılım'!$D14,'Gider Miktar'!$F:$F,1002)+SUMIFS('Gider Miktar'!BW:BW,'Gider Miktar'!$B:$B,'Emanet Miktar Dağılım'!$D14,'Gider Miktar'!$F:$F,1003)+SUMIFS('Gider Miktar'!BW:BW,'Gider Miktar'!$B:$B,'Emanet Miktar Dağılım'!$D14,'Gider Miktar'!$F:$F,1004)</f>
        <v>0</v>
      </c>
      <c r="BO14" s="9">
        <f>+SUMIFS('Gider Miktar'!BX:BX,'Gider Miktar'!$B:$B,'Emanet Miktar Dağılım'!$D14,'Gider Miktar'!$F:$F,1001)+SUMIFS('Gider Miktar'!BX:BX,'Gider Miktar'!$B:$B,'Emanet Miktar Dağılım'!$D14,'Gider Miktar'!$F:$F,1002)+SUMIFS('Gider Miktar'!BX:BX,'Gider Miktar'!$B:$B,'Emanet Miktar Dağılım'!$D14,'Gider Miktar'!$F:$F,1003)+SUMIFS('Gider Miktar'!BX:BX,'Gider Miktar'!$B:$B,'Emanet Miktar Dağılım'!$D14,'Gider Miktar'!$F:$F,1004)</f>
        <v>0</v>
      </c>
    </row>
    <row r="15" spans="2:67">
      <c r="D15" t="s">
        <v>17</v>
      </c>
      <c r="E15" s="9">
        <f>+SUMIFS('Gider Miktar'!N:N,'Gider Miktar'!$B:$B,'Emanet Miktar Dağılım'!$D15,'Gider Miktar'!$F:$F,1001)+SUMIFS('Gider Miktar'!N:N,'Gider Miktar'!$B:$B,'Emanet Miktar Dağılım'!$D15,'Gider Miktar'!$F:$F,1002)+SUMIFS('Gider Miktar'!N:N,'Gider Miktar'!$B:$B,'Emanet Miktar Dağılım'!$D15,'Gider Miktar'!$F:$F,1003)+SUMIFS('Gider Miktar'!N:N,'Gider Miktar'!$B:$B,'Emanet Miktar Dağılım'!$D15,'Gider Miktar'!$F:$F,1004)</f>
        <v>0</v>
      </c>
      <c r="F15" s="9">
        <f>+SUMIFS('Gider Miktar'!O:O,'Gider Miktar'!$B:$B,'Emanet Miktar Dağılım'!$D15,'Gider Miktar'!$F:$F,1001)+SUMIFS('Gider Miktar'!O:O,'Gider Miktar'!$B:$B,'Emanet Miktar Dağılım'!$D15,'Gider Miktar'!$F:$F,1002)+SUMIFS('Gider Miktar'!O:O,'Gider Miktar'!$B:$B,'Emanet Miktar Dağılım'!$D15,'Gider Miktar'!$F:$F,1003)+SUMIFS('Gider Miktar'!O:O,'Gider Miktar'!$B:$B,'Emanet Miktar Dağılım'!$D15,'Gider Miktar'!$F:$F,1004)</f>
        <v>0</v>
      </c>
      <c r="G15" s="9">
        <f>+SUMIFS('Gider Miktar'!P:P,'Gider Miktar'!$B:$B,'Emanet Miktar Dağılım'!$D15,'Gider Miktar'!$F:$F,1001)+SUMIFS('Gider Miktar'!P:P,'Gider Miktar'!$B:$B,'Emanet Miktar Dağılım'!$D15,'Gider Miktar'!$F:$F,1002)+SUMIFS('Gider Miktar'!P:P,'Gider Miktar'!$B:$B,'Emanet Miktar Dağılım'!$D15,'Gider Miktar'!$F:$F,1003)+SUMIFS('Gider Miktar'!P:P,'Gider Miktar'!$B:$B,'Emanet Miktar Dağılım'!$D15,'Gider Miktar'!$F:$F,1004)</f>
        <v>0</v>
      </c>
      <c r="H15" s="9">
        <f>+SUMIFS('Gider Miktar'!Q:Q,'Gider Miktar'!$B:$B,'Emanet Miktar Dağılım'!$D15,'Gider Miktar'!$F:$F,1001)+SUMIFS('Gider Miktar'!Q:Q,'Gider Miktar'!$B:$B,'Emanet Miktar Dağılım'!$D15,'Gider Miktar'!$F:$F,1002)+SUMIFS('Gider Miktar'!Q:Q,'Gider Miktar'!$B:$B,'Emanet Miktar Dağılım'!$D15,'Gider Miktar'!$F:$F,1003)+SUMIFS('Gider Miktar'!Q:Q,'Gider Miktar'!$B:$B,'Emanet Miktar Dağılım'!$D15,'Gider Miktar'!$F:$F,1004)</f>
        <v>0</v>
      </c>
      <c r="I15" s="9">
        <f>+SUMIFS('Gider Miktar'!R:R,'Gider Miktar'!$B:$B,'Emanet Miktar Dağılım'!$D15,'Gider Miktar'!$F:$F,1001)+SUMIFS('Gider Miktar'!R:R,'Gider Miktar'!$B:$B,'Emanet Miktar Dağılım'!$D15,'Gider Miktar'!$F:$F,1002)+SUMIFS('Gider Miktar'!R:R,'Gider Miktar'!$B:$B,'Emanet Miktar Dağılım'!$D15,'Gider Miktar'!$F:$F,1003)+SUMIFS('Gider Miktar'!R:R,'Gider Miktar'!$B:$B,'Emanet Miktar Dağılım'!$D15,'Gider Miktar'!$F:$F,1004)</f>
        <v>9.6999999999999993</v>
      </c>
      <c r="J15" s="9">
        <f>+SUMIFS('Gider Miktar'!S:S,'Gider Miktar'!$B:$B,'Emanet Miktar Dağılım'!$D15,'Gider Miktar'!$F:$F,1001)+SUMIFS('Gider Miktar'!S:S,'Gider Miktar'!$B:$B,'Emanet Miktar Dağılım'!$D15,'Gider Miktar'!$F:$F,1002)+SUMIFS('Gider Miktar'!S:S,'Gider Miktar'!$B:$B,'Emanet Miktar Dağılım'!$D15,'Gider Miktar'!$F:$F,1003)+SUMIFS('Gider Miktar'!S:S,'Gider Miktar'!$B:$B,'Emanet Miktar Dağılım'!$D15,'Gider Miktar'!$F:$F,1004)</f>
        <v>56.86</v>
      </c>
      <c r="K15" s="9">
        <f>+SUMIFS('Gider Miktar'!T:T,'Gider Miktar'!$B:$B,'Emanet Miktar Dağılım'!$D15,'Gider Miktar'!$F:$F,1001)+SUMIFS('Gider Miktar'!T:T,'Gider Miktar'!$B:$B,'Emanet Miktar Dağılım'!$D15,'Gider Miktar'!$F:$F,1002)+SUMIFS('Gider Miktar'!T:T,'Gider Miktar'!$B:$B,'Emanet Miktar Dağılım'!$D15,'Gider Miktar'!$F:$F,1003)+SUMIFS('Gider Miktar'!T:T,'Gider Miktar'!$B:$B,'Emanet Miktar Dağılım'!$D15,'Gider Miktar'!$F:$F,1004)</f>
        <v>45.959000000000003</v>
      </c>
      <c r="L15" s="9">
        <f>+SUMIFS('Gider Miktar'!U:U,'Gider Miktar'!$B:$B,'Emanet Miktar Dağılım'!$D15,'Gider Miktar'!$F:$F,1001)+SUMIFS('Gider Miktar'!U:U,'Gider Miktar'!$B:$B,'Emanet Miktar Dağılım'!$D15,'Gider Miktar'!$F:$F,1002)+SUMIFS('Gider Miktar'!U:U,'Gider Miktar'!$B:$B,'Emanet Miktar Dağılım'!$D15,'Gider Miktar'!$F:$F,1003)+SUMIFS('Gider Miktar'!U:U,'Gider Miktar'!$B:$B,'Emanet Miktar Dağılım'!$D15,'Gider Miktar'!$F:$F,1004)</f>
        <v>199.08992949999993</v>
      </c>
      <c r="M15" s="9">
        <f>+SUMIFS('Gider Miktar'!V:V,'Gider Miktar'!$B:$B,'Emanet Miktar Dağılım'!$D15,'Gider Miktar'!$F:$F,1001)+SUMIFS('Gider Miktar'!V:V,'Gider Miktar'!$B:$B,'Emanet Miktar Dağılım'!$D15,'Gider Miktar'!$F:$F,1002)+SUMIFS('Gider Miktar'!V:V,'Gider Miktar'!$B:$B,'Emanet Miktar Dağılım'!$D15,'Gider Miktar'!$F:$F,1003)+SUMIFS('Gider Miktar'!V:V,'Gider Miktar'!$B:$B,'Emanet Miktar Dağılım'!$D15,'Gider Miktar'!$F:$F,1004)</f>
        <v>200.25368800000001</v>
      </c>
      <c r="N15" s="11">
        <f>+SUMIFS('Gider Miktar'!W:W,'Gider Miktar'!$B:$B,'Emanet Miktar Dağılım'!$D15,'Gider Miktar'!$F:$F,1001)+SUMIFS('Gider Miktar'!W:W,'Gider Miktar'!$B:$B,'Emanet Miktar Dağılım'!$D15,'Gider Miktar'!$F:$F,1002)+SUMIFS('Gider Miktar'!W:W,'Gider Miktar'!$B:$B,'Emanet Miktar Dağılım'!$D15,'Gider Miktar'!$F:$F,1003)+SUMIFS('Gider Miktar'!W:W,'Gider Miktar'!$B:$B,'Emanet Miktar Dağılım'!$D15,'Gider Miktar'!$F:$F,1004)</f>
        <v>243.09700000000004</v>
      </c>
      <c r="O15" s="9">
        <f>+SUMIFS('Gider Miktar'!X:X,'Gider Miktar'!$B:$B,'Emanet Miktar Dağılım'!$D15,'Gider Miktar'!$F:$F,1001)+SUMIFS('Gider Miktar'!X:X,'Gider Miktar'!$B:$B,'Emanet Miktar Dağılım'!$D15,'Gider Miktar'!$F:$F,1002)+SUMIFS('Gider Miktar'!X:X,'Gider Miktar'!$B:$B,'Emanet Miktar Dağılım'!$D15,'Gider Miktar'!$F:$F,1003)+SUMIFS('Gider Miktar'!X:X,'Gider Miktar'!$B:$B,'Emanet Miktar Dağılım'!$D15,'Gider Miktar'!$F:$F,1004)</f>
        <v>169.40329097920937</v>
      </c>
      <c r="P15" s="9">
        <f>+SUMIFS('Gider Miktar'!Y:Y,'Gider Miktar'!$B:$B,'Emanet Miktar Dağılım'!$D15,'Gider Miktar'!$F:$F,1001)+SUMIFS('Gider Miktar'!Y:Y,'Gider Miktar'!$B:$B,'Emanet Miktar Dağılım'!$D15,'Gider Miktar'!$F:$F,1002)+SUMIFS('Gider Miktar'!Y:Y,'Gider Miktar'!$B:$B,'Emanet Miktar Dağılım'!$D15,'Gider Miktar'!$F:$F,1003)+SUMIFS('Gider Miktar'!Y:Y,'Gider Miktar'!$B:$B,'Emanet Miktar Dağılım'!$D15,'Gider Miktar'!$F:$F,1004)</f>
        <v>194.60217396947783</v>
      </c>
      <c r="Q15" s="9">
        <f>+SUMIFS('Gider Miktar'!Z:Z,'Gider Miktar'!$B:$B,'Emanet Miktar Dağılım'!$D15,'Gider Miktar'!$F:$F,1001)+SUMIFS('Gider Miktar'!Z:Z,'Gider Miktar'!$B:$B,'Emanet Miktar Dağılım'!$D15,'Gider Miktar'!$F:$F,1002)+SUMIFS('Gider Miktar'!Z:Z,'Gider Miktar'!$B:$B,'Emanet Miktar Dağılım'!$D15,'Gider Miktar'!$F:$F,1003)+SUMIFS('Gider Miktar'!Z:Z,'Gider Miktar'!$B:$B,'Emanet Miktar Dağılım'!$D15,'Gider Miktar'!$F:$F,1004)</f>
        <v>146.16211989986306</v>
      </c>
      <c r="R15" s="9">
        <f>+SUMIFS('Gider Miktar'!AA:AA,'Gider Miktar'!$B:$B,'Emanet Miktar Dağılım'!$D15,'Gider Miktar'!$F:$F,1001)+SUMIFS('Gider Miktar'!AA:AA,'Gider Miktar'!$B:$B,'Emanet Miktar Dağılım'!$D15,'Gider Miktar'!$F:$F,1002)+SUMIFS('Gider Miktar'!AA:AA,'Gider Miktar'!$B:$B,'Emanet Miktar Dağılım'!$D15,'Gider Miktar'!$F:$F,1003)+SUMIFS('Gider Miktar'!AA:AA,'Gider Miktar'!$B:$B,'Emanet Miktar Dağılım'!$D15,'Gider Miktar'!$F:$F,1004)</f>
        <v>131.19336126630895</v>
      </c>
      <c r="S15" s="9">
        <f>+SUMIFS('Gider Miktar'!AB:AB,'Gider Miktar'!$B:$B,'Emanet Miktar Dağılım'!$D15,'Gider Miktar'!$F:$F,1001)+SUMIFS('Gider Miktar'!AB:AB,'Gider Miktar'!$B:$B,'Emanet Miktar Dağılım'!$D15,'Gider Miktar'!$F:$F,1002)+SUMIFS('Gider Miktar'!AB:AB,'Gider Miktar'!$B:$B,'Emanet Miktar Dağılım'!$D15,'Gider Miktar'!$F:$F,1003)+SUMIFS('Gider Miktar'!AB:AB,'Gider Miktar'!$B:$B,'Emanet Miktar Dağılım'!$D15,'Gider Miktar'!$F:$F,1004)</f>
        <v>138.68126267476032</v>
      </c>
      <c r="T15" s="9">
        <f>+SUMIFS('Gider Miktar'!AC:AC,'Gider Miktar'!$B:$B,'Emanet Miktar Dağılım'!$D15,'Gider Miktar'!$F:$F,1001)+SUMIFS('Gider Miktar'!AC:AC,'Gider Miktar'!$B:$B,'Emanet Miktar Dağılım'!$D15,'Gider Miktar'!$F:$F,1002)+SUMIFS('Gider Miktar'!AC:AC,'Gider Miktar'!$B:$B,'Emanet Miktar Dağılım'!$D15,'Gider Miktar'!$F:$F,1003)+SUMIFS('Gider Miktar'!AC:AC,'Gider Miktar'!$B:$B,'Emanet Miktar Dağılım'!$D15,'Gider Miktar'!$F:$F,1004)</f>
        <v>150.16705270795273</v>
      </c>
      <c r="U15" s="9">
        <f>+SUMIFS('Gider Miktar'!AD:AD,'Gider Miktar'!$B:$B,'Emanet Miktar Dağılım'!$D15,'Gider Miktar'!$F:$F,1001)+SUMIFS('Gider Miktar'!AD:AD,'Gider Miktar'!$B:$B,'Emanet Miktar Dağılım'!$D15,'Gider Miktar'!$F:$F,1002)+SUMIFS('Gider Miktar'!AD:AD,'Gider Miktar'!$B:$B,'Emanet Miktar Dağılım'!$D15,'Gider Miktar'!$F:$F,1003)+SUMIFS('Gider Miktar'!AD:AD,'Gider Miktar'!$B:$B,'Emanet Miktar Dağılım'!$D15,'Gider Miktar'!$F:$F,1004)</f>
        <v>138.59484144034718</v>
      </c>
      <c r="V15" s="9">
        <f>+SUMIFS('Gider Miktar'!AE:AE,'Gider Miktar'!$B:$B,'Emanet Miktar Dağılım'!$D15,'Gider Miktar'!$F:$F,1001)+SUMIFS('Gider Miktar'!AE:AE,'Gider Miktar'!$B:$B,'Emanet Miktar Dağılım'!$D15,'Gider Miktar'!$F:$F,1002)+SUMIFS('Gider Miktar'!AE:AE,'Gider Miktar'!$B:$B,'Emanet Miktar Dağılım'!$D15,'Gider Miktar'!$F:$F,1003)+SUMIFS('Gider Miktar'!AE:AE,'Gider Miktar'!$B:$B,'Emanet Miktar Dağılım'!$D15,'Gider Miktar'!$F:$F,1004)</f>
        <v>154.60849324501805</v>
      </c>
      <c r="W15" s="9">
        <f>+SUMIFS('Gider Miktar'!AF:AF,'Gider Miktar'!$B:$B,'Emanet Miktar Dağılım'!$D15,'Gider Miktar'!$F:$F,1001)+SUMIFS('Gider Miktar'!AF:AF,'Gider Miktar'!$B:$B,'Emanet Miktar Dağılım'!$D15,'Gider Miktar'!$F:$F,1002)+SUMIFS('Gider Miktar'!AF:AF,'Gider Miktar'!$B:$B,'Emanet Miktar Dağılım'!$D15,'Gider Miktar'!$F:$F,1003)+SUMIFS('Gider Miktar'!AF:AF,'Gider Miktar'!$B:$B,'Emanet Miktar Dağılım'!$D15,'Gider Miktar'!$F:$F,1004)</f>
        <v>113.39953302697242</v>
      </c>
      <c r="X15" s="9">
        <f>+SUMIFS('Gider Miktar'!AG:AG,'Gider Miktar'!$B:$B,'Emanet Miktar Dağılım'!$D15,'Gider Miktar'!$F:$F,1001)+SUMIFS('Gider Miktar'!AG:AG,'Gider Miktar'!$B:$B,'Emanet Miktar Dağılım'!$D15,'Gider Miktar'!$F:$F,1002)+SUMIFS('Gider Miktar'!AG:AG,'Gider Miktar'!$B:$B,'Emanet Miktar Dağılım'!$D15,'Gider Miktar'!$F:$F,1003)+SUMIFS('Gider Miktar'!AG:AG,'Gider Miktar'!$B:$B,'Emanet Miktar Dağılım'!$D15,'Gider Miktar'!$F:$F,1004)</f>
        <v>61.037545815216305</v>
      </c>
      <c r="Y15" s="9">
        <f>+SUMIFS('Gider Miktar'!AH:AH,'Gider Miktar'!$B:$B,'Emanet Miktar Dağılım'!$D15,'Gider Miktar'!$F:$F,1001)+SUMIFS('Gider Miktar'!AH:AH,'Gider Miktar'!$B:$B,'Emanet Miktar Dağılım'!$D15,'Gider Miktar'!$F:$F,1002)+SUMIFS('Gider Miktar'!AH:AH,'Gider Miktar'!$B:$B,'Emanet Miktar Dağılım'!$D15,'Gider Miktar'!$F:$F,1003)+SUMIFS('Gider Miktar'!AH:AH,'Gider Miktar'!$B:$B,'Emanet Miktar Dağılım'!$D15,'Gider Miktar'!$F:$F,1004)</f>
        <v>72.601026134236051</v>
      </c>
      <c r="Z15" s="9">
        <f>+SUMIFS('Gider Miktar'!AI:AI,'Gider Miktar'!$B:$B,'Emanet Miktar Dağılım'!$D15,'Gider Miktar'!$F:$F,1001)+SUMIFS('Gider Miktar'!AI:AI,'Gider Miktar'!$B:$B,'Emanet Miktar Dağılım'!$D15,'Gider Miktar'!$F:$F,1002)+SUMIFS('Gider Miktar'!AI:AI,'Gider Miktar'!$B:$B,'Emanet Miktar Dağılım'!$D15,'Gider Miktar'!$F:$F,1003)+SUMIFS('Gider Miktar'!AI:AI,'Gider Miktar'!$B:$B,'Emanet Miktar Dağılım'!$D15,'Gider Miktar'!$F:$F,1004)</f>
        <v>77.051197619887262</v>
      </c>
      <c r="AA15" s="9">
        <f>+SUMIFS('Gider Miktar'!AJ:AJ,'Gider Miktar'!$B:$B,'Emanet Miktar Dağılım'!$D15,'Gider Miktar'!$F:$F,1001)+SUMIFS('Gider Miktar'!AJ:AJ,'Gider Miktar'!$B:$B,'Emanet Miktar Dağılım'!$D15,'Gider Miktar'!$F:$F,1002)+SUMIFS('Gider Miktar'!AJ:AJ,'Gider Miktar'!$B:$B,'Emanet Miktar Dağılım'!$D15,'Gider Miktar'!$F:$F,1003)+SUMIFS('Gider Miktar'!AJ:AJ,'Gider Miktar'!$B:$B,'Emanet Miktar Dağılım'!$D15,'Gider Miktar'!$F:$F,1004)</f>
        <v>75.449832439420163</v>
      </c>
      <c r="AB15" s="9">
        <f>+SUMIFS('Gider Miktar'!AK:AK,'Gider Miktar'!$B:$B,'Emanet Miktar Dağılım'!$D15,'Gider Miktar'!$F:$F,1001)+SUMIFS('Gider Miktar'!AK:AK,'Gider Miktar'!$B:$B,'Emanet Miktar Dağılım'!$D15,'Gider Miktar'!$F:$F,1002)+SUMIFS('Gider Miktar'!AK:AK,'Gider Miktar'!$B:$B,'Emanet Miktar Dağılım'!$D15,'Gider Miktar'!$F:$F,1003)+SUMIFS('Gider Miktar'!AK:AK,'Gider Miktar'!$B:$B,'Emanet Miktar Dağılım'!$D15,'Gider Miktar'!$F:$F,1004)</f>
        <v>75.449832439420163</v>
      </c>
      <c r="AC15" s="9">
        <f>+SUMIFS('Gider Miktar'!AL:AL,'Gider Miktar'!$B:$B,'Emanet Miktar Dağılım'!$D15,'Gider Miktar'!$F:$F,1001)+SUMIFS('Gider Miktar'!AL:AL,'Gider Miktar'!$B:$B,'Emanet Miktar Dağılım'!$D15,'Gider Miktar'!$F:$F,1002)+SUMIFS('Gider Miktar'!AL:AL,'Gider Miktar'!$B:$B,'Emanet Miktar Dağılım'!$D15,'Gider Miktar'!$F:$F,1003)+SUMIFS('Gider Miktar'!AL:AL,'Gider Miktar'!$B:$B,'Emanet Miktar Dağılım'!$D15,'Gider Miktar'!$F:$F,1004)</f>
        <v>28.209559615640934</v>
      </c>
      <c r="AD15" s="9">
        <f>+SUMIFS('Gider Miktar'!AM:AM,'Gider Miktar'!$B:$B,'Emanet Miktar Dağılım'!$D15,'Gider Miktar'!$F:$F,1001)+SUMIFS('Gider Miktar'!AM:AM,'Gider Miktar'!$B:$B,'Emanet Miktar Dağılım'!$D15,'Gider Miktar'!$F:$F,1002)+SUMIFS('Gider Miktar'!AM:AM,'Gider Miktar'!$B:$B,'Emanet Miktar Dağılım'!$D15,'Gider Miktar'!$F:$F,1003)+SUMIFS('Gider Miktar'!AM:AM,'Gider Miktar'!$B:$B,'Emanet Miktar Dağılım'!$D15,'Gider Miktar'!$F:$F,1004)</f>
        <v>17.800685942604844</v>
      </c>
      <c r="AE15" s="9">
        <f>+SUMIFS('Gider Miktar'!AN:AN,'Gider Miktar'!$B:$B,'Emanet Miktar Dağılım'!$D15,'Gider Miktar'!$F:$F,1001)+SUMIFS('Gider Miktar'!AN:AN,'Gider Miktar'!$B:$B,'Emanet Miktar Dağılım'!$D15,'Gider Miktar'!$F:$F,1002)+SUMIFS('Gider Miktar'!AN:AN,'Gider Miktar'!$B:$B,'Emanet Miktar Dağılım'!$D15,'Gider Miktar'!$F:$F,1003)+SUMIFS('Gider Miktar'!AN:AN,'Gider Miktar'!$B:$B,'Emanet Miktar Dağılım'!$D15,'Gider Miktar'!$F:$F,1004)</f>
        <v>17.800685942604844</v>
      </c>
      <c r="AF15" s="9">
        <f>+SUMIFS('Gider Miktar'!AO:AO,'Gider Miktar'!$B:$B,'Emanet Miktar Dağılım'!$D15,'Gider Miktar'!$F:$F,1001)+SUMIFS('Gider Miktar'!AO:AO,'Gider Miktar'!$B:$B,'Emanet Miktar Dağılım'!$D15,'Gider Miktar'!$F:$F,1002)+SUMIFS('Gider Miktar'!AO:AO,'Gider Miktar'!$B:$B,'Emanet Miktar Dağılım'!$D15,'Gider Miktar'!$F:$F,1003)+SUMIFS('Gider Miktar'!AO:AO,'Gider Miktar'!$B:$B,'Emanet Miktar Dağılım'!$D15,'Gider Miktar'!$F:$F,1004)</f>
        <v>17.800685942604844</v>
      </c>
      <c r="AG15" s="9">
        <f>+SUMIFS('Gider Miktar'!AP:AP,'Gider Miktar'!$B:$B,'Emanet Miktar Dağılım'!$D15,'Gider Miktar'!$F:$F,1001)+SUMIFS('Gider Miktar'!AP:AP,'Gider Miktar'!$B:$B,'Emanet Miktar Dağılım'!$D15,'Gider Miktar'!$F:$F,1002)+SUMIFS('Gider Miktar'!AP:AP,'Gider Miktar'!$B:$B,'Emanet Miktar Dağılım'!$D15,'Gider Miktar'!$F:$F,1003)+SUMIFS('Gider Miktar'!AP:AP,'Gider Miktar'!$B:$B,'Emanet Miktar Dağılım'!$D15,'Gider Miktar'!$F:$F,1004)</f>
        <v>17.800685942604844</v>
      </c>
      <c r="AH15" s="9">
        <f>+SUMIFS('Gider Miktar'!AQ:AQ,'Gider Miktar'!$B:$B,'Emanet Miktar Dağılım'!$D15,'Gider Miktar'!$F:$F,1001)+SUMIFS('Gider Miktar'!AQ:AQ,'Gider Miktar'!$B:$B,'Emanet Miktar Dağılım'!$D15,'Gider Miktar'!$F:$F,1002)+SUMIFS('Gider Miktar'!AQ:AQ,'Gider Miktar'!$B:$B,'Emanet Miktar Dağılım'!$D15,'Gider Miktar'!$F:$F,1003)+SUMIFS('Gider Miktar'!AQ:AQ,'Gider Miktar'!$B:$B,'Emanet Miktar Dağılım'!$D15,'Gider Miktar'!$F:$F,1004)</f>
        <v>13.350514456953634</v>
      </c>
      <c r="AI15" s="9">
        <f>+SUMIFS('Gider Miktar'!AR:AR,'Gider Miktar'!$B:$B,'Emanet Miktar Dağılım'!$D15,'Gider Miktar'!$F:$F,1001)+SUMIFS('Gider Miktar'!AR:AR,'Gider Miktar'!$B:$B,'Emanet Miktar Dağılım'!$D15,'Gider Miktar'!$F:$F,1002)+SUMIFS('Gider Miktar'!AR:AR,'Gider Miktar'!$B:$B,'Emanet Miktar Dağılım'!$D15,'Gider Miktar'!$F:$F,1003)+SUMIFS('Gider Miktar'!AR:AR,'Gider Miktar'!$B:$B,'Emanet Miktar Dağılım'!$D15,'Gider Miktar'!$F:$F,1004)</f>
        <v>15.777880721854292</v>
      </c>
      <c r="AJ15" s="9">
        <f>+SUMIFS('Gider Miktar'!AS:AS,'Gider Miktar'!$B:$B,'Emanet Miktar Dağılım'!$D15,'Gider Miktar'!$F:$F,1001)+SUMIFS('Gider Miktar'!AS:AS,'Gider Miktar'!$B:$B,'Emanet Miktar Dağılım'!$D15,'Gider Miktar'!$F:$F,1002)+SUMIFS('Gider Miktar'!AS:AS,'Gider Miktar'!$B:$B,'Emanet Miktar Dağılım'!$D15,'Gider Miktar'!$F:$F,1003)+SUMIFS('Gider Miktar'!AS:AS,'Gider Miktar'!$B:$B,'Emanet Miktar Dağılım'!$D15,'Gider Miktar'!$F:$F,1004)</f>
        <v>9.709465059602671</v>
      </c>
      <c r="AK15" s="9">
        <f>+SUMIFS('Gider Miktar'!AT:AT,'Gider Miktar'!$B:$B,'Emanet Miktar Dağılım'!$D15,'Gider Miktar'!$F:$F,1001)+SUMIFS('Gider Miktar'!AT:AT,'Gider Miktar'!$B:$B,'Emanet Miktar Dağılım'!$D15,'Gider Miktar'!$F:$F,1002)+SUMIFS('Gider Miktar'!AT:AT,'Gider Miktar'!$B:$B,'Emanet Miktar Dağılım'!$D15,'Gider Miktar'!$F:$F,1003)+SUMIFS('Gider Miktar'!AT:AT,'Gider Miktar'!$B:$B,'Emanet Miktar Dağılım'!$D15,'Gider Miktar'!$F:$F,1004)</f>
        <v>7.2820987947019695</v>
      </c>
      <c r="AL15" s="9">
        <f>+SUMIFS('Gider Miktar'!AU:AU,'Gider Miktar'!$B:$B,'Emanet Miktar Dağılım'!$D15,'Gider Miktar'!$F:$F,1001)+SUMIFS('Gider Miktar'!AU:AU,'Gider Miktar'!$B:$B,'Emanet Miktar Dağılım'!$D15,'Gider Miktar'!$F:$F,1002)+SUMIFS('Gider Miktar'!AU:AU,'Gider Miktar'!$B:$B,'Emanet Miktar Dağılım'!$D15,'Gider Miktar'!$F:$F,1003)+SUMIFS('Gider Miktar'!AU:AU,'Gider Miktar'!$B:$B,'Emanet Miktar Dağılım'!$D15,'Gider Miktar'!$F:$F,1004)</f>
        <v>9.709465059602671</v>
      </c>
      <c r="AM15" s="9">
        <f>+SUMIFS('Gider Miktar'!AV:AV,'Gider Miktar'!$B:$B,'Emanet Miktar Dağılım'!$D15,'Gider Miktar'!$F:$F,1001)+SUMIFS('Gider Miktar'!AV:AV,'Gider Miktar'!$B:$B,'Emanet Miktar Dağılım'!$D15,'Gider Miktar'!$F:$F,1002)+SUMIFS('Gider Miktar'!AV:AV,'Gider Miktar'!$B:$B,'Emanet Miktar Dağılım'!$D15,'Gider Miktar'!$F:$F,1003)+SUMIFS('Gider Miktar'!AV:AV,'Gider Miktar'!$B:$B,'Emanet Miktar Dağılım'!$D15,'Gider Miktar'!$F:$F,1004)</f>
        <v>9.709465059602671</v>
      </c>
      <c r="AN15" s="9">
        <f>+SUMIFS('Gider Miktar'!AW:AW,'Gider Miktar'!$B:$B,'Emanet Miktar Dağılım'!$D15,'Gider Miktar'!$F:$F,1001)+SUMIFS('Gider Miktar'!AW:AW,'Gider Miktar'!$B:$B,'Emanet Miktar Dağılım'!$D15,'Gider Miktar'!$F:$F,1002)+SUMIFS('Gider Miktar'!AW:AW,'Gider Miktar'!$B:$B,'Emanet Miktar Dağılım'!$D15,'Gider Miktar'!$F:$F,1003)+SUMIFS('Gider Miktar'!AW:AW,'Gider Miktar'!$B:$B,'Emanet Miktar Dağılım'!$D15,'Gider Miktar'!$F:$F,1004)</f>
        <v>9.709465059602671</v>
      </c>
      <c r="AO15" s="9">
        <f>+SUMIFS('Gider Miktar'!AX:AX,'Gider Miktar'!$B:$B,'Emanet Miktar Dağılım'!$D15,'Gider Miktar'!$F:$F,1001)+SUMIFS('Gider Miktar'!AX:AX,'Gider Miktar'!$B:$B,'Emanet Miktar Dağılım'!$D15,'Gider Miktar'!$F:$F,1002)+SUMIFS('Gider Miktar'!AX:AX,'Gider Miktar'!$B:$B,'Emanet Miktar Dağılım'!$D15,'Gider Miktar'!$F:$F,1003)+SUMIFS('Gider Miktar'!AX:AX,'Gider Miktar'!$B:$B,'Emanet Miktar Dağılım'!$D15,'Gider Miktar'!$F:$F,1004)</f>
        <v>9.709465059602671</v>
      </c>
      <c r="AP15" s="9">
        <f>+SUMIFS('Gider Miktar'!AY:AY,'Gider Miktar'!$B:$B,'Emanet Miktar Dağılım'!$D15,'Gider Miktar'!$F:$F,1001)+SUMIFS('Gider Miktar'!AY:AY,'Gider Miktar'!$B:$B,'Emanet Miktar Dağılım'!$D15,'Gider Miktar'!$F:$F,1002)+SUMIFS('Gider Miktar'!AY:AY,'Gider Miktar'!$B:$B,'Emanet Miktar Dağılım'!$D15,'Gider Miktar'!$F:$F,1003)+SUMIFS('Gider Miktar'!AY:AY,'Gider Miktar'!$B:$B,'Emanet Miktar Dağılım'!$D15,'Gider Miktar'!$F:$F,1004)</f>
        <v>6.2706961843266926</v>
      </c>
      <c r="AQ15" s="9">
        <f>+SUMIFS('Gider Miktar'!AZ:AZ,'Gider Miktar'!$B:$B,'Emanet Miktar Dağılım'!$D15,'Gider Miktar'!$F:$F,1001)+SUMIFS('Gider Miktar'!AZ:AZ,'Gider Miktar'!$B:$B,'Emanet Miktar Dağılım'!$D15,'Gider Miktar'!$F:$F,1002)+SUMIFS('Gider Miktar'!AZ:AZ,'Gider Miktar'!$B:$B,'Emanet Miktar Dağılım'!$D15,'Gider Miktar'!$F:$F,1003)+SUMIFS('Gider Miktar'!AZ:AZ,'Gider Miktar'!$B:$B,'Emanet Miktar Dağılım'!$D15,'Gider Miktar'!$F:$F,1004)</f>
        <v>0</v>
      </c>
      <c r="AR15" s="9">
        <f>+SUMIFS('Gider Miktar'!BA:BA,'Gider Miktar'!$B:$B,'Emanet Miktar Dağılım'!$D15,'Gider Miktar'!$F:$F,1001)+SUMIFS('Gider Miktar'!BA:BA,'Gider Miktar'!$B:$B,'Emanet Miktar Dağılım'!$D15,'Gider Miktar'!$F:$F,1002)+SUMIFS('Gider Miktar'!BA:BA,'Gider Miktar'!$B:$B,'Emanet Miktar Dağılım'!$D15,'Gider Miktar'!$F:$F,1003)+SUMIFS('Gider Miktar'!BA:BA,'Gider Miktar'!$B:$B,'Emanet Miktar Dağılım'!$D15,'Gider Miktar'!$F:$F,1004)</f>
        <v>0</v>
      </c>
      <c r="AS15" s="9">
        <f>+SUMIFS('Gider Miktar'!BB:BB,'Gider Miktar'!$B:$B,'Emanet Miktar Dağılım'!$D15,'Gider Miktar'!$F:$F,1001)+SUMIFS('Gider Miktar'!BB:BB,'Gider Miktar'!$B:$B,'Emanet Miktar Dağılım'!$D15,'Gider Miktar'!$F:$F,1002)+SUMIFS('Gider Miktar'!BB:BB,'Gider Miktar'!$B:$B,'Emanet Miktar Dağılım'!$D15,'Gider Miktar'!$F:$F,1003)+SUMIFS('Gider Miktar'!BB:BB,'Gider Miktar'!$B:$B,'Emanet Miktar Dağılım'!$D15,'Gider Miktar'!$F:$F,1004)</f>
        <v>0</v>
      </c>
      <c r="AT15" s="9">
        <f>+SUMIFS('Gider Miktar'!BC:BC,'Gider Miktar'!$B:$B,'Emanet Miktar Dağılım'!$D15,'Gider Miktar'!$F:$F,1001)+SUMIFS('Gider Miktar'!BC:BC,'Gider Miktar'!$B:$B,'Emanet Miktar Dağılım'!$D15,'Gider Miktar'!$F:$F,1002)+SUMIFS('Gider Miktar'!BC:BC,'Gider Miktar'!$B:$B,'Emanet Miktar Dağılım'!$D15,'Gider Miktar'!$F:$F,1003)+SUMIFS('Gider Miktar'!BC:BC,'Gider Miktar'!$B:$B,'Emanet Miktar Dağılım'!$D15,'Gider Miktar'!$F:$F,1004)</f>
        <v>0</v>
      </c>
      <c r="AU15" s="9">
        <f>+SUMIFS('Gider Miktar'!BD:BD,'Gider Miktar'!$B:$B,'Emanet Miktar Dağılım'!$D15,'Gider Miktar'!$F:$F,1001)+SUMIFS('Gider Miktar'!BD:BD,'Gider Miktar'!$B:$B,'Emanet Miktar Dağılım'!$D15,'Gider Miktar'!$F:$F,1002)+SUMIFS('Gider Miktar'!BD:BD,'Gider Miktar'!$B:$B,'Emanet Miktar Dağılım'!$D15,'Gider Miktar'!$F:$F,1003)+SUMIFS('Gider Miktar'!BD:BD,'Gider Miktar'!$B:$B,'Emanet Miktar Dağılım'!$D15,'Gider Miktar'!$F:$F,1004)</f>
        <v>0</v>
      </c>
      <c r="AV15" s="9">
        <f>+SUMIFS('Gider Miktar'!BE:BE,'Gider Miktar'!$B:$B,'Emanet Miktar Dağılım'!$D15,'Gider Miktar'!$F:$F,1001)+SUMIFS('Gider Miktar'!BE:BE,'Gider Miktar'!$B:$B,'Emanet Miktar Dağılım'!$D15,'Gider Miktar'!$F:$F,1002)+SUMIFS('Gider Miktar'!BE:BE,'Gider Miktar'!$B:$B,'Emanet Miktar Dağılım'!$D15,'Gider Miktar'!$F:$F,1003)+SUMIFS('Gider Miktar'!BE:BE,'Gider Miktar'!$B:$B,'Emanet Miktar Dağılım'!$D15,'Gider Miktar'!$F:$F,1004)</f>
        <v>0</v>
      </c>
      <c r="AW15" s="9">
        <f>+SUMIFS('Gider Miktar'!BF:BF,'Gider Miktar'!$B:$B,'Emanet Miktar Dağılım'!$D15,'Gider Miktar'!$F:$F,1001)+SUMIFS('Gider Miktar'!BF:BF,'Gider Miktar'!$B:$B,'Emanet Miktar Dağılım'!$D15,'Gider Miktar'!$F:$F,1002)+SUMIFS('Gider Miktar'!BF:BF,'Gider Miktar'!$B:$B,'Emanet Miktar Dağılım'!$D15,'Gider Miktar'!$F:$F,1003)+SUMIFS('Gider Miktar'!BF:BF,'Gider Miktar'!$B:$B,'Emanet Miktar Dağılım'!$D15,'Gider Miktar'!$F:$F,1004)</f>
        <v>0</v>
      </c>
      <c r="AX15" s="9">
        <f>+SUMIFS('Gider Miktar'!BG:BG,'Gider Miktar'!$B:$B,'Emanet Miktar Dağılım'!$D15,'Gider Miktar'!$F:$F,1001)+SUMIFS('Gider Miktar'!BG:BG,'Gider Miktar'!$B:$B,'Emanet Miktar Dağılım'!$D15,'Gider Miktar'!$F:$F,1002)+SUMIFS('Gider Miktar'!BG:BG,'Gider Miktar'!$B:$B,'Emanet Miktar Dağılım'!$D15,'Gider Miktar'!$F:$F,1003)+SUMIFS('Gider Miktar'!BG:BG,'Gider Miktar'!$B:$B,'Emanet Miktar Dağılım'!$D15,'Gider Miktar'!$F:$F,1004)</f>
        <v>0</v>
      </c>
      <c r="AY15" s="9">
        <f>+SUMIFS('Gider Miktar'!BH:BH,'Gider Miktar'!$B:$B,'Emanet Miktar Dağılım'!$D15,'Gider Miktar'!$F:$F,1001)+SUMIFS('Gider Miktar'!BH:BH,'Gider Miktar'!$B:$B,'Emanet Miktar Dağılım'!$D15,'Gider Miktar'!$F:$F,1002)+SUMIFS('Gider Miktar'!BH:BH,'Gider Miktar'!$B:$B,'Emanet Miktar Dağılım'!$D15,'Gider Miktar'!$F:$F,1003)+SUMIFS('Gider Miktar'!BH:BH,'Gider Miktar'!$B:$B,'Emanet Miktar Dağılım'!$D15,'Gider Miktar'!$F:$F,1004)</f>
        <v>0</v>
      </c>
      <c r="AZ15" s="9">
        <f>+SUMIFS('Gider Miktar'!BI:BI,'Gider Miktar'!$B:$B,'Emanet Miktar Dağılım'!$D15,'Gider Miktar'!$F:$F,1001)+SUMIFS('Gider Miktar'!BI:BI,'Gider Miktar'!$B:$B,'Emanet Miktar Dağılım'!$D15,'Gider Miktar'!$F:$F,1002)+SUMIFS('Gider Miktar'!BI:BI,'Gider Miktar'!$B:$B,'Emanet Miktar Dağılım'!$D15,'Gider Miktar'!$F:$F,1003)+SUMIFS('Gider Miktar'!BI:BI,'Gider Miktar'!$B:$B,'Emanet Miktar Dağılım'!$D15,'Gider Miktar'!$F:$F,1004)</f>
        <v>0</v>
      </c>
      <c r="BA15" s="9">
        <f>+SUMIFS('Gider Miktar'!BJ:BJ,'Gider Miktar'!$B:$B,'Emanet Miktar Dağılım'!$D15,'Gider Miktar'!$F:$F,1001)+SUMIFS('Gider Miktar'!BJ:BJ,'Gider Miktar'!$B:$B,'Emanet Miktar Dağılım'!$D15,'Gider Miktar'!$F:$F,1002)+SUMIFS('Gider Miktar'!BJ:BJ,'Gider Miktar'!$B:$B,'Emanet Miktar Dağılım'!$D15,'Gider Miktar'!$F:$F,1003)+SUMIFS('Gider Miktar'!BJ:BJ,'Gider Miktar'!$B:$B,'Emanet Miktar Dağılım'!$D15,'Gider Miktar'!$F:$F,1004)</f>
        <v>0</v>
      </c>
      <c r="BB15" s="9">
        <f>+SUMIFS('Gider Miktar'!BK:BK,'Gider Miktar'!$B:$B,'Emanet Miktar Dağılım'!$D15,'Gider Miktar'!$F:$F,1001)+SUMIFS('Gider Miktar'!BK:BK,'Gider Miktar'!$B:$B,'Emanet Miktar Dağılım'!$D15,'Gider Miktar'!$F:$F,1002)+SUMIFS('Gider Miktar'!BK:BK,'Gider Miktar'!$B:$B,'Emanet Miktar Dağılım'!$D15,'Gider Miktar'!$F:$F,1003)+SUMIFS('Gider Miktar'!BK:BK,'Gider Miktar'!$B:$B,'Emanet Miktar Dağılım'!$D15,'Gider Miktar'!$F:$F,1004)</f>
        <v>0</v>
      </c>
      <c r="BC15" s="9">
        <f>+SUMIFS('Gider Miktar'!BL:BL,'Gider Miktar'!$B:$B,'Emanet Miktar Dağılım'!$D15,'Gider Miktar'!$F:$F,1001)+SUMIFS('Gider Miktar'!BL:BL,'Gider Miktar'!$B:$B,'Emanet Miktar Dağılım'!$D15,'Gider Miktar'!$F:$F,1002)+SUMIFS('Gider Miktar'!BL:BL,'Gider Miktar'!$B:$B,'Emanet Miktar Dağılım'!$D15,'Gider Miktar'!$F:$F,1003)+SUMIFS('Gider Miktar'!BL:BL,'Gider Miktar'!$B:$B,'Emanet Miktar Dağılım'!$D15,'Gider Miktar'!$F:$F,1004)</f>
        <v>0</v>
      </c>
      <c r="BD15" s="9">
        <f>+SUMIFS('Gider Miktar'!BM:BM,'Gider Miktar'!$B:$B,'Emanet Miktar Dağılım'!$D15,'Gider Miktar'!$F:$F,1001)+SUMIFS('Gider Miktar'!BM:BM,'Gider Miktar'!$B:$B,'Emanet Miktar Dağılım'!$D15,'Gider Miktar'!$F:$F,1002)+SUMIFS('Gider Miktar'!BM:BM,'Gider Miktar'!$B:$B,'Emanet Miktar Dağılım'!$D15,'Gider Miktar'!$F:$F,1003)+SUMIFS('Gider Miktar'!BM:BM,'Gider Miktar'!$B:$B,'Emanet Miktar Dağılım'!$D15,'Gider Miktar'!$F:$F,1004)</f>
        <v>0</v>
      </c>
      <c r="BE15" s="9">
        <f>+SUMIFS('Gider Miktar'!BN:BN,'Gider Miktar'!$B:$B,'Emanet Miktar Dağılım'!$D15,'Gider Miktar'!$F:$F,1001)+SUMIFS('Gider Miktar'!BN:BN,'Gider Miktar'!$B:$B,'Emanet Miktar Dağılım'!$D15,'Gider Miktar'!$F:$F,1002)+SUMIFS('Gider Miktar'!BN:BN,'Gider Miktar'!$B:$B,'Emanet Miktar Dağılım'!$D15,'Gider Miktar'!$F:$F,1003)+SUMIFS('Gider Miktar'!BN:BN,'Gider Miktar'!$B:$B,'Emanet Miktar Dağılım'!$D15,'Gider Miktar'!$F:$F,1004)</f>
        <v>0</v>
      </c>
      <c r="BF15" s="9">
        <f>+SUMIFS('Gider Miktar'!BO:BO,'Gider Miktar'!$B:$B,'Emanet Miktar Dağılım'!$D15,'Gider Miktar'!$F:$F,1001)+SUMIFS('Gider Miktar'!BO:BO,'Gider Miktar'!$B:$B,'Emanet Miktar Dağılım'!$D15,'Gider Miktar'!$F:$F,1002)+SUMIFS('Gider Miktar'!BO:BO,'Gider Miktar'!$B:$B,'Emanet Miktar Dağılım'!$D15,'Gider Miktar'!$F:$F,1003)+SUMIFS('Gider Miktar'!BO:BO,'Gider Miktar'!$B:$B,'Emanet Miktar Dağılım'!$D15,'Gider Miktar'!$F:$F,1004)</f>
        <v>0</v>
      </c>
      <c r="BG15" s="9">
        <f>+SUMIFS('Gider Miktar'!BP:BP,'Gider Miktar'!$B:$B,'Emanet Miktar Dağılım'!$D15,'Gider Miktar'!$F:$F,1001)+SUMIFS('Gider Miktar'!BP:BP,'Gider Miktar'!$B:$B,'Emanet Miktar Dağılım'!$D15,'Gider Miktar'!$F:$F,1002)+SUMIFS('Gider Miktar'!BP:BP,'Gider Miktar'!$B:$B,'Emanet Miktar Dağılım'!$D15,'Gider Miktar'!$F:$F,1003)+SUMIFS('Gider Miktar'!BP:BP,'Gider Miktar'!$B:$B,'Emanet Miktar Dağılım'!$D15,'Gider Miktar'!$F:$F,1004)</f>
        <v>0</v>
      </c>
      <c r="BH15" s="9">
        <f>+SUMIFS('Gider Miktar'!BQ:BQ,'Gider Miktar'!$B:$B,'Emanet Miktar Dağılım'!$D15,'Gider Miktar'!$F:$F,1001)+SUMIFS('Gider Miktar'!BQ:BQ,'Gider Miktar'!$B:$B,'Emanet Miktar Dağılım'!$D15,'Gider Miktar'!$F:$F,1002)+SUMIFS('Gider Miktar'!BQ:BQ,'Gider Miktar'!$B:$B,'Emanet Miktar Dağılım'!$D15,'Gider Miktar'!$F:$F,1003)+SUMIFS('Gider Miktar'!BQ:BQ,'Gider Miktar'!$B:$B,'Emanet Miktar Dağılım'!$D15,'Gider Miktar'!$F:$F,1004)</f>
        <v>0</v>
      </c>
      <c r="BI15" s="9">
        <f>+SUMIFS('Gider Miktar'!BR:BR,'Gider Miktar'!$B:$B,'Emanet Miktar Dağılım'!$D15,'Gider Miktar'!$F:$F,1001)+SUMIFS('Gider Miktar'!BR:BR,'Gider Miktar'!$B:$B,'Emanet Miktar Dağılım'!$D15,'Gider Miktar'!$F:$F,1002)+SUMIFS('Gider Miktar'!BR:BR,'Gider Miktar'!$B:$B,'Emanet Miktar Dağılım'!$D15,'Gider Miktar'!$F:$F,1003)+SUMIFS('Gider Miktar'!BR:BR,'Gider Miktar'!$B:$B,'Emanet Miktar Dağılım'!$D15,'Gider Miktar'!$F:$F,1004)</f>
        <v>0</v>
      </c>
      <c r="BJ15" s="9">
        <f>+SUMIFS('Gider Miktar'!BS:BS,'Gider Miktar'!$B:$B,'Emanet Miktar Dağılım'!$D15,'Gider Miktar'!$F:$F,1001)+SUMIFS('Gider Miktar'!BS:BS,'Gider Miktar'!$B:$B,'Emanet Miktar Dağılım'!$D15,'Gider Miktar'!$F:$F,1002)+SUMIFS('Gider Miktar'!BS:BS,'Gider Miktar'!$B:$B,'Emanet Miktar Dağılım'!$D15,'Gider Miktar'!$F:$F,1003)+SUMIFS('Gider Miktar'!BS:BS,'Gider Miktar'!$B:$B,'Emanet Miktar Dağılım'!$D15,'Gider Miktar'!$F:$F,1004)</f>
        <v>0</v>
      </c>
      <c r="BK15" s="9">
        <f>+SUMIFS('Gider Miktar'!BT:BT,'Gider Miktar'!$B:$B,'Emanet Miktar Dağılım'!$D15,'Gider Miktar'!$F:$F,1001)+SUMIFS('Gider Miktar'!BT:BT,'Gider Miktar'!$B:$B,'Emanet Miktar Dağılım'!$D15,'Gider Miktar'!$F:$F,1002)+SUMIFS('Gider Miktar'!BT:BT,'Gider Miktar'!$B:$B,'Emanet Miktar Dağılım'!$D15,'Gider Miktar'!$F:$F,1003)+SUMIFS('Gider Miktar'!BT:BT,'Gider Miktar'!$B:$B,'Emanet Miktar Dağılım'!$D15,'Gider Miktar'!$F:$F,1004)</f>
        <v>0</v>
      </c>
      <c r="BL15" s="9">
        <f>+SUMIFS('Gider Miktar'!BU:BU,'Gider Miktar'!$B:$B,'Emanet Miktar Dağılım'!$D15,'Gider Miktar'!$F:$F,1001)+SUMIFS('Gider Miktar'!BU:BU,'Gider Miktar'!$B:$B,'Emanet Miktar Dağılım'!$D15,'Gider Miktar'!$F:$F,1002)+SUMIFS('Gider Miktar'!BU:BU,'Gider Miktar'!$B:$B,'Emanet Miktar Dağılım'!$D15,'Gider Miktar'!$F:$F,1003)+SUMIFS('Gider Miktar'!BU:BU,'Gider Miktar'!$B:$B,'Emanet Miktar Dağılım'!$D15,'Gider Miktar'!$F:$F,1004)</f>
        <v>0</v>
      </c>
      <c r="BM15" s="9">
        <f>+SUMIFS('Gider Miktar'!BV:BV,'Gider Miktar'!$B:$B,'Emanet Miktar Dağılım'!$D15,'Gider Miktar'!$F:$F,1001)+SUMIFS('Gider Miktar'!BV:BV,'Gider Miktar'!$B:$B,'Emanet Miktar Dağılım'!$D15,'Gider Miktar'!$F:$F,1002)+SUMIFS('Gider Miktar'!BV:BV,'Gider Miktar'!$B:$B,'Emanet Miktar Dağılım'!$D15,'Gider Miktar'!$F:$F,1003)+SUMIFS('Gider Miktar'!BV:BV,'Gider Miktar'!$B:$B,'Emanet Miktar Dağılım'!$D15,'Gider Miktar'!$F:$F,1004)</f>
        <v>0</v>
      </c>
      <c r="BN15" s="9">
        <f>+SUMIFS('Gider Miktar'!BW:BW,'Gider Miktar'!$B:$B,'Emanet Miktar Dağılım'!$D15,'Gider Miktar'!$F:$F,1001)+SUMIFS('Gider Miktar'!BW:BW,'Gider Miktar'!$B:$B,'Emanet Miktar Dağılım'!$D15,'Gider Miktar'!$F:$F,1002)+SUMIFS('Gider Miktar'!BW:BW,'Gider Miktar'!$B:$B,'Emanet Miktar Dağılım'!$D15,'Gider Miktar'!$F:$F,1003)+SUMIFS('Gider Miktar'!BW:BW,'Gider Miktar'!$B:$B,'Emanet Miktar Dağılım'!$D15,'Gider Miktar'!$F:$F,1004)</f>
        <v>0</v>
      </c>
      <c r="BO15" s="9">
        <f>+SUMIFS('Gider Miktar'!BX:BX,'Gider Miktar'!$B:$B,'Emanet Miktar Dağılım'!$D15,'Gider Miktar'!$F:$F,1001)+SUMIFS('Gider Miktar'!BX:BX,'Gider Miktar'!$B:$B,'Emanet Miktar Dağılım'!$D15,'Gider Miktar'!$F:$F,1002)+SUMIFS('Gider Miktar'!BX:BX,'Gider Miktar'!$B:$B,'Emanet Miktar Dağılım'!$D15,'Gider Miktar'!$F:$F,1003)+SUMIFS('Gider Miktar'!BX:BX,'Gider Miktar'!$B:$B,'Emanet Miktar Dağılım'!$D15,'Gider Miktar'!$F:$F,1004)</f>
        <v>0</v>
      </c>
    </row>
    <row r="16" spans="2:67">
      <c r="D16" t="s">
        <v>18</v>
      </c>
      <c r="E16" s="9">
        <f>+SUMIFS('Gider Miktar'!N:N,'Gider Miktar'!$B:$B,'Emanet Miktar Dağılım'!$D16,'Gider Miktar'!$F:$F,1001)+SUMIFS('Gider Miktar'!N:N,'Gider Miktar'!$B:$B,'Emanet Miktar Dağılım'!$D16,'Gider Miktar'!$F:$F,1002)+SUMIFS('Gider Miktar'!N:N,'Gider Miktar'!$B:$B,'Emanet Miktar Dağılım'!$D16,'Gider Miktar'!$F:$F,1003)+SUMIFS('Gider Miktar'!N:N,'Gider Miktar'!$B:$B,'Emanet Miktar Dağılım'!$D16,'Gider Miktar'!$F:$F,1004)</f>
        <v>0</v>
      </c>
      <c r="F16" s="9">
        <f>+SUMIFS('Gider Miktar'!O:O,'Gider Miktar'!$B:$B,'Emanet Miktar Dağılım'!$D16,'Gider Miktar'!$F:$F,1001)+SUMIFS('Gider Miktar'!O:O,'Gider Miktar'!$B:$B,'Emanet Miktar Dağılım'!$D16,'Gider Miktar'!$F:$F,1002)+SUMIFS('Gider Miktar'!O:O,'Gider Miktar'!$B:$B,'Emanet Miktar Dağılım'!$D16,'Gider Miktar'!$F:$F,1003)+SUMIFS('Gider Miktar'!O:O,'Gider Miktar'!$B:$B,'Emanet Miktar Dağılım'!$D16,'Gider Miktar'!$F:$F,1004)</f>
        <v>0</v>
      </c>
      <c r="G16" s="9">
        <f>+SUMIFS('Gider Miktar'!P:P,'Gider Miktar'!$B:$B,'Emanet Miktar Dağılım'!$D16,'Gider Miktar'!$F:$F,1001)+SUMIFS('Gider Miktar'!P:P,'Gider Miktar'!$B:$B,'Emanet Miktar Dağılım'!$D16,'Gider Miktar'!$F:$F,1002)+SUMIFS('Gider Miktar'!P:P,'Gider Miktar'!$B:$B,'Emanet Miktar Dağılım'!$D16,'Gider Miktar'!$F:$F,1003)+SUMIFS('Gider Miktar'!P:P,'Gider Miktar'!$B:$B,'Emanet Miktar Dağılım'!$D16,'Gider Miktar'!$F:$F,1004)</f>
        <v>0</v>
      </c>
      <c r="H16" s="9">
        <f>+SUMIFS('Gider Miktar'!Q:Q,'Gider Miktar'!$B:$B,'Emanet Miktar Dağılım'!$D16,'Gider Miktar'!$F:$F,1001)+SUMIFS('Gider Miktar'!Q:Q,'Gider Miktar'!$B:$B,'Emanet Miktar Dağılım'!$D16,'Gider Miktar'!$F:$F,1002)+SUMIFS('Gider Miktar'!Q:Q,'Gider Miktar'!$B:$B,'Emanet Miktar Dağılım'!$D16,'Gider Miktar'!$F:$F,1003)+SUMIFS('Gider Miktar'!Q:Q,'Gider Miktar'!$B:$B,'Emanet Miktar Dağılım'!$D16,'Gider Miktar'!$F:$F,1004)</f>
        <v>0</v>
      </c>
      <c r="I16" s="9">
        <f>+SUMIFS('Gider Miktar'!R:R,'Gider Miktar'!$B:$B,'Emanet Miktar Dağılım'!$D16,'Gider Miktar'!$F:$F,1001)+SUMIFS('Gider Miktar'!R:R,'Gider Miktar'!$B:$B,'Emanet Miktar Dağılım'!$D16,'Gider Miktar'!$F:$F,1002)+SUMIFS('Gider Miktar'!R:R,'Gider Miktar'!$B:$B,'Emanet Miktar Dağılım'!$D16,'Gider Miktar'!$F:$F,1003)+SUMIFS('Gider Miktar'!R:R,'Gider Miktar'!$B:$B,'Emanet Miktar Dağılım'!$D16,'Gider Miktar'!$F:$F,1004)</f>
        <v>0</v>
      </c>
      <c r="J16" s="9">
        <f>+SUMIFS('Gider Miktar'!S:S,'Gider Miktar'!$B:$B,'Emanet Miktar Dağılım'!$D16,'Gider Miktar'!$F:$F,1001)+SUMIFS('Gider Miktar'!S:S,'Gider Miktar'!$B:$B,'Emanet Miktar Dağılım'!$D16,'Gider Miktar'!$F:$F,1002)+SUMIFS('Gider Miktar'!S:S,'Gider Miktar'!$B:$B,'Emanet Miktar Dağılım'!$D16,'Gider Miktar'!$F:$F,1003)+SUMIFS('Gider Miktar'!S:S,'Gider Miktar'!$B:$B,'Emanet Miktar Dağılım'!$D16,'Gider Miktar'!$F:$F,1004)</f>
        <v>1878</v>
      </c>
      <c r="K16" s="9">
        <f>+SUMIFS('Gider Miktar'!T:T,'Gider Miktar'!$B:$B,'Emanet Miktar Dağılım'!$D16,'Gider Miktar'!$F:$F,1001)+SUMIFS('Gider Miktar'!T:T,'Gider Miktar'!$B:$B,'Emanet Miktar Dağılım'!$D16,'Gider Miktar'!$F:$F,1002)+SUMIFS('Gider Miktar'!T:T,'Gider Miktar'!$B:$B,'Emanet Miktar Dağılım'!$D16,'Gider Miktar'!$F:$F,1003)+SUMIFS('Gider Miktar'!T:T,'Gider Miktar'!$B:$B,'Emanet Miktar Dağılım'!$D16,'Gider Miktar'!$F:$F,1004)</f>
        <v>3726</v>
      </c>
      <c r="L16" s="9">
        <f>+SUMIFS('Gider Miktar'!U:U,'Gider Miktar'!$B:$B,'Emanet Miktar Dağılım'!$D16,'Gider Miktar'!$F:$F,1001)+SUMIFS('Gider Miktar'!U:U,'Gider Miktar'!$B:$B,'Emanet Miktar Dağılım'!$D16,'Gider Miktar'!$F:$F,1002)+SUMIFS('Gider Miktar'!U:U,'Gider Miktar'!$B:$B,'Emanet Miktar Dağılım'!$D16,'Gider Miktar'!$F:$F,1003)+SUMIFS('Gider Miktar'!U:U,'Gider Miktar'!$B:$B,'Emanet Miktar Dağılım'!$D16,'Gider Miktar'!$F:$F,1004)</f>
        <v>14862</v>
      </c>
      <c r="M16" s="9">
        <f>+SUMIFS('Gider Miktar'!V:V,'Gider Miktar'!$B:$B,'Emanet Miktar Dağılım'!$D16,'Gider Miktar'!$F:$F,1001)+SUMIFS('Gider Miktar'!V:V,'Gider Miktar'!$B:$B,'Emanet Miktar Dağılım'!$D16,'Gider Miktar'!$F:$F,1002)+SUMIFS('Gider Miktar'!V:V,'Gider Miktar'!$B:$B,'Emanet Miktar Dağılım'!$D16,'Gider Miktar'!$F:$F,1003)+SUMIFS('Gider Miktar'!V:V,'Gider Miktar'!$B:$B,'Emanet Miktar Dağılım'!$D16,'Gider Miktar'!$F:$F,1004)</f>
        <v>15825</v>
      </c>
      <c r="N16" s="11">
        <f>+SUMIFS('Gider Miktar'!W:W,'Gider Miktar'!$B:$B,'Emanet Miktar Dağılım'!$D16,'Gider Miktar'!$F:$F,1001)+SUMIFS('Gider Miktar'!W:W,'Gider Miktar'!$B:$B,'Emanet Miktar Dağılım'!$D16,'Gider Miktar'!$F:$F,1002)+SUMIFS('Gider Miktar'!W:W,'Gider Miktar'!$B:$B,'Emanet Miktar Dağılım'!$D16,'Gider Miktar'!$F:$F,1003)+SUMIFS('Gider Miktar'!W:W,'Gider Miktar'!$B:$B,'Emanet Miktar Dağılım'!$D16,'Gider Miktar'!$F:$F,1004)</f>
        <v>29088</v>
      </c>
      <c r="O16" s="9">
        <f>+SUMIFS('Gider Miktar'!X:X,'Gider Miktar'!$B:$B,'Emanet Miktar Dağılım'!$D16,'Gider Miktar'!$F:$F,1001)+SUMIFS('Gider Miktar'!X:X,'Gider Miktar'!$B:$B,'Emanet Miktar Dağılım'!$D16,'Gider Miktar'!$F:$F,1002)+SUMIFS('Gider Miktar'!X:X,'Gider Miktar'!$B:$B,'Emanet Miktar Dağılım'!$D16,'Gider Miktar'!$F:$F,1003)+SUMIFS('Gider Miktar'!X:X,'Gider Miktar'!$B:$B,'Emanet Miktar Dağılım'!$D16,'Gider Miktar'!$F:$F,1004)</f>
        <v>3427.1876850620201</v>
      </c>
      <c r="P16" s="9">
        <f>+SUMIFS('Gider Miktar'!Y:Y,'Gider Miktar'!$B:$B,'Emanet Miktar Dağılım'!$D16,'Gider Miktar'!$F:$F,1001)+SUMIFS('Gider Miktar'!Y:Y,'Gider Miktar'!$B:$B,'Emanet Miktar Dağılım'!$D16,'Gider Miktar'!$F:$F,1002)+SUMIFS('Gider Miktar'!Y:Y,'Gider Miktar'!$B:$B,'Emanet Miktar Dağılım'!$D16,'Gider Miktar'!$F:$F,1003)+SUMIFS('Gider Miktar'!Y:Y,'Gider Miktar'!$B:$B,'Emanet Miktar Dağılım'!$D16,'Gider Miktar'!$F:$F,1004)</f>
        <v>3860.6115509949254</v>
      </c>
      <c r="Q16" s="9">
        <f>+SUMIFS('Gider Miktar'!Z:Z,'Gider Miktar'!$B:$B,'Emanet Miktar Dağılım'!$D16,'Gider Miktar'!$F:$F,1001)+SUMIFS('Gider Miktar'!Z:Z,'Gider Miktar'!$B:$B,'Emanet Miktar Dağılım'!$D16,'Gider Miktar'!$F:$F,1002)+SUMIFS('Gider Miktar'!Z:Z,'Gider Miktar'!$B:$B,'Emanet Miktar Dağılım'!$D16,'Gider Miktar'!$F:$F,1003)+SUMIFS('Gider Miktar'!Z:Z,'Gider Miktar'!$B:$B,'Emanet Miktar Dağılım'!$D16,'Gider Miktar'!$F:$F,1004)</f>
        <v>3466.0311542657596</v>
      </c>
      <c r="R16" s="9">
        <f>+SUMIFS('Gider Miktar'!AA:AA,'Gider Miktar'!$B:$B,'Emanet Miktar Dağılım'!$D16,'Gider Miktar'!$F:$F,1001)+SUMIFS('Gider Miktar'!AA:AA,'Gider Miktar'!$B:$B,'Emanet Miktar Dağılım'!$D16,'Gider Miktar'!$F:$F,1002)+SUMIFS('Gider Miktar'!AA:AA,'Gider Miktar'!$B:$B,'Emanet Miktar Dağılım'!$D16,'Gider Miktar'!$F:$F,1003)+SUMIFS('Gider Miktar'!AA:AA,'Gider Miktar'!$B:$B,'Emanet Miktar Dağılım'!$D16,'Gider Miktar'!$F:$F,1004)</f>
        <v>3063.8174677315428</v>
      </c>
      <c r="S16" s="9">
        <f>+SUMIFS('Gider Miktar'!AB:AB,'Gider Miktar'!$B:$B,'Emanet Miktar Dağılım'!$D16,'Gider Miktar'!$F:$F,1001)+SUMIFS('Gider Miktar'!AB:AB,'Gider Miktar'!$B:$B,'Emanet Miktar Dağılım'!$D16,'Gider Miktar'!$F:$F,1002)+SUMIFS('Gider Miktar'!AB:AB,'Gider Miktar'!$B:$B,'Emanet Miktar Dağılım'!$D16,'Gider Miktar'!$F:$F,1003)+SUMIFS('Gider Miktar'!AB:AB,'Gider Miktar'!$B:$B,'Emanet Miktar Dağılım'!$D16,'Gider Miktar'!$F:$F,1004)</f>
        <v>3116.1062001259133</v>
      </c>
      <c r="T16" s="9">
        <f>+SUMIFS('Gider Miktar'!AC:AC,'Gider Miktar'!$B:$B,'Emanet Miktar Dağılım'!$D16,'Gider Miktar'!$F:$F,1001)+SUMIFS('Gider Miktar'!AC:AC,'Gider Miktar'!$B:$B,'Emanet Miktar Dağılım'!$D16,'Gider Miktar'!$F:$F,1002)+SUMIFS('Gider Miktar'!AC:AC,'Gider Miktar'!$B:$B,'Emanet Miktar Dağılım'!$D16,'Gider Miktar'!$F:$F,1003)+SUMIFS('Gider Miktar'!AC:AC,'Gider Miktar'!$B:$B,'Emanet Miktar Dağılım'!$D16,'Gider Miktar'!$F:$F,1004)</f>
        <v>4823.1362530549495</v>
      </c>
      <c r="U16" s="9">
        <f>+SUMIFS('Gider Miktar'!AD:AD,'Gider Miktar'!$B:$B,'Emanet Miktar Dağılım'!$D16,'Gider Miktar'!$F:$F,1001)+SUMIFS('Gider Miktar'!AD:AD,'Gider Miktar'!$B:$B,'Emanet Miktar Dağılım'!$D16,'Gider Miktar'!$F:$F,1002)+SUMIFS('Gider Miktar'!AD:AD,'Gider Miktar'!$B:$B,'Emanet Miktar Dağılım'!$D16,'Gider Miktar'!$F:$F,1003)+SUMIFS('Gider Miktar'!AD:AD,'Gider Miktar'!$B:$B,'Emanet Miktar Dağılım'!$D16,'Gider Miktar'!$F:$F,1004)</f>
        <v>4742.3263939000208</v>
      </c>
      <c r="V16" s="9">
        <f>+SUMIFS('Gider Miktar'!AE:AE,'Gider Miktar'!$B:$B,'Emanet Miktar Dağılım'!$D16,'Gider Miktar'!$F:$F,1001)+SUMIFS('Gider Miktar'!AE:AE,'Gider Miktar'!$B:$B,'Emanet Miktar Dağılım'!$D16,'Gider Miktar'!$F:$F,1002)+SUMIFS('Gider Miktar'!AE:AE,'Gider Miktar'!$B:$B,'Emanet Miktar Dağılım'!$D16,'Gider Miktar'!$F:$F,1003)+SUMIFS('Gider Miktar'!AE:AE,'Gider Miktar'!$B:$B,'Emanet Miktar Dağılım'!$D16,'Gider Miktar'!$F:$F,1004)</f>
        <v>5688.4198121590416</v>
      </c>
      <c r="W16" s="9">
        <f>+SUMIFS('Gider Miktar'!AF:AF,'Gider Miktar'!$B:$B,'Emanet Miktar Dağılım'!$D16,'Gider Miktar'!$F:$F,1001)+SUMIFS('Gider Miktar'!AF:AF,'Gider Miktar'!$B:$B,'Emanet Miktar Dağılım'!$D16,'Gider Miktar'!$F:$F,1002)+SUMIFS('Gider Miktar'!AF:AF,'Gider Miktar'!$B:$B,'Emanet Miktar Dağılım'!$D16,'Gider Miktar'!$F:$F,1003)+SUMIFS('Gider Miktar'!AF:AF,'Gider Miktar'!$B:$B,'Emanet Miktar Dağılım'!$D16,'Gider Miktar'!$F:$F,1004)</f>
        <v>5312.1526293713659</v>
      </c>
      <c r="X16" s="9">
        <f>+SUMIFS('Gider Miktar'!AG:AG,'Gider Miktar'!$B:$B,'Emanet Miktar Dağılım'!$D16,'Gider Miktar'!$F:$F,1001)+SUMIFS('Gider Miktar'!AG:AG,'Gider Miktar'!$B:$B,'Emanet Miktar Dağılım'!$D16,'Gider Miktar'!$F:$F,1002)+SUMIFS('Gider Miktar'!AG:AG,'Gider Miktar'!$B:$B,'Emanet Miktar Dağılım'!$D16,'Gider Miktar'!$F:$F,1003)+SUMIFS('Gider Miktar'!AG:AG,'Gider Miktar'!$B:$B,'Emanet Miktar Dağılım'!$D16,'Gider Miktar'!$F:$F,1004)</f>
        <v>3032.7603970697814</v>
      </c>
      <c r="Y16" s="9">
        <f>+SUMIFS('Gider Miktar'!AH:AH,'Gider Miktar'!$B:$B,'Emanet Miktar Dağılım'!$D16,'Gider Miktar'!$F:$F,1001)+SUMIFS('Gider Miktar'!AH:AH,'Gider Miktar'!$B:$B,'Emanet Miktar Dağılım'!$D16,'Gider Miktar'!$F:$F,1002)+SUMIFS('Gider Miktar'!AH:AH,'Gider Miktar'!$B:$B,'Emanet Miktar Dağılım'!$D16,'Gider Miktar'!$F:$F,1003)+SUMIFS('Gider Miktar'!AH:AH,'Gider Miktar'!$B:$B,'Emanet Miktar Dağılım'!$D16,'Gider Miktar'!$F:$F,1004)</f>
        <v>3859.2767733862024</v>
      </c>
      <c r="Z16" s="9">
        <f>+SUMIFS('Gider Miktar'!AI:AI,'Gider Miktar'!$B:$B,'Emanet Miktar Dağılım'!$D16,'Gider Miktar'!$F:$F,1001)+SUMIFS('Gider Miktar'!AI:AI,'Gider Miktar'!$B:$B,'Emanet Miktar Dağılım'!$D16,'Gider Miktar'!$F:$F,1002)+SUMIFS('Gider Miktar'!AI:AI,'Gider Miktar'!$B:$B,'Emanet Miktar Dağılım'!$D16,'Gider Miktar'!$F:$F,1003)+SUMIFS('Gider Miktar'!AI:AI,'Gider Miktar'!$B:$B,'Emanet Miktar Dağılım'!$D16,'Gider Miktar'!$F:$F,1004)</f>
        <v>3978.8538153288073</v>
      </c>
      <c r="AA16" s="9">
        <f>+SUMIFS('Gider Miktar'!AJ:AJ,'Gider Miktar'!$B:$B,'Emanet Miktar Dağılım'!$D16,'Gider Miktar'!$F:$F,1001)+SUMIFS('Gider Miktar'!AJ:AJ,'Gider Miktar'!$B:$B,'Emanet Miktar Dağılım'!$D16,'Gider Miktar'!$F:$F,1002)+SUMIFS('Gider Miktar'!AJ:AJ,'Gider Miktar'!$B:$B,'Emanet Miktar Dağılım'!$D16,'Gider Miktar'!$F:$F,1003)+SUMIFS('Gider Miktar'!AJ:AJ,'Gider Miktar'!$B:$B,'Emanet Miktar Dağılım'!$D16,'Gider Miktar'!$F:$F,1004)</f>
        <v>3884.2444735029044</v>
      </c>
      <c r="AB16" s="9">
        <f>+SUMIFS('Gider Miktar'!AK:AK,'Gider Miktar'!$B:$B,'Emanet Miktar Dağılım'!$D16,'Gider Miktar'!$F:$F,1001)+SUMIFS('Gider Miktar'!AK:AK,'Gider Miktar'!$B:$B,'Emanet Miktar Dağılım'!$D16,'Gider Miktar'!$F:$F,1002)+SUMIFS('Gider Miktar'!AK:AK,'Gider Miktar'!$B:$B,'Emanet Miktar Dağılım'!$D16,'Gider Miktar'!$F:$F,1003)+SUMIFS('Gider Miktar'!AK:AK,'Gider Miktar'!$B:$B,'Emanet Miktar Dağılım'!$D16,'Gider Miktar'!$F:$F,1004)</f>
        <v>3884.2444735029044</v>
      </c>
      <c r="AC16" s="9">
        <f>+SUMIFS('Gider Miktar'!AL:AL,'Gider Miktar'!$B:$B,'Emanet Miktar Dağılım'!$D16,'Gider Miktar'!$F:$F,1001)+SUMIFS('Gider Miktar'!AL:AL,'Gider Miktar'!$B:$B,'Emanet Miktar Dağılım'!$D16,'Gider Miktar'!$F:$F,1002)+SUMIFS('Gider Miktar'!AL:AL,'Gider Miktar'!$B:$B,'Emanet Miktar Dağılım'!$D16,'Gider Miktar'!$F:$F,1003)+SUMIFS('Gider Miktar'!AL:AL,'Gider Miktar'!$B:$B,'Emanet Miktar Dağılım'!$D16,'Gider Miktar'!$F:$F,1004)</f>
        <v>1093.268889638784</v>
      </c>
      <c r="AD16" s="9">
        <f>+SUMIFS('Gider Miktar'!AM:AM,'Gider Miktar'!$B:$B,'Emanet Miktar Dağılım'!$D16,'Gider Miktar'!$F:$F,1001)+SUMIFS('Gider Miktar'!AM:AM,'Gider Miktar'!$B:$B,'Emanet Miktar Dağılım'!$D16,'Gider Miktar'!$F:$F,1002)+SUMIFS('Gider Miktar'!AM:AM,'Gider Miktar'!$B:$B,'Emanet Miktar Dağılım'!$D16,'Gider Miktar'!$F:$F,1003)+SUMIFS('Gider Miktar'!AM:AM,'Gider Miktar'!$B:$B,'Emanet Miktar Dağılım'!$D16,'Gider Miktar'!$F:$F,1004)</f>
        <v>478.30816777041906</v>
      </c>
      <c r="AE16" s="9">
        <f>+SUMIFS('Gider Miktar'!AN:AN,'Gider Miktar'!$B:$B,'Emanet Miktar Dağılım'!$D16,'Gider Miktar'!$F:$F,1001)+SUMIFS('Gider Miktar'!AN:AN,'Gider Miktar'!$B:$B,'Emanet Miktar Dağılım'!$D16,'Gider Miktar'!$F:$F,1002)+SUMIFS('Gider Miktar'!AN:AN,'Gider Miktar'!$B:$B,'Emanet Miktar Dağılım'!$D16,'Gider Miktar'!$F:$F,1003)+SUMIFS('Gider Miktar'!AN:AN,'Gider Miktar'!$B:$B,'Emanet Miktar Dağılım'!$D16,'Gider Miktar'!$F:$F,1004)</f>
        <v>478.30816777041906</v>
      </c>
      <c r="AF16" s="9">
        <f>+SUMIFS('Gider Miktar'!AO:AO,'Gider Miktar'!$B:$B,'Emanet Miktar Dağılım'!$D16,'Gider Miktar'!$F:$F,1001)+SUMIFS('Gider Miktar'!AO:AO,'Gider Miktar'!$B:$B,'Emanet Miktar Dağılım'!$D16,'Gider Miktar'!$F:$F,1002)+SUMIFS('Gider Miktar'!AO:AO,'Gider Miktar'!$B:$B,'Emanet Miktar Dağılım'!$D16,'Gider Miktar'!$F:$F,1003)+SUMIFS('Gider Miktar'!AO:AO,'Gider Miktar'!$B:$B,'Emanet Miktar Dağılım'!$D16,'Gider Miktar'!$F:$F,1004)</f>
        <v>478.30816777041906</v>
      </c>
      <c r="AG16" s="9">
        <f>+SUMIFS('Gider Miktar'!AP:AP,'Gider Miktar'!$B:$B,'Emanet Miktar Dağılım'!$D16,'Gider Miktar'!$F:$F,1001)+SUMIFS('Gider Miktar'!AP:AP,'Gider Miktar'!$B:$B,'Emanet Miktar Dağılım'!$D16,'Gider Miktar'!$F:$F,1002)+SUMIFS('Gider Miktar'!AP:AP,'Gider Miktar'!$B:$B,'Emanet Miktar Dağılım'!$D16,'Gider Miktar'!$F:$F,1003)+SUMIFS('Gider Miktar'!AP:AP,'Gider Miktar'!$B:$B,'Emanet Miktar Dağılım'!$D16,'Gider Miktar'!$F:$F,1004)</f>
        <v>478.30816777041906</v>
      </c>
      <c r="AH16" s="9">
        <f>+SUMIFS('Gider Miktar'!AQ:AQ,'Gider Miktar'!$B:$B,'Emanet Miktar Dağılım'!$D16,'Gider Miktar'!$F:$F,1001)+SUMIFS('Gider Miktar'!AQ:AQ,'Gider Miktar'!$B:$B,'Emanet Miktar Dağılım'!$D16,'Gider Miktar'!$F:$F,1002)+SUMIFS('Gider Miktar'!AQ:AQ,'Gider Miktar'!$B:$B,'Emanet Miktar Dağılım'!$D16,'Gider Miktar'!$F:$F,1003)+SUMIFS('Gider Miktar'!AQ:AQ,'Gider Miktar'!$B:$B,'Emanet Miktar Dağılım'!$D16,'Gider Miktar'!$F:$F,1004)</f>
        <v>358.73112582781431</v>
      </c>
      <c r="AI16" s="9">
        <f>+SUMIFS('Gider Miktar'!AR:AR,'Gider Miktar'!$B:$B,'Emanet Miktar Dağılım'!$D16,'Gider Miktar'!$F:$F,1001)+SUMIFS('Gider Miktar'!AR:AR,'Gider Miktar'!$B:$B,'Emanet Miktar Dağılım'!$D16,'Gider Miktar'!$F:$F,1002)+SUMIFS('Gider Miktar'!AR:AR,'Gider Miktar'!$B:$B,'Emanet Miktar Dağılım'!$D16,'Gider Miktar'!$F:$F,1003)+SUMIFS('Gider Miktar'!AR:AR,'Gider Miktar'!$B:$B,'Emanet Miktar Dağılım'!$D16,'Gider Miktar'!$F:$F,1004)</f>
        <v>423.95496688741684</v>
      </c>
      <c r="AJ16" s="9">
        <f>+SUMIFS('Gider Miktar'!AS:AS,'Gider Miktar'!$B:$B,'Emanet Miktar Dağılım'!$D16,'Gider Miktar'!$F:$F,1001)+SUMIFS('Gider Miktar'!AS:AS,'Gider Miktar'!$B:$B,'Emanet Miktar Dağılım'!$D16,'Gider Miktar'!$F:$F,1002)+SUMIFS('Gider Miktar'!AS:AS,'Gider Miktar'!$B:$B,'Emanet Miktar Dağılım'!$D16,'Gider Miktar'!$F:$F,1003)+SUMIFS('Gider Miktar'!AS:AS,'Gider Miktar'!$B:$B,'Emanet Miktar Dağılım'!$D16,'Gider Miktar'!$F:$F,1004)</f>
        <v>260.89536423841122</v>
      </c>
      <c r="AK16" s="9">
        <f>+SUMIFS('Gider Miktar'!AT:AT,'Gider Miktar'!$B:$B,'Emanet Miktar Dağılım'!$D16,'Gider Miktar'!$F:$F,1001)+SUMIFS('Gider Miktar'!AT:AT,'Gider Miktar'!$B:$B,'Emanet Miktar Dağılım'!$D16,'Gider Miktar'!$F:$F,1002)+SUMIFS('Gider Miktar'!AT:AT,'Gider Miktar'!$B:$B,'Emanet Miktar Dağılım'!$D16,'Gider Miktar'!$F:$F,1003)+SUMIFS('Gider Miktar'!AT:AT,'Gider Miktar'!$B:$B,'Emanet Miktar Dağılım'!$D16,'Gider Miktar'!$F:$F,1004)</f>
        <v>195.67152317880749</v>
      </c>
      <c r="AL16" s="9">
        <f>+SUMIFS('Gider Miktar'!AU:AU,'Gider Miktar'!$B:$B,'Emanet Miktar Dağılım'!$D16,'Gider Miktar'!$F:$F,1001)+SUMIFS('Gider Miktar'!AU:AU,'Gider Miktar'!$B:$B,'Emanet Miktar Dağılım'!$D16,'Gider Miktar'!$F:$F,1002)+SUMIFS('Gider Miktar'!AU:AU,'Gider Miktar'!$B:$B,'Emanet Miktar Dağılım'!$D16,'Gider Miktar'!$F:$F,1003)+SUMIFS('Gider Miktar'!AU:AU,'Gider Miktar'!$B:$B,'Emanet Miktar Dağılım'!$D16,'Gider Miktar'!$F:$F,1004)</f>
        <v>260.89536423841122</v>
      </c>
      <c r="AM16" s="9">
        <f>+SUMIFS('Gider Miktar'!AV:AV,'Gider Miktar'!$B:$B,'Emanet Miktar Dağılım'!$D16,'Gider Miktar'!$F:$F,1001)+SUMIFS('Gider Miktar'!AV:AV,'Gider Miktar'!$B:$B,'Emanet Miktar Dağılım'!$D16,'Gider Miktar'!$F:$F,1002)+SUMIFS('Gider Miktar'!AV:AV,'Gider Miktar'!$B:$B,'Emanet Miktar Dağılım'!$D16,'Gider Miktar'!$F:$F,1003)+SUMIFS('Gider Miktar'!AV:AV,'Gider Miktar'!$B:$B,'Emanet Miktar Dağılım'!$D16,'Gider Miktar'!$F:$F,1004)</f>
        <v>260.89536423841122</v>
      </c>
      <c r="AN16" s="9">
        <f>+SUMIFS('Gider Miktar'!AW:AW,'Gider Miktar'!$B:$B,'Emanet Miktar Dağılım'!$D16,'Gider Miktar'!$F:$F,1001)+SUMIFS('Gider Miktar'!AW:AW,'Gider Miktar'!$B:$B,'Emanet Miktar Dağılım'!$D16,'Gider Miktar'!$F:$F,1002)+SUMIFS('Gider Miktar'!AW:AW,'Gider Miktar'!$B:$B,'Emanet Miktar Dağılım'!$D16,'Gider Miktar'!$F:$F,1003)+SUMIFS('Gider Miktar'!AW:AW,'Gider Miktar'!$B:$B,'Emanet Miktar Dağılım'!$D16,'Gider Miktar'!$F:$F,1004)</f>
        <v>260.89536423841122</v>
      </c>
      <c r="AO16" s="9">
        <f>+SUMIFS('Gider Miktar'!AX:AX,'Gider Miktar'!$B:$B,'Emanet Miktar Dağılım'!$D16,'Gider Miktar'!$F:$F,1001)+SUMIFS('Gider Miktar'!AX:AX,'Gider Miktar'!$B:$B,'Emanet Miktar Dağılım'!$D16,'Gider Miktar'!$F:$F,1002)+SUMIFS('Gider Miktar'!AX:AX,'Gider Miktar'!$B:$B,'Emanet Miktar Dağılım'!$D16,'Gider Miktar'!$F:$F,1003)+SUMIFS('Gider Miktar'!AX:AX,'Gider Miktar'!$B:$B,'Emanet Miktar Dağılım'!$D16,'Gider Miktar'!$F:$F,1004)</f>
        <v>260.89536423841122</v>
      </c>
      <c r="AP16" s="9">
        <f>+SUMIFS('Gider Miktar'!AY:AY,'Gider Miktar'!$B:$B,'Emanet Miktar Dağılım'!$D16,'Gider Miktar'!$F:$F,1001)+SUMIFS('Gider Miktar'!AY:AY,'Gider Miktar'!$B:$B,'Emanet Miktar Dağılım'!$D16,'Gider Miktar'!$F:$F,1002)+SUMIFS('Gider Miktar'!AY:AY,'Gider Miktar'!$B:$B,'Emanet Miktar Dağılım'!$D16,'Gider Miktar'!$F:$F,1003)+SUMIFS('Gider Miktar'!AY:AY,'Gider Miktar'!$B:$B,'Emanet Miktar Dağılım'!$D16,'Gider Miktar'!$F:$F,1004)</f>
        <v>168.49492273730635</v>
      </c>
      <c r="AQ16" s="9">
        <f>+SUMIFS('Gider Miktar'!AZ:AZ,'Gider Miktar'!$B:$B,'Emanet Miktar Dağılım'!$D16,'Gider Miktar'!$F:$F,1001)+SUMIFS('Gider Miktar'!AZ:AZ,'Gider Miktar'!$B:$B,'Emanet Miktar Dağılım'!$D16,'Gider Miktar'!$F:$F,1002)+SUMIFS('Gider Miktar'!AZ:AZ,'Gider Miktar'!$B:$B,'Emanet Miktar Dağılım'!$D16,'Gider Miktar'!$F:$F,1003)+SUMIFS('Gider Miktar'!AZ:AZ,'Gider Miktar'!$B:$B,'Emanet Miktar Dağılım'!$D16,'Gider Miktar'!$F:$F,1004)</f>
        <v>0</v>
      </c>
      <c r="AR16" s="9">
        <f>+SUMIFS('Gider Miktar'!BA:BA,'Gider Miktar'!$B:$B,'Emanet Miktar Dağılım'!$D16,'Gider Miktar'!$F:$F,1001)+SUMIFS('Gider Miktar'!BA:BA,'Gider Miktar'!$B:$B,'Emanet Miktar Dağılım'!$D16,'Gider Miktar'!$F:$F,1002)+SUMIFS('Gider Miktar'!BA:BA,'Gider Miktar'!$B:$B,'Emanet Miktar Dağılım'!$D16,'Gider Miktar'!$F:$F,1003)+SUMIFS('Gider Miktar'!BA:BA,'Gider Miktar'!$B:$B,'Emanet Miktar Dağılım'!$D16,'Gider Miktar'!$F:$F,1004)</f>
        <v>0</v>
      </c>
      <c r="AS16" s="9">
        <f>+SUMIFS('Gider Miktar'!BB:BB,'Gider Miktar'!$B:$B,'Emanet Miktar Dağılım'!$D16,'Gider Miktar'!$F:$F,1001)+SUMIFS('Gider Miktar'!BB:BB,'Gider Miktar'!$B:$B,'Emanet Miktar Dağılım'!$D16,'Gider Miktar'!$F:$F,1002)+SUMIFS('Gider Miktar'!BB:BB,'Gider Miktar'!$B:$B,'Emanet Miktar Dağılım'!$D16,'Gider Miktar'!$F:$F,1003)+SUMIFS('Gider Miktar'!BB:BB,'Gider Miktar'!$B:$B,'Emanet Miktar Dağılım'!$D16,'Gider Miktar'!$F:$F,1004)</f>
        <v>0</v>
      </c>
      <c r="AT16" s="9">
        <f>+SUMIFS('Gider Miktar'!BC:BC,'Gider Miktar'!$B:$B,'Emanet Miktar Dağılım'!$D16,'Gider Miktar'!$F:$F,1001)+SUMIFS('Gider Miktar'!BC:BC,'Gider Miktar'!$B:$B,'Emanet Miktar Dağılım'!$D16,'Gider Miktar'!$F:$F,1002)+SUMIFS('Gider Miktar'!BC:BC,'Gider Miktar'!$B:$B,'Emanet Miktar Dağılım'!$D16,'Gider Miktar'!$F:$F,1003)+SUMIFS('Gider Miktar'!BC:BC,'Gider Miktar'!$B:$B,'Emanet Miktar Dağılım'!$D16,'Gider Miktar'!$F:$F,1004)</f>
        <v>0</v>
      </c>
      <c r="AU16" s="9">
        <f>+SUMIFS('Gider Miktar'!BD:BD,'Gider Miktar'!$B:$B,'Emanet Miktar Dağılım'!$D16,'Gider Miktar'!$F:$F,1001)+SUMIFS('Gider Miktar'!BD:BD,'Gider Miktar'!$B:$B,'Emanet Miktar Dağılım'!$D16,'Gider Miktar'!$F:$F,1002)+SUMIFS('Gider Miktar'!BD:BD,'Gider Miktar'!$B:$B,'Emanet Miktar Dağılım'!$D16,'Gider Miktar'!$F:$F,1003)+SUMIFS('Gider Miktar'!BD:BD,'Gider Miktar'!$B:$B,'Emanet Miktar Dağılım'!$D16,'Gider Miktar'!$F:$F,1004)</f>
        <v>0</v>
      </c>
      <c r="AV16" s="9">
        <f>+SUMIFS('Gider Miktar'!BE:BE,'Gider Miktar'!$B:$B,'Emanet Miktar Dağılım'!$D16,'Gider Miktar'!$F:$F,1001)+SUMIFS('Gider Miktar'!BE:BE,'Gider Miktar'!$B:$B,'Emanet Miktar Dağılım'!$D16,'Gider Miktar'!$F:$F,1002)+SUMIFS('Gider Miktar'!BE:BE,'Gider Miktar'!$B:$B,'Emanet Miktar Dağılım'!$D16,'Gider Miktar'!$F:$F,1003)+SUMIFS('Gider Miktar'!BE:BE,'Gider Miktar'!$B:$B,'Emanet Miktar Dağılım'!$D16,'Gider Miktar'!$F:$F,1004)</f>
        <v>0</v>
      </c>
      <c r="AW16" s="9">
        <f>+SUMIFS('Gider Miktar'!BF:BF,'Gider Miktar'!$B:$B,'Emanet Miktar Dağılım'!$D16,'Gider Miktar'!$F:$F,1001)+SUMIFS('Gider Miktar'!BF:BF,'Gider Miktar'!$B:$B,'Emanet Miktar Dağılım'!$D16,'Gider Miktar'!$F:$F,1002)+SUMIFS('Gider Miktar'!BF:BF,'Gider Miktar'!$B:$B,'Emanet Miktar Dağılım'!$D16,'Gider Miktar'!$F:$F,1003)+SUMIFS('Gider Miktar'!BF:BF,'Gider Miktar'!$B:$B,'Emanet Miktar Dağılım'!$D16,'Gider Miktar'!$F:$F,1004)</f>
        <v>0</v>
      </c>
      <c r="AX16" s="9">
        <f>+SUMIFS('Gider Miktar'!BG:BG,'Gider Miktar'!$B:$B,'Emanet Miktar Dağılım'!$D16,'Gider Miktar'!$F:$F,1001)+SUMIFS('Gider Miktar'!BG:BG,'Gider Miktar'!$B:$B,'Emanet Miktar Dağılım'!$D16,'Gider Miktar'!$F:$F,1002)+SUMIFS('Gider Miktar'!BG:BG,'Gider Miktar'!$B:$B,'Emanet Miktar Dağılım'!$D16,'Gider Miktar'!$F:$F,1003)+SUMIFS('Gider Miktar'!BG:BG,'Gider Miktar'!$B:$B,'Emanet Miktar Dağılım'!$D16,'Gider Miktar'!$F:$F,1004)</f>
        <v>0</v>
      </c>
      <c r="AY16" s="9">
        <f>+SUMIFS('Gider Miktar'!BH:BH,'Gider Miktar'!$B:$B,'Emanet Miktar Dağılım'!$D16,'Gider Miktar'!$F:$F,1001)+SUMIFS('Gider Miktar'!BH:BH,'Gider Miktar'!$B:$B,'Emanet Miktar Dağılım'!$D16,'Gider Miktar'!$F:$F,1002)+SUMIFS('Gider Miktar'!BH:BH,'Gider Miktar'!$B:$B,'Emanet Miktar Dağılım'!$D16,'Gider Miktar'!$F:$F,1003)+SUMIFS('Gider Miktar'!BH:BH,'Gider Miktar'!$B:$B,'Emanet Miktar Dağılım'!$D16,'Gider Miktar'!$F:$F,1004)</f>
        <v>0</v>
      </c>
      <c r="AZ16" s="9">
        <f>+SUMIFS('Gider Miktar'!BI:BI,'Gider Miktar'!$B:$B,'Emanet Miktar Dağılım'!$D16,'Gider Miktar'!$F:$F,1001)+SUMIFS('Gider Miktar'!BI:BI,'Gider Miktar'!$B:$B,'Emanet Miktar Dağılım'!$D16,'Gider Miktar'!$F:$F,1002)+SUMIFS('Gider Miktar'!BI:BI,'Gider Miktar'!$B:$B,'Emanet Miktar Dağılım'!$D16,'Gider Miktar'!$F:$F,1003)+SUMIFS('Gider Miktar'!BI:BI,'Gider Miktar'!$B:$B,'Emanet Miktar Dağılım'!$D16,'Gider Miktar'!$F:$F,1004)</f>
        <v>0</v>
      </c>
      <c r="BA16" s="9">
        <f>+SUMIFS('Gider Miktar'!BJ:BJ,'Gider Miktar'!$B:$B,'Emanet Miktar Dağılım'!$D16,'Gider Miktar'!$F:$F,1001)+SUMIFS('Gider Miktar'!BJ:BJ,'Gider Miktar'!$B:$B,'Emanet Miktar Dağılım'!$D16,'Gider Miktar'!$F:$F,1002)+SUMIFS('Gider Miktar'!BJ:BJ,'Gider Miktar'!$B:$B,'Emanet Miktar Dağılım'!$D16,'Gider Miktar'!$F:$F,1003)+SUMIFS('Gider Miktar'!BJ:BJ,'Gider Miktar'!$B:$B,'Emanet Miktar Dağılım'!$D16,'Gider Miktar'!$F:$F,1004)</f>
        <v>0</v>
      </c>
      <c r="BB16" s="9">
        <f>+SUMIFS('Gider Miktar'!BK:BK,'Gider Miktar'!$B:$B,'Emanet Miktar Dağılım'!$D16,'Gider Miktar'!$F:$F,1001)+SUMIFS('Gider Miktar'!BK:BK,'Gider Miktar'!$B:$B,'Emanet Miktar Dağılım'!$D16,'Gider Miktar'!$F:$F,1002)+SUMIFS('Gider Miktar'!BK:BK,'Gider Miktar'!$B:$B,'Emanet Miktar Dağılım'!$D16,'Gider Miktar'!$F:$F,1003)+SUMIFS('Gider Miktar'!BK:BK,'Gider Miktar'!$B:$B,'Emanet Miktar Dağılım'!$D16,'Gider Miktar'!$F:$F,1004)</f>
        <v>0</v>
      </c>
      <c r="BC16" s="9">
        <f>+SUMIFS('Gider Miktar'!BL:BL,'Gider Miktar'!$B:$B,'Emanet Miktar Dağılım'!$D16,'Gider Miktar'!$F:$F,1001)+SUMIFS('Gider Miktar'!BL:BL,'Gider Miktar'!$B:$B,'Emanet Miktar Dağılım'!$D16,'Gider Miktar'!$F:$F,1002)+SUMIFS('Gider Miktar'!BL:BL,'Gider Miktar'!$B:$B,'Emanet Miktar Dağılım'!$D16,'Gider Miktar'!$F:$F,1003)+SUMIFS('Gider Miktar'!BL:BL,'Gider Miktar'!$B:$B,'Emanet Miktar Dağılım'!$D16,'Gider Miktar'!$F:$F,1004)</f>
        <v>0</v>
      </c>
      <c r="BD16" s="9">
        <f>+SUMIFS('Gider Miktar'!BM:BM,'Gider Miktar'!$B:$B,'Emanet Miktar Dağılım'!$D16,'Gider Miktar'!$F:$F,1001)+SUMIFS('Gider Miktar'!BM:BM,'Gider Miktar'!$B:$B,'Emanet Miktar Dağılım'!$D16,'Gider Miktar'!$F:$F,1002)+SUMIFS('Gider Miktar'!BM:BM,'Gider Miktar'!$B:$B,'Emanet Miktar Dağılım'!$D16,'Gider Miktar'!$F:$F,1003)+SUMIFS('Gider Miktar'!BM:BM,'Gider Miktar'!$B:$B,'Emanet Miktar Dağılım'!$D16,'Gider Miktar'!$F:$F,1004)</f>
        <v>0</v>
      </c>
      <c r="BE16" s="9">
        <f>+SUMIFS('Gider Miktar'!BN:BN,'Gider Miktar'!$B:$B,'Emanet Miktar Dağılım'!$D16,'Gider Miktar'!$F:$F,1001)+SUMIFS('Gider Miktar'!BN:BN,'Gider Miktar'!$B:$B,'Emanet Miktar Dağılım'!$D16,'Gider Miktar'!$F:$F,1002)+SUMIFS('Gider Miktar'!BN:BN,'Gider Miktar'!$B:$B,'Emanet Miktar Dağılım'!$D16,'Gider Miktar'!$F:$F,1003)+SUMIFS('Gider Miktar'!BN:BN,'Gider Miktar'!$B:$B,'Emanet Miktar Dağılım'!$D16,'Gider Miktar'!$F:$F,1004)</f>
        <v>0</v>
      </c>
      <c r="BF16" s="9">
        <f>+SUMIFS('Gider Miktar'!BO:BO,'Gider Miktar'!$B:$B,'Emanet Miktar Dağılım'!$D16,'Gider Miktar'!$F:$F,1001)+SUMIFS('Gider Miktar'!BO:BO,'Gider Miktar'!$B:$B,'Emanet Miktar Dağılım'!$D16,'Gider Miktar'!$F:$F,1002)+SUMIFS('Gider Miktar'!BO:BO,'Gider Miktar'!$B:$B,'Emanet Miktar Dağılım'!$D16,'Gider Miktar'!$F:$F,1003)+SUMIFS('Gider Miktar'!BO:BO,'Gider Miktar'!$B:$B,'Emanet Miktar Dağılım'!$D16,'Gider Miktar'!$F:$F,1004)</f>
        <v>0</v>
      </c>
      <c r="BG16" s="9">
        <f>+SUMIFS('Gider Miktar'!BP:BP,'Gider Miktar'!$B:$B,'Emanet Miktar Dağılım'!$D16,'Gider Miktar'!$F:$F,1001)+SUMIFS('Gider Miktar'!BP:BP,'Gider Miktar'!$B:$B,'Emanet Miktar Dağılım'!$D16,'Gider Miktar'!$F:$F,1002)+SUMIFS('Gider Miktar'!BP:BP,'Gider Miktar'!$B:$B,'Emanet Miktar Dağılım'!$D16,'Gider Miktar'!$F:$F,1003)+SUMIFS('Gider Miktar'!BP:BP,'Gider Miktar'!$B:$B,'Emanet Miktar Dağılım'!$D16,'Gider Miktar'!$F:$F,1004)</f>
        <v>0</v>
      </c>
      <c r="BH16" s="9">
        <f>+SUMIFS('Gider Miktar'!BQ:BQ,'Gider Miktar'!$B:$B,'Emanet Miktar Dağılım'!$D16,'Gider Miktar'!$F:$F,1001)+SUMIFS('Gider Miktar'!BQ:BQ,'Gider Miktar'!$B:$B,'Emanet Miktar Dağılım'!$D16,'Gider Miktar'!$F:$F,1002)+SUMIFS('Gider Miktar'!BQ:BQ,'Gider Miktar'!$B:$B,'Emanet Miktar Dağılım'!$D16,'Gider Miktar'!$F:$F,1003)+SUMIFS('Gider Miktar'!BQ:BQ,'Gider Miktar'!$B:$B,'Emanet Miktar Dağılım'!$D16,'Gider Miktar'!$F:$F,1004)</f>
        <v>0</v>
      </c>
      <c r="BI16" s="9">
        <f>+SUMIFS('Gider Miktar'!BR:BR,'Gider Miktar'!$B:$B,'Emanet Miktar Dağılım'!$D16,'Gider Miktar'!$F:$F,1001)+SUMIFS('Gider Miktar'!BR:BR,'Gider Miktar'!$B:$B,'Emanet Miktar Dağılım'!$D16,'Gider Miktar'!$F:$F,1002)+SUMIFS('Gider Miktar'!BR:BR,'Gider Miktar'!$B:$B,'Emanet Miktar Dağılım'!$D16,'Gider Miktar'!$F:$F,1003)+SUMIFS('Gider Miktar'!BR:BR,'Gider Miktar'!$B:$B,'Emanet Miktar Dağılım'!$D16,'Gider Miktar'!$F:$F,1004)</f>
        <v>0</v>
      </c>
      <c r="BJ16" s="9">
        <f>+SUMIFS('Gider Miktar'!BS:BS,'Gider Miktar'!$B:$B,'Emanet Miktar Dağılım'!$D16,'Gider Miktar'!$F:$F,1001)+SUMIFS('Gider Miktar'!BS:BS,'Gider Miktar'!$B:$B,'Emanet Miktar Dağılım'!$D16,'Gider Miktar'!$F:$F,1002)+SUMIFS('Gider Miktar'!BS:BS,'Gider Miktar'!$B:$B,'Emanet Miktar Dağılım'!$D16,'Gider Miktar'!$F:$F,1003)+SUMIFS('Gider Miktar'!BS:BS,'Gider Miktar'!$B:$B,'Emanet Miktar Dağılım'!$D16,'Gider Miktar'!$F:$F,1004)</f>
        <v>0</v>
      </c>
      <c r="BK16" s="9">
        <f>+SUMIFS('Gider Miktar'!BT:BT,'Gider Miktar'!$B:$B,'Emanet Miktar Dağılım'!$D16,'Gider Miktar'!$F:$F,1001)+SUMIFS('Gider Miktar'!BT:BT,'Gider Miktar'!$B:$B,'Emanet Miktar Dağılım'!$D16,'Gider Miktar'!$F:$F,1002)+SUMIFS('Gider Miktar'!BT:BT,'Gider Miktar'!$B:$B,'Emanet Miktar Dağılım'!$D16,'Gider Miktar'!$F:$F,1003)+SUMIFS('Gider Miktar'!BT:BT,'Gider Miktar'!$B:$B,'Emanet Miktar Dağılım'!$D16,'Gider Miktar'!$F:$F,1004)</f>
        <v>0</v>
      </c>
      <c r="BL16" s="9">
        <f>+SUMIFS('Gider Miktar'!BU:BU,'Gider Miktar'!$B:$B,'Emanet Miktar Dağılım'!$D16,'Gider Miktar'!$F:$F,1001)+SUMIFS('Gider Miktar'!BU:BU,'Gider Miktar'!$B:$B,'Emanet Miktar Dağılım'!$D16,'Gider Miktar'!$F:$F,1002)+SUMIFS('Gider Miktar'!BU:BU,'Gider Miktar'!$B:$B,'Emanet Miktar Dağılım'!$D16,'Gider Miktar'!$F:$F,1003)+SUMIFS('Gider Miktar'!BU:BU,'Gider Miktar'!$B:$B,'Emanet Miktar Dağılım'!$D16,'Gider Miktar'!$F:$F,1004)</f>
        <v>0</v>
      </c>
      <c r="BM16" s="9">
        <f>+SUMIFS('Gider Miktar'!BV:BV,'Gider Miktar'!$B:$B,'Emanet Miktar Dağılım'!$D16,'Gider Miktar'!$F:$F,1001)+SUMIFS('Gider Miktar'!BV:BV,'Gider Miktar'!$B:$B,'Emanet Miktar Dağılım'!$D16,'Gider Miktar'!$F:$F,1002)+SUMIFS('Gider Miktar'!BV:BV,'Gider Miktar'!$B:$B,'Emanet Miktar Dağılım'!$D16,'Gider Miktar'!$F:$F,1003)+SUMIFS('Gider Miktar'!BV:BV,'Gider Miktar'!$B:$B,'Emanet Miktar Dağılım'!$D16,'Gider Miktar'!$F:$F,1004)</f>
        <v>0</v>
      </c>
      <c r="BN16" s="9">
        <f>+SUMIFS('Gider Miktar'!BW:BW,'Gider Miktar'!$B:$B,'Emanet Miktar Dağılım'!$D16,'Gider Miktar'!$F:$F,1001)+SUMIFS('Gider Miktar'!BW:BW,'Gider Miktar'!$B:$B,'Emanet Miktar Dağılım'!$D16,'Gider Miktar'!$F:$F,1002)+SUMIFS('Gider Miktar'!BW:BW,'Gider Miktar'!$B:$B,'Emanet Miktar Dağılım'!$D16,'Gider Miktar'!$F:$F,1003)+SUMIFS('Gider Miktar'!BW:BW,'Gider Miktar'!$B:$B,'Emanet Miktar Dağılım'!$D16,'Gider Miktar'!$F:$F,1004)</f>
        <v>0</v>
      </c>
      <c r="BO16" s="9">
        <f>+SUMIFS('Gider Miktar'!BX:BX,'Gider Miktar'!$B:$B,'Emanet Miktar Dağılım'!$D16,'Gider Miktar'!$F:$F,1001)+SUMIFS('Gider Miktar'!BX:BX,'Gider Miktar'!$B:$B,'Emanet Miktar Dağılım'!$D16,'Gider Miktar'!$F:$F,1002)+SUMIFS('Gider Miktar'!BX:BX,'Gider Miktar'!$B:$B,'Emanet Miktar Dağılım'!$D16,'Gider Miktar'!$F:$F,1003)+SUMIFS('Gider Miktar'!BX:BX,'Gider Miktar'!$B:$B,'Emanet Miktar Dağılım'!$D16,'Gider Miktar'!$F:$F,1004)</f>
        <v>0</v>
      </c>
    </row>
    <row r="17" spans="2:67">
      <c r="D17" t="s">
        <v>19</v>
      </c>
      <c r="E17" s="9">
        <f>+SUMIFS('Gider Miktar'!N:N,'Gider Miktar'!$B:$B,'Emanet Miktar Dağılım'!$D17,'Gider Miktar'!$F:$F,1001)+SUMIFS('Gider Miktar'!N:N,'Gider Miktar'!$B:$B,'Emanet Miktar Dağılım'!$D17,'Gider Miktar'!$F:$F,1002)+SUMIFS('Gider Miktar'!N:N,'Gider Miktar'!$B:$B,'Emanet Miktar Dağılım'!$D17,'Gider Miktar'!$F:$F,1003)+SUMIFS('Gider Miktar'!N:N,'Gider Miktar'!$B:$B,'Emanet Miktar Dağılım'!$D17,'Gider Miktar'!$F:$F,1004)</f>
        <v>0</v>
      </c>
      <c r="F17" s="9">
        <f>+SUMIFS('Gider Miktar'!O:O,'Gider Miktar'!$B:$B,'Emanet Miktar Dağılım'!$D17,'Gider Miktar'!$F:$F,1001)+SUMIFS('Gider Miktar'!O:O,'Gider Miktar'!$B:$B,'Emanet Miktar Dağılım'!$D17,'Gider Miktar'!$F:$F,1002)+SUMIFS('Gider Miktar'!O:O,'Gider Miktar'!$B:$B,'Emanet Miktar Dağılım'!$D17,'Gider Miktar'!$F:$F,1003)+SUMIFS('Gider Miktar'!O:O,'Gider Miktar'!$B:$B,'Emanet Miktar Dağılım'!$D17,'Gider Miktar'!$F:$F,1004)</f>
        <v>0</v>
      </c>
      <c r="G17" s="9">
        <f>+SUMIFS('Gider Miktar'!P:P,'Gider Miktar'!$B:$B,'Emanet Miktar Dağılım'!$D17,'Gider Miktar'!$F:$F,1001)+SUMIFS('Gider Miktar'!P:P,'Gider Miktar'!$B:$B,'Emanet Miktar Dağılım'!$D17,'Gider Miktar'!$F:$F,1002)+SUMIFS('Gider Miktar'!P:P,'Gider Miktar'!$B:$B,'Emanet Miktar Dağılım'!$D17,'Gider Miktar'!$F:$F,1003)+SUMIFS('Gider Miktar'!P:P,'Gider Miktar'!$B:$B,'Emanet Miktar Dağılım'!$D17,'Gider Miktar'!$F:$F,1004)</f>
        <v>0</v>
      </c>
      <c r="H17" s="9">
        <f>+SUMIFS('Gider Miktar'!Q:Q,'Gider Miktar'!$B:$B,'Emanet Miktar Dağılım'!$D17,'Gider Miktar'!$F:$F,1001)+SUMIFS('Gider Miktar'!Q:Q,'Gider Miktar'!$B:$B,'Emanet Miktar Dağılım'!$D17,'Gider Miktar'!$F:$F,1002)+SUMIFS('Gider Miktar'!Q:Q,'Gider Miktar'!$B:$B,'Emanet Miktar Dağılım'!$D17,'Gider Miktar'!$F:$F,1003)+SUMIFS('Gider Miktar'!Q:Q,'Gider Miktar'!$B:$B,'Emanet Miktar Dağılım'!$D17,'Gider Miktar'!$F:$F,1004)</f>
        <v>0</v>
      </c>
      <c r="I17" s="9">
        <f>+SUMIFS('Gider Miktar'!R:R,'Gider Miktar'!$B:$B,'Emanet Miktar Dağılım'!$D17,'Gider Miktar'!$F:$F,1001)+SUMIFS('Gider Miktar'!R:R,'Gider Miktar'!$B:$B,'Emanet Miktar Dağılım'!$D17,'Gider Miktar'!$F:$F,1002)+SUMIFS('Gider Miktar'!R:R,'Gider Miktar'!$B:$B,'Emanet Miktar Dağılım'!$D17,'Gider Miktar'!$F:$F,1003)+SUMIFS('Gider Miktar'!R:R,'Gider Miktar'!$B:$B,'Emanet Miktar Dağılım'!$D17,'Gider Miktar'!$F:$F,1004)</f>
        <v>1852</v>
      </c>
      <c r="J17" s="9">
        <f>+SUMIFS('Gider Miktar'!S:S,'Gider Miktar'!$B:$B,'Emanet Miktar Dağılım'!$D17,'Gider Miktar'!$F:$F,1001)+SUMIFS('Gider Miktar'!S:S,'Gider Miktar'!$B:$B,'Emanet Miktar Dağılım'!$D17,'Gider Miktar'!$F:$F,1002)+SUMIFS('Gider Miktar'!S:S,'Gider Miktar'!$B:$B,'Emanet Miktar Dağılım'!$D17,'Gider Miktar'!$F:$F,1003)+SUMIFS('Gider Miktar'!S:S,'Gider Miktar'!$B:$B,'Emanet Miktar Dağılım'!$D17,'Gider Miktar'!$F:$F,1004)</f>
        <v>5608</v>
      </c>
      <c r="K17" s="9">
        <f>+SUMIFS('Gider Miktar'!T:T,'Gider Miktar'!$B:$B,'Emanet Miktar Dağılım'!$D17,'Gider Miktar'!$F:$F,1001)+SUMIFS('Gider Miktar'!T:T,'Gider Miktar'!$B:$B,'Emanet Miktar Dağılım'!$D17,'Gider Miktar'!$F:$F,1002)+SUMIFS('Gider Miktar'!T:T,'Gider Miktar'!$B:$B,'Emanet Miktar Dağılım'!$D17,'Gider Miktar'!$F:$F,1003)+SUMIFS('Gider Miktar'!T:T,'Gider Miktar'!$B:$B,'Emanet Miktar Dağılım'!$D17,'Gider Miktar'!$F:$F,1004)</f>
        <v>4276</v>
      </c>
      <c r="L17" s="9">
        <f>+SUMIFS('Gider Miktar'!U:U,'Gider Miktar'!$B:$B,'Emanet Miktar Dağılım'!$D17,'Gider Miktar'!$F:$F,1001)+SUMIFS('Gider Miktar'!U:U,'Gider Miktar'!$B:$B,'Emanet Miktar Dağılım'!$D17,'Gider Miktar'!$F:$F,1002)+SUMIFS('Gider Miktar'!U:U,'Gider Miktar'!$B:$B,'Emanet Miktar Dağılım'!$D17,'Gider Miktar'!$F:$F,1003)+SUMIFS('Gider Miktar'!U:U,'Gider Miktar'!$B:$B,'Emanet Miktar Dağılım'!$D17,'Gider Miktar'!$F:$F,1004)</f>
        <v>3316</v>
      </c>
      <c r="M17" s="9">
        <f>+SUMIFS('Gider Miktar'!V:V,'Gider Miktar'!$B:$B,'Emanet Miktar Dağılım'!$D17,'Gider Miktar'!$F:$F,1001)+SUMIFS('Gider Miktar'!V:V,'Gider Miktar'!$B:$B,'Emanet Miktar Dağılım'!$D17,'Gider Miktar'!$F:$F,1002)+SUMIFS('Gider Miktar'!V:V,'Gider Miktar'!$B:$B,'Emanet Miktar Dağılım'!$D17,'Gider Miktar'!$F:$F,1003)+SUMIFS('Gider Miktar'!V:V,'Gider Miktar'!$B:$B,'Emanet Miktar Dağılım'!$D17,'Gider Miktar'!$F:$F,1004)</f>
        <v>3260</v>
      </c>
      <c r="N17" s="11">
        <f>+SUMIFS('Gider Miktar'!W:W,'Gider Miktar'!$B:$B,'Emanet Miktar Dağılım'!$D17,'Gider Miktar'!$F:$F,1001)+SUMIFS('Gider Miktar'!W:W,'Gider Miktar'!$B:$B,'Emanet Miktar Dağılım'!$D17,'Gider Miktar'!$F:$F,1002)+SUMIFS('Gider Miktar'!W:W,'Gider Miktar'!$B:$B,'Emanet Miktar Dağılım'!$D17,'Gider Miktar'!$F:$F,1003)+SUMIFS('Gider Miktar'!W:W,'Gider Miktar'!$B:$B,'Emanet Miktar Dağılım'!$D17,'Gider Miktar'!$F:$F,1004)</f>
        <v>5576</v>
      </c>
      <c r="O17" s="9">
        <f>+SUMIFS('Gider Miktar'!X:X,'Gider Miktar'!$B:$B,'Emanet Miktar Dağılım'!$D17,'Gider Miktar'!$F:$F,1001)+SUMIFS('Gider Miktar'!X:X,'Gider Miktar'!$B:$B,'Emanet Miktar Dağılım'!$D17,'Gider Miktar'!$F:$F,1002)+SUMIFS('Gider Miktar'!X:X,'Gider Miktar'!$B:$B,'Emanet Miktar Dağılım'!$D17,'Gider Miktar'!$F:$F,1003)+SUMIFS('Gider Miktar'!X:X,'Gider Miktar'!$B:$B,'Emanet Miktar Dağılım'!$D17,'Gider Miktar'!$F:$F,1004)</f>
        <v>17698.88668663269</v>
      </c>
      <c r="P17" s="9">
        <f>+SUMIFS('Gider Miktar'!Y:Y,'Gider Miktar'!$B:$B,'Emanet Miktar Dağılım'!$D17,'Gider Miktar'!$F:$F,1001)+SUMIFS('Gider Miktar'!Y:Y,'Gider Miktar'!$B:$B,'Emanet Miktar Dağılım'!$D17,'Gider Miktar'!$F:$F,1002)+SUMIFS('Gider Miktar'!Y:Y,'Gider Miktar'!$B:$B,'Emanet Miktar Dağılım'!$D17,'Gider Miktar'!$F:$F,1003)+SUMIFS('Gider Miktar'!Y:Y,'Gider Miktar'!$B:$B,'Emanet Miktar Dağılım'!$D17,'Gider Miktar'!$F:$F,1004)</f>
        <v>21674.573719674216</v>
      </c>
      <c r="Q17" s="9">
        <f>+SUMIFS('Gider Miktar'!Z:Z,'Gider Miktar'!$B:$B,'Emanet Miktar Dağılım'!$D17,'Gider Miktar'!$F:$F,1001)+SUMIFS('Gider Miktar'!Z:Z,'Gider Miktar'!$B:$B,'Emanet Miktar Dağılım'!$D17,'Gider Miktar'!$F:$F,1002)+SUMIFS('Gider Miktar'!Z:Z,'Gider Miktar'!$B:$B,'Emanet Miktar Dağılım'!$D17,'Gider Miktar'!$F:$F,1003)+SUMIFS('Gider Miktar'!Z:Z,'Gider Miktar'!$B:$B,'Emanet Miktar Dağılım'!$D17,'Gider Miktar'!$F:$F,1004)</f>
        <v>16576.55219062791</v>
      </c>
      <c r="R17" s="9">
        <f>+SUMIFS('Gider Miktar'!AA:AA,'Gider Miktar'!$B:$B,'Emanet Miktar Dağılım'!$D17,'Gider Miktar'!$F:$F,1001)+SUMIFS('Gider Miktar'!AA:AA,'Gider Miktar'!$B:$B,'Emanet Miktar Dağılım'!$D17,'Gider Miktar'!$F:$F,1002)+SUMIFS('Gider Miktar'!AA:AA,'Gider Miktar'!$B:$B,'Emanet Miktar Dağılım'!$D17,'Gider Miktar'!$F:$F,1003)+SUMIFS('Gider Miktar'!AA:AA,'Gider Miktar'!$B:$B,'Emanet Miktar Dağılım'!$D17,'Gider Miktar'!$F:$F,1004)</f>
        <v>13375.14197429237</v>
      </c>
      <c r="S17" s="9">
        <f>+SUMIFS('Gider Miktar'!AB:AB,'Gider Miktar'!$B:$B,'Emanet Miktar Dağılım'!$D17,'Gider Miktar'!$F:$F,1001)+SUMIFS('Gider Miktar'!AB:AB,'Gider Miktar'!$B:$B,'Emanet Miktar Dağılım'!$D17,'Gider Miktar'!$F:$F,1002)+SUMIFS('Gider Miktar'!AB:AB,'Gider Miktar'!$B:$B,'Emanet Miktar Dağılım'!$D17,'Gider Miktar'!$F:$F,1003)+SUMIFS('Gider Miktar'!AB:AB,'Gider Miktar'!$B:$B,'Emanet Miktar Dağılım'!$D17,'Gider Miktar'!$F:$F,1004)</f>
        <v>14112.691863628448</v>
      </c>
      <c r="T17" s="9">
        <f>+SUMIFS('Gider Miktar'!AC:AC,'Gider Miktar'!$B:$B,'Emanet Miktar Dağılım'!$D17,'Gider Miktar'!$F:$F,1001)+SUMIFS('Gider Miktar'!AC:AC,'Gider Miktar'!$B:$B,'Emanet Miktar Dağılım'!$D17,'Gider Miktar'!$F:$F,1002)+SUMIFS('Gider Miktar'!AC:AC,'Gider Miktar'!$B:$B,'Emanet Miktar Dağılım'!$D17,'Gider Miktar'!$F:$F,1003)+SUMIFS('Gider Miktar'!AC:AC,'Gider Miktar'!$B:$B,'Emanet Miktar Dağılım'!$D17,'Gider Miktar'!$F:$F,1004)</f>
        <v>13791.966996143246</v>
      </c>
      <c r="U17" s="9">
        <f>+SUMIFS('Gider Miktar'!AD:AD,'Gider Miktar'!$B:$B,'Emanet Miktar Dağılım'!$D17,'Gider Miktar'!$F:$F,1001)+SUMIFS('Gider Miktar'!AD:AD,'Gider Miktar'!$B:$B,'Emanet Miktar Dağılım'!$D17,'Gider Miktar'!$F:$F,1002)+SUMIFS('Gider Miktar'!AD:AD,'Gider Miktar'!$B:$B,'Emanet Miktar Dağılım'!$D17,'Gider Miktar'!$F:$F,1003)+SUMIFS('Gider Miktar'!AD:AD,'Gider Miktar'!$B:$B,'Emanet Miktar Dağılım'!$D17,'Gider Miktar'!$F:$F,1004)</f>
        <v>12652.117167169408</v>
      </c>
      <c r="V17" s="9">
        <f>+SUMIFS('Gider Miktar'!AE:AE,'Gider Miktar'!$B:$B,'Emanet Miktar Dağılım'!$D17,'Gider Miktar'!$F:$F,1001)+SUMIFS('Gider Miktar'!AE:AE,'Gider Miktar'!$B:$B,'Emanet Miktar Dağılım'!$D17,'Gider Miktar'!$F:$F,1002)+SUMIFS('Gider Miktar'!AE:AE,'Gider Miktar'!$B:$B,'Emanet Miktar Dağılım'!$D17,'Gider Miktar'!$F:$F,1003)+SUMIFS('Gider Miktar'!AE:AE,'Gider Miktar'!$B:$B,'Emanet Miktar Dağılım'!$D17,'Gider Miktar'!$F:$F,1004)</f>
        <v>13484.796572689576</v>
      </c>
      <c r="W17" s="9">
        <f>+SUMIFS('Gider Miktar'!AF:AF,'Gider Miktar'!$B:$B,'Emanet Miktar Dağılım'!$D17,'Gider Miktar'!$F:$F,1001)+SUMIFS('Gider Miktar'!AF:AF,'Gider Miktar'!$B:$B,'Emanet Miktar Dağılım'!$D17,'Gider Miktar'!$F:$F,1002)+SUMIFS('Gider Miktar'!AF:AF,'Gider Miktar'!$B:$B,'Emanet Miktar Dağılım'!$D17,'Gider Miktar'!$F:$F,1003)+SUMIFS('Gider Miktar'!AF:AF,'Gider Miktar'!$B:$B,'Emanet Miktar Dağılım'!$D17,'Gider Miktar'!$F:$F,1004)</f>
        <v>8912.3265110926186</v>
      </c>
      <c r="X17" s="9">
        <f>+SUMIFS('Gider Miktar'!AG:AG,'Gider Miktar'!$B:$B,'Emanet Miktar Dağılım'!$D17,'Gider Miktar'!$F:$F,1001)+SUMIFS('Gider Miktar'!AG:AG,'Gider Miktar'!$B:$B,'Emanet Miktar Dağılım'!$D17,'Gider Miktar'!$F:$F,1002)+SUMIFS('Gider Miktar'!AG:AG,'Gider Miktar'!$B:$B,'Emanet Miktar Dağılım'!$D17,'Gider Miktar'!$F:$F,1003)+SUMIFS('Gider Miktar'!AG:AG,'Gider Miktar'!$B:$B,'Emanet Miktar Dağılım'!$D17,'Gider Miktar'!$F:$F,1004)</f>
        <v>6055.3168143305038</v>
      </c>
      <c r="Y17" s="9">
        <f>+SUMIFS('Gider Miktar'!AH:AH,'Gider Miktar'!$B:$B,'Emanet Miktar Dağılım'!$D17,'Gider Miktar'!$F:$F,1001)+SUMIFS('Gider Miktar'!AH:AH,'Gider Miktar'!$B:$B,'Emanet Miktar Dağılım'!$D17,'Gider Miktar'!$F:$F,1002)+SUMIFS('Gider Miktar'!AH:AH,'Gider Miktar'!$B:$B,'Emanet Miktar Dağılım'!$D17,'Gider Miktar'!$F:$F,1003)+SUMIFS('Gider Miktar'!AH:AH,'Gider Miktar'!$B:$B,'Emanet Miktar Dağılım'!$D17,'Gider Miktar'!$F:$F,1004)</f>
        <v>5936.2256149941641</v>
      </c>
      <c r="Z17" s="9">
        <f>+SUMIFS('Gider Miktar'!AI:AI,'Gider Miktar'!$B:$B,'Emanet Miktar Dağılım'!$D17,'Gider Miktar'!$F:$F,1001)+SUMIFS('Gider Miktar'!AI:AI,'Gider Miktar'!$B:$B,'Emanet Miktar Dağılım'!$D17,'Gider Miktar'!$F:$F,1002)+SUMIFS('Gider Miktar'!AI:AI,'Gider Miktar'!$B:$B,'Emanet Miktar Dağılım'!$D17,'Gider Miktar'!$F:$F,1003)+SUMIFS('Gider Miktar'!AI:AI,'Gider Miktar'!$B:$B,'Emanet Miktar Dağılım'!$D17,'Gider Miktar'!$F:$F,1004)</f>
        <v>6887.9962198506755</v>
      </c>
      <c r="AA17" s="9">
        <f>+SUMIFS('Gider Miktar'!AJ:AJ,'Gider Miktar'!$B:$B,'Emanet Miktar Dağılım'!$D17,'Gider Miktar'!$F:$F,1001)+SUMIFS('Gider Miktar'!AJ:AJ,'Gider Miktar'!$B:$B,'Emanet Miktar Dağılım'!$D17,'Gider Miktar'!$F:$F,1002)+SUMIFS('Gider Miktar'!AJ:AJ,'Gider Miktar'!$B:$B,'Emanet Miktar Dağılım'!$D17,'Gider Miktar'!$F:$F,1003)+SUMIFS('Gider Miktar'!AJ:AJ,'Gider Miktar'!$B:$B,'Emanet Miktar Dağılım'!$D17,'Gider Miktar'!$F:$F,1004)</f>
        <v>6804.728279298658</v>
      </c>
      <c r="AB17" s="9">
        <f>+SUMIFS('Gider Miktar'!AK:AK,'Gider Miktar'!$B:$B,'Emanet Miktar Dağılım'!$D17,'Gider Miktar'!$F:$F,1001)+SUMIFS('Gider Miktar'!AK:AK,'Gider Miktar'!$B:$B,'Emanet Miktar Dağılım'!$D17,'Gider Miktar'!$F:$F,1002)+SUMIFS('Gider Miktar'!AK:AK,'Gider Miktar'!$B:$B,'Emanet Miktar Dağılım'!$D17,'Gider Miktar'!$F:$F,1003)+SUMIFS('Gider Miktar'!AK:AK,'Gider Miktar'!$B:$B,'Emanet Miktar Dağılım'!$D17,'Gider Miktar'!$F:$F,1004)</f>
        <v>6804.728279298658</v>
      </c>
      <c r="AC17" s="9">
        <f>+SUMIFS('Gider Miktar'!AL:AL,'Gider Miktar'!$B:$B,'Emanet Miktar Dağılım'!$D17,'Gider Miktar'!$F:$F,1001)+SUMIFS('Gider Miktar'!AL:AL,'Gider Miktar'!$B:$B,'Emanet Miktar Dağılım'!$D17,'Gider Miktar'!$F:$F,1002)+SUMIFS('Gider Miktar'!AL:AL,'Gider Miktar'!$B:$B,'Emanet Miktar Dağılım'!$D17,'Gider Miktar'!$F:$F,1003)+SUMIFS('Gider Miktar'!AL:AL,'Gider Miktar'!$B:$B,'Emanet Miktar Dağılım'!$D17,'Gider Miktar'!$F:$F,1004)</f>
        <v>4348.3240330141562</v>
      </c>
      <c r="AD17" s="9">
        <f>+SUMIFS('Gider Miktar'!AM:AM,'Gider Miktar'!$B:$B,'Emanet Miktar Dağılım'!$D17,'Gider Miktar'!$F:$F,1001)+SUMIFS('Gider Miktar'!AM:AM,'Gider Miktar'!$B:$B,'Emanet Miktar Dağılım'!$D17,'Gider Miktar'!$F:$F,1002)+SUMIFS('Gider Miktar'!AM:AM,'Gider Miktar'!$B:$B,'Emanet Miktar Dağılım'!$D17,'Gider Miktar'!$F:$F,1003)+SUMIFS('Gider Miktar'!AM:AM,'Gider Miktar'!$B:$B,'Emanet Miktar Dağılım'!$D17,'Gider Miktar'!$F:$F,1004)</f>
        <v>3807.0824194260458</v>
      </c>
      <c r="AE17" s="9">
        <f>+SUMIFS('Gider Miktar'!AN:AN,'Gider Miktar'!$B:$B,'Emanet Miktar Dağılım'!$D17,'Gider Miktar'!$F:$F,1001)+SUMIFS('Gider Miktar'!AN:AN,'Gider Miktar'!$B:$B,'Emanet Miktar Dağılım'!$D17,'Gider Miktar'!$F:$F,1002)+SUMIFS('Gider Miktar'!AN:AN,'Gider Miktar'!$B:$B,'Emanet Miktar Dağılım'!$D17,'Gider Miktar'!$F:$F,1003)+SUMIFS('Gider Miktar'!AN:AN,'Gider Miktar'!$B:$B,'Emanet Miktar Dağılım'!$D17,'Gider Miktar'!$F:$F,1004)</f>
        <v>3807.0824194260458</v>
      </c>
      <c r="AF17" s="9">
        <f>+SUMIFS('Gider Miktar'!AO:AO,'Gider Miktar'!$B:$B,'Emanet Miktar Dağılım'!$D17,'Gider Miktar'!$F:$F,1001)+SUMIFS('Gider Miktar'!AO:AO,'Gider Miktar'!$B:$B,'Emanet Miktar Dağılım'!$D17,'Gider Miktar'!$F:$F,1002)+SUMIFS('Gider Miktar'!AO:AO,'Gider Miktar'!$B:$B,'Emanet Miktar Dağılım'!$D17,'Gider Miktar'!$F:$F,1003)+SUMIFS('Gider Miktar'!AO:AO,'Gider Miktar'!$B:$B,'Emanet Miktar Dağılım'!$D17,'Gider Miktar'!$F:$F,1004)</f>
        <v>3807.0824194260458</v>
      </c>
      <c r="AG17" s="9">
        <f>+SUMIFS('Gider Miktar'!AP:AP,'Gider Miktar'!$B:$B,'Emanet Miktar Dağılım'!$D17,'Gider Miktar'!$F:$F,1001)+SUMIFS('Gider Miktar'!AP:AP,'Gider Miktar'!$B:$B,'Emanet Miktar Dağılım'!$D17,'Gider Miktar'!$F:$F,1002)+SUMIFS('Gider Miktar'!AP:AP,'Gider Miktar'!$B:$B,'Emanet Miktar Dağılım'!$D17,'Gider Miktar'!$F:$F,1003)+SUMIFS('Gider Miktar'!AP:AP,'Gider Miktar'!$B:$B,'Emanet Miktar Dağılım'!$D17,'Gider Miktar'!$F:$F,1004)</f>
        <v>3807.0824194260458</v>
      </c>
      <c r="AH17" s="9">
        <f>+SUMIFS('Gider Miktar'!AQ:AQ,'Gider Miktar'!$B:$B,'Emanet Miktar Dağılım'!$D17,'Gider Miktar'!$F:$F,1001)+SUMIFS('Gider Miktar'!AQ:AQ,'Gider Miktar'!$B:$B,'Emanet Miktar Dağılım'!$D17,'Gider Miktar'!$F:$F,1002)+SUMIFS('Gider Miktar'!AQ:AQ,'Gider Miktar'!$B:$B,'Emanet Miktar Dağılım'!$D17,'Gider Miktar'!$F:$F,1003)+SUMIFS('Gider Miktar'!AQ:AQ,'Gider Miktar'!$B:$B,'Emanet Miktar Dağılım'!$D17,'Gider Miktar'!$F:$F,1004)</f>
        <v>2855.3118145695344</v>
      </c>
      <c r="AI17" s="9">
        <f>+SUMIFS('Gider Miktar'!AR:AR,'Gider Miktar'!$B:$B,'Emanet Miktar Dağılım'!$D17,'Gider Miktar'!$F:$F,1001)+SUMIFS('Gider Miktar'!AR:AR,'Gider Miktar'!$B:$B,'Emanet Miktar Dağılım'!$D17,'Gider Miktar'!$F:$F,1002)+SUMIFS('Gider Miktar'!AR:AR,'Gider Miktar'!$B:$B,'Emanet Miktar Dağılım'!$D17,'Gider Miktar'!$F:$F,1003)+SUMIFS('Gider Miktar'!AR:AR,'Gider Miktar'!$B:$B,'Emanet Miktar Dağılım'!$D17,'Gider Miktar'!$F:$F,1004)</f>
        <v>3374.4594172185402</v>
      </c>
      <c r="AJ17" s="9">
        <f>+SUMIFS('Gider Miktar'!AS:AS,'Gider Miktar'!$B:$B,'Emanet Miktar Dağılım'!$D17,'Gider Miktar'!$F:$F,1001)+SUMIFS('Gider Miktar'!AS:AS,'Gider Miktar'!$B:$B,'Emanet Miktar Dağılım'!$D17,'Gider Miktar'!$F:$F,1002)+SUMIFS('Gider Miktar'!AS:AS,'Gider Miktar'!$B:$B,'Emanet Miktar Dağılım'!$D17,'Gider Miktar'!$F:$F,1003)+SUMIFS('Gider Miktar'!AS:AS,'Gider Miktar'!$B:$B,'Emanet Miktar Dağılım'!$D17,'Gider Miktar'!$F:$F,1004)</f>
        <v>2076.5904105960312</v>
      </c>
      <c r="AK17" s="9">
        <f>+SUMIFS('Gider Miktar'!AT:AT,'Gider Miktar'!$B:$B,'Emanet Miktar Dağılım'!$D17,'Gider Miktar'!$F:$F,1001)+SUMIFS('Gider Miktar'!AT:AT,'Gider Miktar'!$B:$B,'Emanet Miktar Dağılım'!$D17,'Gider Miktar'!$F:$F,1002)+SUMIFS('Gider Miktar'!AT:AT,'Gider Miktar'!$B:$B,'Emanet Miktar Dağılım'!$D17,'Gider Miktar'!$F:$F,1003)+SUMIFS('Gider Miktar'!AT:AT,'Gider Miktar'!$B:$B,'Emanet Miktar Dağılım'!$D17,'Gider Miktar'!$F:$F,1004)</f>
        <v>1557.442807947016</v>
      </c>
      <c r="AL17" s="9">
        <f>+SUMIFS('Gider Miktar'!AU:AU,'Gider Miktar'!$B:$B,'Emanet Miktar Dağılım'!$D17,'Gider Miktar'!$F:$F,1001)+SUMIFS('Gider Miktar'!AU:AU,'Gider Miktar'!$B:$B,'Emanet Miktar Dağılım'!$D17,'Gider Miktar'!$F:$F,1002)+SUMIFS('Gider Miktar'!AU:AU,'Gider Miktar'!$B:$B,'Emanet Miktar Dağılım'!$D17,'Gider Miktar'!$F:$F,1003)+SUMIFS('Gider Miktar'!AU:AU,'Gider Miktar'!$B:$B,'Emanet Miktar Dağılım'!$D17,'Gider Miktar'!$F:$F,1004)</f>
        <v>2076.5904105960312</v>
      </c>
      <c r="AM17" s="9">
        <f>+SUMIFS('Gider Miktar'!AV:AV,'Gider Miktar'!$B:$B,'Emanet Miktar Dağılım'!$D17,'Gider Miktar'!$F:$F,1001)+SUMIFS('Gider Miktar'!AV:AV,'Gider Miktar'!$B:$B,'Emanet Miktar Dağılım'!$D17,'Gider Miktar'!$F:$F,1002)+SUMIFS('Gider Miktar'!AV:AV,'Gider Miktar'!$B:$B,'Emanet Miktar Dağılım'!$D17,'Gider Miktar'!$F:$F,1003)+SUMIFS('Gider Miktar'!AV:AV,'Gider Miktar'!$B:$B,'Emanet Miktar Dağılım'!$D17,'Gider Miktar'!$F:$F,1004)</f>
        <v>2076.5904105960312</v>
      </c>
      <c r="AN17" s="9">
        <f>+SUMIFS('Gider Miktar'!AW:AW,'Gider Miktar'!$B:$B,'Emanet Miktar Dağılım'!$D17,'Gider Miktar'!$F:$F,1001)+SUMIFS('Gider Miktar'!AW:AW,'Gider Miktar'!$B:$B,'Emanet Miktar Dağılım'!$D17,'Gider Miktar'!$F:$F,1002)+SUMIFS('Gider Miktar'!AW:AW,'Gider Miktar'!$B:$B,'Emanet Miktar Dağılım'!$D17,'Gider Miktar'!$F:$F,1003)+SUMIFS('Gider Miktar'!AW:AW,'Gider Miktar'!$B:$B,'Emanet Miktar Dağılım'!$D17,'Gider Miktar'!$F:$F,1004)</f>
        <v>2076.5904105960312</v>
      </c>
      <c r="AO17" s="9">
        <f>+SUMIFS('Gider Miktar'!AX:AX,'Gider Miktar'!$B:$B,'Emanet Miktar Dağılım'!$D17,'Gider Miktar'!$F:$F,1001)+SUMIFS('Gider Miktar'!AX:AX,'Gider Miktar'!$B:$B,'Emanet Miktar Dağılım'!$D17,'Gider Miktar'!$F:$F,1002)+SUMIFS('Gider Miktar'!AX:AX,'Gider Miktar'!$B:$B,'Emanet Miktar Dağılım'!$D17,'Gider Miktar'!$F:$F,1003)+SUMIFS('Gider Miktar'!AX:AX,'Gider Miktar'!$B:$B,'Emanet Miktar Dağılım'!$D17,'Gider Miktar'!$F:$F,1004)</f>
        <v>2076.5904105960312</v>
      </c>
      <c r="AP17" s="9">
        <f>+SUMIFS('Gider Miktar'!AY:AY,'Gider Miktar'!$B:$B,'Emanet Miktar Dağılım'!$D17,'Gider Miktar'!$F:$F,1001)+SUMIFS('Gider Miktar'!AY:AY,'Gider Miktar'!$B:$B,'Emanet Miktar Dağılım'!$D17,'Gider Miktar'!$F:$F,1002)+SUMIFS('Gider Miktar'!AY:AY,'Gider Miktar'!$B:$B,'Emanet Miktar Dağılım'!$D17,'Gider Miktar'!$F:$F,1003)+SUMIFS('Gider Miktar'!AY:AY,'Gider Miktar'!$B:$B,'Emanet Miktar Dağılım'!$D17,'Gider Miktar'!$F:$F,1004)</f>
        <v>1341.131306843263</v>
      </c>
      <c r="AQ17" s="9">
        <f>+SUMIFS('Gider Miktar'!AZ:AZ,'Gider Miktar'!$B:$B,'Emanet Miktar Dağılım'!$D17,'Gider Miktar'!$F:$F,1001)+SUMIFS('Gider Miktar'!AZ:AZ,'Gider Miktar'!$B:$B,'Emanet Miktar Dağılım'!$D17,'Gider Miktar'!$F:$F,1002)+SUMIFS('Gider Miktar'!AZ:AZ,'Gider Miktar'!$B:$B,'Emanet Miktar Dağılım'!$D17,'Gider Miktar'!$F:$F,1003)+SUMIFS('Gider Miktar'!AZ:AZ,'Gider Miktar'!$B:$B,'Emanet Miktar Dağılım'!$D17,'Gider Miktar'!$F:$F,1004)</f>
        <v>0</v>
      </c>
      <c r="AR17" s="9">
        <f>+SUMIFS('Gider Miktar'!BA:BA,'Gider Miktar'!$B:$B,'Emanet Miktar Dağılım'!$D17,'Gider Miktar'!$F:$F,1001)+SUMIFS('Gider Miktar'!BA:BA,'Gider Miktar'!$B:$B,'Emanet Miktar Dağılım'!$D17,'Gider Miktar'!$F:$F,1002)+SUMIFS('Gider Miktar'!BA:BA,'Gider Miktar'!$B:$B,'Emanet Miktar Dağılım'!$D17,'Gider Miktar'!$F:$F,1003)+SUMIFS('Gider Miktar'!BA:BA,'Gider Miktar'!$B:$B,'Emanet Miktar Dağılım'!$D17,'Gider Miktar'!$F:$F,1004)</f>
        <v>0</v>
      </c>
      <c r="AS17" s="9">
        <f>+SUMIFS('Gider Miktar'!BB:BB,'Gider Miktar'!$B:$B,'Emanet Miktar Dağılım'!$D17,'Gider Miktar'!$F:$F,1001)+SUMIFS('Gider Miktar'!BB:BB,'Gider Miktar'!$B:$B,'Emanet Miktar Dağılım'!$D17,'Gider Miktar'!$F:$F,1002)+SUMIFS('Gider Miktar'!BB:BB,'Gider Miktar'!$B:$B,'Emanet Miktar Dağılım'!$D17,'Gider Miktar'!$F:$F,1003)+SUMIFS('Gider Miktar'!BB:BB,'Gider Miktar'!$B:$B,'Emanet Miktar Dağılım'!$D17,'Gider Miktar'!$F:$F,1004)</f>
        <v>0</v>
      </c>
      <c r="AT17" s="9">
        <f>+SUMIFS('Gider Miktar'!BC:BC,'Gider Miktar'!$B:$B,'Emanet Miktar Dağılım'!$D17,'Gider Miktar'!$F:$F,1001)+SUMIFS('Gider Miktar'!BC:BC,'Gider Miktar'!$B:$B,'Emanet Miktar Dağılım'!$D17,'Gider Miktar'!$F:$F,1002)+SUMIFS('Gider Miktar'!BC:BC,'Gider Miktar'!$B:$B,'Emanet Miktar Dağılım'!$D17,'Gider Miktar'!$F:$F,1003)+SUMIFS('Gider Miktar'!BC:BC,'Gider Miktar'!$B:$B,'Emanet Miktar Dağılım'!$D17,'Gider Miktar'!$F:$F,1004)</f>
        <v>0</v>
      </c>
      <c r="AU17" s="9">
        <f>+SUMIFS('Gider Miktar'!BD:BD,'Gider Miktar'!$B:$B,'Emanet Miktar Dağılım'!$D17,'Gider Miktar'!$F:$F,1001)+SUMIFS('Gider Miktar'!BD:BD,'Gider Miktar'!$B:$B,'Emanet Miktar Dağılım'!$D17,'Gider Miktar'!$F:$F,1002)+SUMIFS('Gider Miktar'!BD:BD,'Gider Miktar'!$B:$B,'Emanet Miktar Dağılım'!$D17,'Gider Miktar'!$F:$F,1003)+SUMIFS('Gider Miktar'!BD:BD,'Gider Miktar'!$B:$B,'Emanet Miktar Dağılım'!$D17,'Gider Miktar'!$F:$F,1004)</f>
        <v>0</v>
      </c>
      <c r="AV17" s="9">
        <f>+SUMIFS('Gider Miktar'!BE:BE,'Gider Miktar'!$B:$B,'Emanet Miktar Dağılım'!$D17,'Gider Miktar'!$F:$F,1001)+SUMIFS('Gider Miktar'!BE:BE,'Gider Miktar'!$B:$B,'Emanet Miktar Dağılım'!$D17,'Gider Miktar'!$F:$F,1002)+SUMIFS('Gider Miktar'!BE:BE,'Gider Miktar'!$B:$B,'Emanet Miktar Dağılım'!$D17,'Gider Miktar'!$F:$F,1003)+SUMIFS('Gider Miktar'!BE:BE,'Gider Miktar'!$B:$B,'Emanet Miktar Dağılım'!$D17,'Gider Miktar'!$F:$F,1004)</f>
        <v>0</v>
      </c>
      <c r="AW17" s="9">
        <f>+SUMIFS('Gider Miktar'!BF:BF,'Gider Miktar'!$B:$B,'Emanet Miktar Dağılım'!$D17,'Gider Miktar'!$F:$F,1001)+SUMIFS('Gider Miktar'!BF:BF,'Gider Miktar'!$B:$B,'Emanet Miktar Dağılım'!$D17,'Gider Miktar'!$F:$F,1002)+SUMIFS('Gider Miktar'!BF:BF,'Gider Miktar'!$B:$B,'Emanet Miktar Dağılım'!$D17,'Gider Miktar'!$F:$F,1003)+SUMIFS('Gider Miktar'!BF:BF,'Gider Miktar'!$B:$B,'Emanet Miktar Dağılım'!$D17,'Gider Miktar'!$F:$F,1004)</f>
        <v>0</v>
      </c>
      <c r="AX17" s="9">
        <f>+SUMIFS('Gider Miktar'!BG:BG,'Gider Miktar'!$B:$B,'Emanet Miktar Dağılım'!$D17,'Gider Miktar'!$F:$F,1001)+SUMIFS('Gider Miktar'!BG:BG,'Gider Miktar'!$B:$B,'Emanet Miktar Dağılım'!$D17,'Gider Miktar'!$F:$F,1002)+SUMIFS('Gider Miktar'!BG:BG,'Gider Miktar'!$B:$B,'Emanet Miktar Dağılım'!$D17,'Gider Miktar'!$F:$F,1003)+SUMIFS('Gider Miktar'!BG:BG,'Gider Miktar'!$B:$B,'Emanet Miktar Dağılım'!$D17,'Gider Miktar'!$F:$F,1004)</f>
        <v>0</v>
      </c>
      <c r="AY17" s="9">
        <f>+SUMIFS('Gider Miktar'!BH:BH,'Gider Miktar'!$B:$B,'Emanet Miktar Dağılım'!$D17,'Gider Miktar'!$F:$F,1001)+SUMIFS('Gider Miktar'!BH:BH,'Gider Miktar'!$B:$B,'Emanet Miktar Dağılım'!$D17,'Gider Miktar'!$F:$F,1002)+SUMIFS('Gider Miktar'!BH:BH,'Gider Miktar'!$B:$B,'Emanet Miktar Dağılım'!$D17,'Gider Miktar'!$F:$F,1003)+SUMIFS('Gider Miktar'!BH:BH,'Gider Miktar'!$B:$B,'Emanet Miktar Dağılım'!$D17,'Gider Miktar'!$F:$F,1004)</f>
        <v>0</v>
      </c>
      <c r="AZ17" s="9">
        <f>+SUMIFS('Gider Miktar'!BI:BI,'Gider Miktar'!$B:$B,'Emanet Miktar Dağılım'!$D17,'Gider Miktar'!$F:$F,1001)+SUMIFS('Gider Miktar'!BI:BI,'Gider Miktar'!$B:$B,'Emanet Miktar Dağılım'!$D17,'Gider Miktar'!$F:$F,1002)+SUMIFS('Gider Miktar'!BI:BI,'Gider Miktar'!$B:$B,'Emanet Miktar Dağılım'!$D17,'Gider Miktar'!$F:$F,1003)+SUMIFS('Gider Miktar'!BI:BI,'Gider Miktar'!$B:$B,'Emanet Miktar Dağılım'!$D17,'Gider Miktar'!$F:$F,1004)</f>
        <v>0</v>
      </c>
      <c r="BA17" s="9">
        <f>+SUMIFS('Gider Miktar'!BJ:BJ,'Gider Miktar'!$B:$B,'Emanet Miktar Dağılım'!$D17,'Gider Miktar'!$F:$F,1001)+SUMIFS('Gider Miktar'!BJ:BJ,'Gider Miktar'!$B:$B,'Emanet Miktar Dağılım'!$D17,'Gider Miktar'!$F:$F,1002)+SUMIFS('Gider Miktar'!BJ:BJ,'Gider Miktar'!$B:$B,'Emanet Miktar Dağılım'!$D17,'Gider Miktar'!$F:$F,1003)+SUMIFS('Gider Miktar'!BJ:BJ,'Gider Miktar'!$B:$B,'Emanet Miktar Dağılım'!$D17,'Gider Miktar'!$F:$F,1004)</f>
        <v>0</v>
      </c>
      <c r="BB17" s="9">
        <f>+SUMIFS('Gider Miktar'!BK:BK,'Gider Miktar'!$B:$B,'Emanet Miktar Dağılım'!$D17,'Gider Miktar'!$F:$F,1001)+SUMIFS('Gider Miktar'!BK:BK,'Gider Miktar'!$B:$B,'Emanet Miktar Dağılım'!$D17,'Gider Miktar'!$F:$F,1002)+SUMIFS('Gider Miktar'!BK:BK,'Gider Miktar'!$B:$B,'Emanet Miktar Dağılım'!$D17,'Gider Miktar'!$F:$F,1003)+SUMIFS('Gider Miktar'!BK:BK,'Gider Miktar'!$B:$B,'Emanet Miktar Dağılım'!$D17,'Gider Miktar'!$F:$F,1004)</f>
        <v>0</v>
      </c>
      <c r="BC17" s="9">
        <f>+SUMIFS('Gider Miktar'!BL:BL,'Gider Miktar'!$B:$B,'Emanet Miktar Dağılım'!$D17,'Gider Miktar'!$F:$F,1001)+SUMIFS('Gider Miktar'!BL:BL,'Gider Miktar'!$B:$B,'Emanet Miktar Dağılım'!$D17,'Gider Miktar'!$F:$F,1002)+SUMIFS('Gider Miktar'!BL:BL,'Gider Miktar'!$B:$B,'Emanet Miktar Dağılım'!$D17,'Gider Miktar'!$F:$F,1003)+SUMIFS('Gider Miktar'!BL:BL,'Gider Miktar'!$B:$B,'Emanet Miktar Dağılım'!$D17,'Gider Miktar'!$F:$F,1004)</f>
        <v>0</v>
      </c>
      <c r="BD17" s="9">
        <f>+SUMIFS('Gider Miktar'!BM:BM,'Gider Miktar'!$B:$B,'Emanet Miktar Dağılım'!$D17,'Gider Miktar'!$F:$F,1001)+SUMIFS('Gider Miktar'!BM:BM,'Gider Miktar'!$B:$B,'Emanet Miktar Dağılım'!$D17,'Gider Miktar'!$F:$F,1002)+SUMIFS('Gider Miktar'!BM:BM,'Gider Miktar'!$B:$B,'Emanet Miktar Dağılım'!$D17,'Gider Miktar'!$F:$F,1003)+SUMIFS('Gider Miktar'!BM:BM,'Gider Miktar'!$B:$B,'Emanet Miktar Dağılım'!$D17,'Gider Miktar'!$F:$F,1004)</f>
        <v>0</v>
      </c>
      <c r="BE17" s="9">
        <f>+SUMIFS('Gider Miktar'!BN:BN,'Gider Miktar'!$B:$B,'Emanet Miktar Dağılım'!$D17,'Gider Miktar'!$F:$F,1001)+SUMIFS('Gider Miktar'!BN:BN,'Gider Miktar'!$B:$B,'Emanet Miktar Dağılım'!$D17,'Gider Miktar'!$F:$F,1002)+SUMIFS('Gider Miktar'!BN:BN,'Gider Miktar'!$B:$B,'Emanet Miktar Dağılım'!$D17,'Gider Miktar'!$F:$F,1003)+SUMIFS('Gider Miktar'!BN:BN,'Gider Miktar'!$B:$B,'Emanet Miktar Dağılım'!$D17,'Gider Miktar'!$F:$F,1004)</f>
        <v>0</v>
      </c>
      <c r="BF17" s="9">
        <f>+SUMIFS('Gider Miktar'!BO:BO,'Gider Miktar'!$B:$B,'Emanet Miktar Dağılım'!$D17,'Gider Miktar'!$F:$F,1001)+SUMIFS('Gider Miktar'!BO:BO,'Gider Miktar'!$B:$B,'Emanet Miktar Dağılım'!$D17,'Gider Miktar'!$F:$F,1002)+SUMIFS('Gider Miktar'!BO:BO,'Gider Miktar'!$B:$B,'Emanet Miktar Dağılım'!$D17,'Gider Miktar'!$F:$F,1003)+SUMIFS('Gider Miktar'!BO:BO,'Gider Miktar'!$B:$B,'Emanet Miktar Dağılım'!$D17,'Gider Miktar'!$F:$F,1004)</f>
        <v>0</v>
      </c>
      <c r="BG17" s="9">
        <f>+SUMIFS('Gider Miktar'!BP:BP,'Gider Miktar'!$B:$B,'Emanet Miktar Dağılım'!$D17,'Gider Miktar'!$F:$F,1001)+SUMIFS('Gider Miktar'!BP:BP,'Gider Miktar'!$B:$B,'Emanet Miktar Dağılım'!$D17,'Gider Miktar'!$F:$F,1002)+SUMIFS('Gider Miktar'!BP:BP,'Gider Miktar'!$B:$B,'Emanet Miktar Dağılım'!$D17,'Gider Miktar'!$F:$F,1003)+SUMIFS('Gider Miktar'!BP:BP,'Gider Miktar'!$B:$B,'Emanet Miktar Dağılım'!$D17,'Gider Miktar'!$F:$F,1004)</f>
        <v>0</v>
      </c>
      <c r="BH17" s="9">
        <f>+SUMIFS('Gider Miktar'!BQ:BQ,'Gider Miktar'!$B:$B,'Emanet Miktar Dağılım'!$D17,'Gider Miktar'!$F:$F,1001)+SUMIFS('Gider Miktar'!BQ:BQ,'Gider Miktar'!$B:$B,'Emanet Miktar Dağılım'!$D17,'Gider Miktar'!$F:$F,1002)+SUMIFS('Gider Miktar'!BQ:BQ,'Gider Miktar'!$B:$B,'Emanet Miktar Dağılım'!$D17,'Gider Miktar'!$F:$F,1003)+SUMIFS('Gider Miktar'!BQ:BQ,'Gider Miktar'!$B:$B,'Emanet Miktar Dağılım'!$D17,'Gider Miktar'!$F:$F,1004)</f>
        <v>0</v>
      </c>
      <c r="BI17" s="9">
        <f>+SUMIFS('Gider Miktar'!BR:BR,'Gider Miktar'!$B:$B,'Emanet Miktar Dağılım'!$D17,'Gider Miktar'!$F:$F,1001)+SUMIFS('Gider Miktar'!BR:BR,'Gider Miktar'!$B:$B,'Emanet Miktar Dağılım'!$D17,'Gider Miktar'!$F:$F,1002)+SUMIFS('Gider Miktar'!BR:BR,'Gider Miktar'!$B:$B,'Emanet Miktar Dağılım'!$D17,'Gider Miktar'!$F:$F,1003)+SUMIFS('Gider Miktar'!BR:BR,'Gider Miktar'!$B:$B,'Emanet Miktar Dağılım'!$D17,'Gider Miktar'!$F:$F,1004)</f>
        <v>0</v>
      </c>
      <c r="BJ17" s="9">
        <f>+SUMIFS('Gider Miktar'!BS:BS,'Gider Miktar'!$B:$B,'Emanet Miktar Dağılım'!$D17,'Gider Miktar'!$F:$F,1001)+SUMIFS('Gider Miktar'!BS:BS,'Gider Miktar'!$B:$B,'Emanet Miktar Dağılım'!$D17,'Gider Miktar'!$F:$F,1002)+SUMIFS('Gider Miktar'!BS:BS,'Gider Miktar'!$B:$B,'Emanet Miktar Dağılım'!$D17,'Gider Miktar'!$F:$F,1003)+SUMIFS('Gider Miktar'!BS:BS,'Gider Miktar'!$B:$B,'Emanet Miktar Dağılım'!$D17,'Gider Miktar'!$F:$F,1004)</f>
        <v>0</v>
      </c>
      <c r="BK17" s="9">
        <f>+SUMIFS('Gider Miktar'!BT:BT,'Gider Miktar'!$B:$B,'Emanet Miktar Dağılım'!$D17,'Gider Miktar'!$F:$F,1001)+SUMIFS('Gider Miktar'!BT:BT,'Gider Miktar'!$B:$B,'Emanet Miktar Dağılım'!$D17,'Gider Miktar'!$F:$F,1002)+SUMIFS('Gider Miktar'!BT:BT,'Gider Miktar'!$B:$B,'Emanet Miktar Dağılım'!$D17,'Gider Miktar'!$F:$F,1003)+SUMIFS('Gider Miktar'!BT:BT,'Gider Miktar'!$B:$B,'Emanet Miktar Dağılım'!$D17,'Gider Miktar'!$F:$F,1004)</f>
        <v>0</v>
      </c>
      <c r="BL17" s="9">
        <f>+SUMIFS('Gider Miktar'!BU:BU,'Gider Miktar'!$B:$B,'Emanet Miktar Dağılım'!$D17,'Gider Miktar'!$F:$F,1001)+SUMIFS('Gider Miktar'!BU:BU,'Gider Miktar'!$B:$B,'Emanet Miktar Dağılım'!$D17,'Gider Miktar'!$F:$F,1002)+SUMIFS('Gider Miktar'!BU:BU,'Gider Miktar'!$B:$B,'Emanet Miktar Dağılım'!$D17,'Gider Miktar'!$F:$F,1003)+SUMIFS('Gider Miktar'!BU:BU,'Gider Miktar'!$B:$B,'Emanet Miktar Dağılım'!$D17,'Gider Miktar'!$F:$F,1004)</f>
        <v>0</v>
      </c>
      <c r="BM17" s="9">
        <f>+SUMIFS('Gider Miktar'!BV:BV,'Gider Miktar'!$B:$B,'Emanet Miktar Dağılım'!$D17,'Gider Miktar'!$F:$F,1001)+SUMIFS('Gider Miktar'!BV:BV,'Gider Miktar'!$B:$B,'Emanet Miktar Dağılım'!$D17,'Gider Miktar'!$F:$F,1002)+SUMIFS('Gider Miktar'!BV:BV,'Gider Miktar'!$B:$B,'Emanet Miktar Dağılım'!$D17,'Gider Miktar'!$F:$F,1003)+SUMIFS('Gider Miktar'!BV:BV,'Gider Miktar'!$B:$B,'Emanet Miktar Dağılım'!$D17,'Gider Miktar'!$F:$F,1004)</f>
        <v>0</v>
      </c>
      <c r="BN17" s="9">
        <f>+SUMIFS('Gider Miktar'!BW:BW,'Gider Miktar'!$B:$B,'Emanet Miktar Dağılım'!$D17,'Gider Miktar'!$F:$F,1001)+SUMIFS('Gider Miktar'!BW:BW,'Gider Miktar'!$B:$B,'Emanet Miktar Dağılım'!$D17,'Gider Miktar'!$F:$F,1002)+SUMIFS('Gider Miktar'!BW:BW,'Gider Miktar'!$B:$B,'Emanet Miktar Dağılım'!$D17,'Gider Miktar'!$F:$F,1003)+SUMIFS('Gider Miktar'!BW:BW,'Gider Miktar'!$B:$B,'Emanet Miktar Dağılım'!$D17,'Gider Miktar'!$F:$F,1004)</f>
        <v>0</v>
      </c>
      <c r="BO17" s="9">
        <f>+SUMIFS('Gider Miktar'!BX:BX,'Gider Miktar'!$B:$B,'Emanet Miktar Dağılım'!$D17,'Gider Miktar'!$F:$F,1001)+SUMIFS('Gider Miktar'!BX:BX,'Gider Miktar'!$B:$B,'Emanet Miktar Dağılım'!$D17,'Gider Miktar'!$F:$F,1002)+SUMIFS('Gider Miktar'!BX:BX,'Gider Miktar'!$B:$B,'Emanet Miktar Dağılım'!$D17,'Gider Miktar'!$F:$F,1003)+SUMIFS('Gider Miktar'!BX:BX,'Gider Miktar'!$B:$B,'Emanet Miktar Dağılım'!$D17,'Gider Miktar'!$F:$F,1004)</f>
        <v>0</v>
      </c>
    </row>
    <row r="18" spans="2:67">
      <c r="D18" t="s">
        <v>20</v>
      </c>
      <c r="E18" s="9">
        <f>+SUMIFS('Gider Miktar'!N:N,'Gider Miktar'!$B:$B,'Emanet Miktar Dağılım'!$D18,'Gider Miktar'!$F:$F,1001)+SUMIFS('Gider Miktar'!N:N,'Gider Miktar'!$B:$B,'Emanet Miktar Dağılım'!$D18,'Gider Miktar'!$F:$F,1002)+SUMIFS('Gider Miktar'!N:N,'Gider Miktar'!$B:$B,'Emanet Miktar Dağılım'!$D18,'Gider Miktar'!$F:$F,1003)+SUMIFS('Gider Miktar'!N:N,'Gider Miktar'!$B:$B,'Emanet Miktar Dağılım'!$D18,'Gider Miktar'!$F:$F,1004)</f>
        <v>0</v>
      </c>
      <c r="F18" s="9">
        <f>+SUMIFS('Gider Miktar'!O:O,'Gider Miktar'!$B:$B,'Emanet Miktar Dağılım'!$D18,'Gider Miktar'!$F:$F,1001)+SUMIFS('Gider Miktar'!O:O,'Gider Miktar'!$B:$B,'Emanet Miktar Dağılım'!$D18,'Gider Miktar'!$F:$F,1002)+SUMIFS('Gider Miktar'!O:O,'Gider Miktar'!$B:$B,'Emanet Miktar Dağılım'!$D18,'Gider Miktar'!$F:$F,1003)+SUMIFS('Gider Miktar'!O:O,'Gider Miktar'!$B:$B,'Emanet Miktar Dağılım'!$D18,'Gider Miktar'!$F:$F,1004)</f>
        <v>0</v>
      </c>
      <c r="G18" s="9">
        <f>+SUMIFS('Gider Miktar'!P:P,'Gider Miktar'!$B:$B,'Emanet Miktar Dağılım'!$D18,'Gider Miktar'!$F:$F,1001)+SUMIFS('Gider Miktar'!P:P,'Gider Miktar'!$B:$B,'Emanet Miktar Dağılım'!$D18,'Gider Miktar'!$F:$F,1002)+SUMIFS('Gider Miktar'!P:P,'Gider Miktar'!$B:$B,'Emanet Miktar Dağılım'!$D18,'Gider Miktar'!$F:$F,1003)+SUMIFS('Gider Miktar'!P:P,'Gider Miktar'!$B:$B,'Emanet Miktar Dağılım'!$D18,'Gider Miktar'!$F:$F,1004)</f>
        <v>0</v>
      </c>
      <c r="H18" s="9">
        <f>+SUMIFS('Gider Miktar'!Q:Q,'Gider Miktar'!$B:$B,'Emanet Miktar Dağılım'!$D18,'Gider Miktar'!$F:$F,1001)+SUMIFS('Gider Miktar'!Q:Q,'Gider Miktar'!$B:$B,'Emanet Miktar Dağılım'!$D18,'Gider Miktar'!$F:$F,1002)+SUMIFS('Gider Miktar'!Q:Q,'Gider Miktar'!$B:$B,'Emanet Miktar Dağılım'!$D18,'Gider Miktar'!$F:$F,1003)+SUMIFS('Gider Miktar'!Q:Q,'Gider Miktar'!$B:$B,'Emanet Miktar Dağılım'!$D18,'Gider Miktar'!$F:$F,1004)</f>
        <v>0</v>
      </c>
      <c r="I18" s="9">
        <f>+SUMIFS('Gider Miktar'!R:R,'Gider Miktar'!$B:$B,'Emanet Miktar Dağılım'!$D18,'Gider Miktar'!$F:$F,1001)+SUMIFS('Gider Miktar'!R:R,'Gider Miktar'!$B:$B,'Emanet Miktar Dağılım'!$D18,'Gider Miktar'!$F:$F,1002)+SUMIFS('Gider Miktar'!R:R,'Gider Miktar'!$B:$B,'Emanet Miktar Dağılım'!$D18,'Gider Miktar'!$F:$F,1003)+SUMIFS('Gider Miktar'!R:R,'Gider Miktar'!$B:$B,'Emanet Miktar Dağılım'!$D18,'Gider Miktar'!$F:$F,1004)</f>
        <v>0</v>
      </c>
      <c r="J18" s="9">
        <f>+SUMIFS('Gider Miktar'!S:S,'Gider Miktar'!$B:$B,'Emanet Miktar Dağılım'!$D18,'Gider Miktar'!$F:$F,1001)+SUMIFS('Gider Miktar'!S:S,'Gider Miktar'!$B:$B,'Emanet Miktar Dağılım'!$D18,'Gider Miktar'!$F:$F,1002)+SUMIFS('Gider Miktar'!S:S,'Gider Miktar'!$B:$B,'Emanet Miktar Dağılım'!$D18,'Gider Miktar'!$F:$F,1003)+SUMIFS('Gider Miktar'!S:S,'Gider Miktar'!$B:$B,'Emanet Miktar Dağılım'!$D18,'Gider Miktar'!$F:$F,1004)</f>
        <v>41.09</v>
      </c>
      <c r="K18" s="9">
        <f>+SUMIFS('Gider Miktar'!T:T,'Gider Miktar'!$B:$B,'Emanet Miktar Dağılım'!$D18,'Gider Miktar'!$F:$F,1001)+SUMIFS('Gider Miktar'!T:T,'Gider Miktar'!$B:$B,'Emanet Miktar Dağılım'!$D18,'Gider Miktar'!$F:$F,1002)+SUMIFS('Gider Miktar'!T:T,'Gider Miktar'!$B:$B,'Emanet Miktar Dağılım'!$D18,'Gider Miktar'!$F:$F,1003)+SUMIFS('Gider Miktar'!T:T,'Gider Miktar'!$B:$B,'Emanet Miktar Dağılım'!$D18,'Gider Miktar'!$F:$F,1004)</f>
        <v>27.872999999999998</v>
      </c>
      <c r="L18" s="9">
        <f>+SUMIFS('Gider Miktar'!U:U,'Gider Miktar'!$B:$B,'Emanet Miktar Dağılım'!$D18,'Gider Miktar'!$F:$F,1001)+SUMIFS('Gider Miktar'!U:U,'Gider Miktar'!$B:$B,'Emanet Miktar Dağılım'!$D18,'Gider Miktar'!$F:$F,1002)+SUMIFS('Gider Miktar'!U:U,'Gider Miktar'!$B:$B,'Emanet Miktar Dağılım'!$D18,'Gider Miktar'!$F:$F,1003)+SUMIFS('Gider Miktar'!U:U,'Gider Miktar'!$B:$B,'Emanet Miktar Dağılım'!$D18,'Gider Miktar'!$F:$F,1004)</f>
        <v>125.32845646666664</v>
      </c>
      <c r="M18" s="9">
        <f>+SUMIFS('Gider Miktar'!V:V,'Gider Miktar'!$B:$B,'Emanet Miktar Dağılım'!$D18,'Gider Miktar'!$F:$F,1001)+SUMIFS('Gider Miktar'!V:V,'Gider Miktar'!$B:$B,'Emanet Miktar Dağılım'!$D18,'Gider Miktar'!$F:$F,1002)+SUMIFS('Gider Miktar'!V:V,'Gider Miktar'!$B:$B,'Emanet Miktar Dağılım'!$D18,'Gider Miktar'!$F:$F,1003)+SUMIFS('Gider Miktar'!V:V,'Gider Miktar'!$B:$B,'Emanet Miktar Dağılım'!$D18,'Gider Miktar'!$F:$F,1004)</f>
        <v>250.31045953333341</v>
      </c>
      <c r="N18" s="11">
        <f>+SUMIFS('Gider Miktar'!W:W,'Gider Miktar'!$B:$B,'Emanet Miktar Dağılım'!$D18,'Gider Miktar'!$F:$F,1001)+SUMIFS('Gider Miktar'!W:W,'Gider Miktar'!$B:$B,'Emanet Miktar Dağılım'!$D18,'Gider Miktar'!$F:$F,1002)+SUMIFS('Gider Miktar'!W:W,'Gider Miktar'!$B:$B,'Emanet Miktar Dağılım'!$D18,'Gider Miktar'!$F:$F,1003)+SUMIFS('Gider Miktar'!W:W,'Gider Miktar'!$B:$B,'Emanet Miktar Dağılım'!$D18,'Gider Miktar'!$F:$F,1004)</f>
        <v>12.075298999999998</v>
      </c>
      <c r="O18" s="9">
        <f>+SUMIFS('Gider Miktar'!X:X,'Gider Miktar'!$B:$B,'Emanet Miktar Dağılım'!$D18,'Gider Miktar'!$F:$F,1001)+SUMIFS('Gider Miktar'!X:X,'Gider Miktar'!$B:$B,'Emanet Miktar Dağılım'!$D18,'Gider Miktar'!$F:$F,1002)+SUMIFS('Gider Miktar'!X:X,'Gider Miktar'!$B:$B,'Emanet Miktar Dağılım'!$D18,'Gider Miktar'!$F:$F,1003)+SUMIFS('Gider Miktar'!X:X,'Gider Miktar'!$B:$B,'Emanet Miktar Dağılım'!$D18,'Gider Miktar'!$F:$F,1004)</f>
        <v>326.71633409241741</v>
      </c>
      <c r="P18" s="9">
        <f>+SUMIFS('Gider Miktar'!Y:Y,'Gider Miktar'!$B:$B,'Emanet Miktar Dağılım'!$D18,'Gider Miktar'!$F:$F,1001)+SUMIFS('Gider Miktar'!Y:Y,'Gider Miktar'!$B:$B,'Emanet Miktar Dağılım'!$D18,'Gider Miktar'!$F:$F,1002)+SUMIFS('Gider Miktar'!Y:Y,'Gider Miktar'!$B:$B,'Emanet Miktar Dağılım'!$D18,'Gider Miktar'!$F:$F,1003)+SUMIFS('Gider Miktar'!Y:Y,'Gider Miktar'!$B:$B,'Emanet Miktar Dağılım'!$D18,'Gider Miktar'!$F:$F,1004)</f>
        <v>398.94841636022312</v>
      </c>
      <c r="Q18" s="9">
        <f>+SUMIFS('Gider Miktar'!Z:Z,'Gider Miktar'!$B:$B,'Emanet Miktar Dağılım'!$D18,'Gider Miktar'!$F:$F,1001)+SUMIFS('Gider Miktar'!Z:Z,'Gider Miktar'!$B:$B,'Emanet Miktar Dağılım'!$D18,'Gider Miktar'!$F:$F,1002)+SUMIFS('Gider Miktar'!Z:Z,'Gider Miktar'!$B:$B,'Emanet Miktar Dağılım'!$D18,'Gider Miktar'!$F:$F,1003)+SUMIFS('Gider Miktar'!Z:Z,'Gider Miktar'!$B:$B,'Emanet Miktar Dağılım'!$D18,'Gider Miktar'!$F:$F,1004)</f>
        <v>310.68845520518585</v>
      </c>
      <c r="R18" s="9">
        <f>+SUMIFS('Gider Miktar'!AA:AA,'Gider Miktar'!$B:$B,'Emanet Miktar Dağılım'!$D18,'Gider Miktar'!$F:$F,1001)+SUMIFS('Gider Miktar'!AA:AA,'Gider Miktar'!$B:$B,'Emanet Miktar Dağılım'!$D18,'Gider Miktar'!$F:$F,1002)+SUMIFS('Gider Miktar'!AA:AA,'Gider Miktar'!$B:$B,'Emanet Miktar Dağılım'!$D18,'Gider Miktar'!$F:$F,1003)+SUMIFS('Gider Miktar'!AA:AA,'Gider Miktar'!$B:$B,'Emanet Miktar Dağılım'!$D18,'Gider Miktar'!$F:$F,1004)</f>
        <v>251.08379821180836</v>
      </c>
      <c r="S18" s="9">
        <f>+SUMIFS('Gider Miktar'!AB:AB,'Gider Miktar'!$B:$B,'Emanet Miktar Dağılım'!$D18,'Gider Miktar'!$F:$F,1001)+SUMIFS('Gider Miktar'!AB:AB,'Gider Miktar'!$B:$B,'Emanet Miktar Dağılım'!$D18,'Gider Miktar'!$F:$F,1002)+SUMIFS('Gider Miktar'!AB:AB,'Gider Miktar'!$B:$B,'Emanet Miktar Dağılım'!$D18,'Gider Miktar'!$F:$F,1003)+SUMIFS('Gider Miktar'!AB:AB,'Gider Miktar'!$B:$B,'Emanet Miktar Dağılım'!$D18,'Gider Miktar'!$F:$F,1004)</f>
        <v>263.72286461019974</v>
      </c>
      <c r="T18" s="9">
        <f>+SUMIFS('Gider Miktar'!AC:AC,'Gider Miktar'!$B:$B,'Emanet Miktar Dağılım'!$D18,'Gider Miktar'!$F:$F,1001)+SUMIFS('Gider Miktar'!AC:AC,'Gider Miktar'!$B:$B,'Emanet Miktar Dağılım'!$D18,'Gider Miktar'!$F:$F,1002)+SUMIFS('Gider Miktar'!AC:AC,'Gider Miktar'!$B:$B,'Emanet Miktar Dağılım'!$D18,'Gider Miktar'!$F:$F,1003)+SUMIFS('Gider Miktar'!AC:AC,'Gider Miktar'!$B:$B,'Emanet Miktar Dağılım'!$D18,'Gider Miktar'!$F:$F,1004)</f>
        <v>272.95511949620305</v>
      </c>
      <c r="U18" s="9">
        <f>+SUMIFS('Gider Miktar'!AD:AD,'Gider Miktar'!$B:$B,'Emanet Miktar Dağılım'!$D18,'Gider Miktar'!$F:$F,1001)+SUMIFS('Gider Miktar'!AD:AD,'Gider Miktar'!$B:$B,'Emanet Miktar Dağılım'!$D18,'Gider Miktar'!$F:$F,1002)+SUMIFS('Gider Miktar'!AD:AD,'Gider Miktar'!$B:$B,'Emanet Miktar Dağılım'!$D18,'Gider Miktar'!$F:$F,1003)+SUMIFS('Gider Miktar'!AD:AD,'Gider Miktar'!$B:$B,'Emanet Miktar Dağılım'!$D18,'Gider Miktar'!$F:$F,1004)</f>
        <v>253.42201688050898</v>
      </c>
      <c r="V18" s="9">
        <f>+SUMIFS('Gider Miktar'!AE:AE,'Gider Miktar'!$B:$B,'Emanet Miktar Dağılım'!$D18,'Gider Miktar'!$F:$F,1001)+SUMIFS('Gider Miktar'!AE:AE,'Gider Miktar'!$B:$B,'Emanet Miktar Dağılım'!$D18,'Gider Miktar'!$F:$F,1002)+SUMIFS('Gider Miktar'!AE:AE,'Gider Miktar'!$B:$B,'Emanet Miktar Dağılım'!$D18,'Gider Miktar'!$F:$F,1003)+SUMIFS('Gider Miktar'!AE:AE,'Gider Miktar'!$B:$B,'Emanet Miktar Dağılım'!$D18,'Gider Miktar'!$F:$F,1004)</f>
        <v>275.24428864271698</v>
      </c>
      <c r="W18" s="9">
        <f>+SUMIFS('Gider Miktar'!AF:AF,'Gider Miktar'!$B:$B,'Emanet Miktar Dağılım'!$D18,'Gider Miktar'!$F:$F,1001)+SUMIFS('Gider Miktar'!AF:AF,'Gider Miktar'!$B:$B,'Emanet Miktar Dağılım'!$D18,'Gider Miktar'!$F:$F,1002)+SUMIFS('Gider Miktar'!AF:AF,'Gider Miktar'!$B:$B,'Emanet Miktar Dağılım'!$D18,'Gider Miktar'!$F:$F,1003)+SUMIFS('Gider Miktar'!AF:AF,'Gider Miktar'!$B:$B,'Emanet Miktar Dağılım'!$D18,'Gider Miktar'!$F:$F,1004)</f>
        <v>195.47765925651896</v>
      </c>
      <c r="X18" s="9">
        <f>+SUMIFS('Gider Miktar'!AG:AG,'Gider Miktar'!$B:$B,'Emanet Miktar Dağılım'!$D18,'Gider Miktar'!$F:$F,1001)+SUMIFS('Gider Miktar'!AG:AG,'Gider Miktar'!$B:$B,'Emanet Miktar Dağılım'!$D18,'Gider Miktar'!$F:$F,1002)+SUMIFS('Gider Miktar'!AG:AG,'Gider Miktar'!$B:$B,'Emanet Miktar Dağılım'!$D18,'Gider Miktar'!$F:$F,1003)+SUMIFS('Gider Miktar'!AG:AG,'Gider Miktar'!$B:$B,'Emanet Miktar Dağılım'!$D18,'Gider Miktar'!$F:$F,1004)</f>
        <v>129.801347479816</v>
      </c>
      <c r="Y18" s="9">
        <f>+SUMIFS('Gider Miktar'!AH:AH,'Gider Miktar'!$B:$B,'Emanet Miktar Dağılım'!$D18,'Gider Miktar'!$F:$F,1001)+SUMIFS('Gider Miktar'!AH:AH,'Gider Miktar'!$B:$B,'Emanet Miktar Dağılım'!$D18,'Gider Miktar'!$F:$F,1002)+SUMIFS('Gider Miktar'!AH:AH,'Gider Miktar'!$B:$B,'Emanet Miktar Dağılım'!$D18,'Gider Miktar'!$F:$F,1003)+SUMIFS('Gider Miktar'!AH:AH,'Gider Miktar'!$B:$B,'Emanet Miktar Dağılım'!$D18,'Gider Miktar'!$F:$F,1004)</f>
        <v>133.90331581156056</v>
      </c>
      <c r="Z18" s="9">
        <f>+SUMIFS('Gider Miktar'!AI:AI,'Gider Miktar'!$B:$B,'Emanet Miktar Dağılım'!$D18,'Gider Miktar'!$F:$F,1001)+SUMIFS('Gider Miktar'!AI:AI,'Gider Miktar'!$B:$B,'Emanet Miktar Dağılım'!$D18,'Gider Miktar'!$F:$F,1002)+SUMIFS('Gider Miktar'!AI:AI,'Gider Miktar'!$B:$B,'Emanet Miktar Dağılım'!$D18,'Gider Miktar'!$F:$F,1003)+SUMIFS('Gider Miktar'!AI:AI,'Gider Miktar'!$B:$B,'Emanet Miktar Dağılım'!$D18,'Gider Miktar'!$F:$F,1004)</f>
        <v>151.62361924202412</v>
      </c>
      <c r="AA18" s="9">
        <f>+SUMIFS('Gider Miktar'!AJ:AJ,'Gider Miktar'!$B:$B,'Emanet Miktar Dağılım'!$D18,'Gider Miktar'!$F:$F,1001)+SUMIFS('Gider Miktar'!AJ:AJ,'Gider Miktar'!$B:$B,'Emanet Miktar Dağılım'!$D18,'Gider Miktar'!$F:$F,1002)+SUMIFS('Gider Miktar'!AJ:AJ,'Gider Miktar'!$B:$B,'Emanet Miktar Dağılım'!$D18,'Gider Miktar'!$F:$F,1003)+SUMIFS('Gider Miktar'!AJ:AJ,'Gider Miktar'!$B:$B,'Emanet Miktar Dağılım'!$D18,'Gider Miktar'!$F:$F,1004)</f>
        <v>149.44139206580331</v>
      </c>
      <c r="AB18" s="9">
        <f>+SUMIFS('Gider Miktar'!AK:AK,'Gider Miktar'!$B:$B,'Emanet Miktar Dağılım'!$D18,'Gider Miktar'!$F:$F,1001)+SUMIFS('Gider Miktar'!AK:AK,'Gider Miktar'!$B:$B,'Emanet Miktar Dağılım'!$D18,'Gider Miktar'!$F:$F,1002)+SUMIFS('Gider Miktar'!AK:AK,'Gider Miktar'!$B:$B,'Emanet Miktar Dağılım'!$D18,'Gider Miktar'!$F:$F,1003)+SUMIFS('Gider Miktar'!AK:AK,'Gider Miktar'!$B:$B,'Emanet Miktar Dağılım'!$D18,'Gider Miktar'!$F:$F,1004)</f>
        <v>149.44139206580331</v>
      </c>
      <c r="AC18" s="9">
        <f>+SUMIFS('Gider Miktar'!AL:AL,'Gider Miktar'!$B:$B,'Emanet Miktar Dağılım'!$D18,'Gider Miktar'!$F:$F,1001)+SUMIFS('Gider Miktar'!AL:AL,'Gider Miktar'!$B:$B,'Emanet Miktar Dağılım'!$D18,'Gider Miktar'!$F:$F,1002)+SUMIFS('Gider Miktar'!AL:AL,'Gider Miktar'!$B:$B,'Emanet Miktar Dağılım'!$D18,'Gider Miktar'!$F:$F,1003)+SUMIFS('Gider Miktar'!AL:AL,'Gider Miktar'!$B:$B,'Emanet Miktar Dağılım'!$D18,'Gider Miktar'!$F:$F,1004)</f>
        <v>85.065690367289491</v>
      </c>
      <c r="AD18" s="9">
        <f>+SUMIFS('Gider Miktar'!AM:AM,'Gider Miktar'!$B:$B,'Emanet Miktar Dağılım'!$D18,'Gider Miktar'!$F:$F,1001)+SUMIFS('Gider Miktar'!AM:AM,'Gider Miktar'!$B:$B,'Emanet Miktar Dağılım'!$D18,'Gider Miktar'!$F:$F,1002)+SUMIFS('Gider Miktar'!AM:AM,'Gider Miktar'!$B:$B,'Emanet Miktar Dağılım'!$D18,'Gider Miktar'!$F:$F,1003)+SUMIFS('Gider Miktar'!AM:AM,'Gider Miktar'!$B:$B,'Emanet Miktar Dağılım'!$D18,'Gider Miktar'!$F:$F,1004)</f>
        <v>70.881213721854252</v>
      </c>
      <c r="AE18" s="9">
        <f>+SUMIFS('Gider Miktar'!AN:AN,'Gider Miktar'!$B:$B,'Emanet Miktar Dağılım'!$D18,'Gider Miktar'!$F:$F,1001)+SUMIFS('Gider Miktar'!AN:AN,'Gider Miktar'!$B:$B,'Emanet Miktar Dağılım'!$D18,'Gider Miktar'!$F:$F,1002)+SUMIFS('Gider Miktar'!AN:AN,'Gider Miktar'!$B:$B,'Emanet Miktar Dağılım'!$D18,'Gider Miktar'!$F:$F,1003)+SUMIFS('Gider Miktar'!AN:AN,'Gider Miktar'!$B:$B,'Emanet Miktar Dağılım'!$D18,'Gider Miktar'!$F:$F,1004)</f>
        <v>70.881213721854252</v>
      </c>
      <c r="AF18" s="9">
        <f>+SUMIFS('Gider Miktar'!AO:AO,'Gider Miktar'!$B:$B,'Emanet Miktar Dağılım'!$D18,'Gider Miktar'!$F:$F,1001)+SUMIFS('Gider Miktar'!AO:AO,'Gider Miktar'!$B:$B,'Emanet Miktar Dağılım'!$D18,'Gider Miktar'!$F:$F,1002)+SUMIFS('Gider Miktar'!AO:AO,'Gider Miktar'!$B:$B,'Emanet Miktar Dağılım'!$D18,'Gider Miktar'!$F:$F,1003)+SUMIFS('Gider Miktar'!AO:AO,'Gider Miktar'!$B:$B,'Emanet Miktar Dağılım'!$D18,'Gider Miktar'!$F:$F,1004)</f>
        <v>70.881213721854252</v>
      </c>
      <c r="AG18" s="9">
        <f>+SUMIFS('Gider Miktar'!AP:AP,'Gider Miktar'!$B:$B,'Emanet Miktar Dağılım'!$D18,'Gider Miktar'!$F:$F,1001)+SUMIFS('Gider Miktar'!AP:AP,'Gider Miktar'!$B:$B,'Emanet Miktar Dağılım'!$D18,'Gider Miktar'!$F:$F,1002)+SUMIFS('Gider Miktar'!AP:AP,'Gider Miktar'!$B:$B,'Emanet Miktar Dağılım'!$D18,'Gider Miktar'!$F:$F,1003)+SUMIFS('Gider Miktar'!AP:AP,'Gider Miktar'!$B:$B,'Emanet Miktar Dağılım'!$D18,'Gider Miktar'!$F:$F,1004)</f>
        <v>70.881213721854252</v>
      </c>
      <c r="AH18" s="9">
        <f>+SUMIFS('Gider Miktar'!AQ:AQ,'Gider Miktar'!$B:$B,'Emanet Miktar Dağılım'!$D18,'Gider Miktar'!$F:$F,1001)+SUMIFS('Gider Miktar'!AQ:AQ,'Gider Miktar'!$B:$B,'Emanet Miktar Dağılım'!$D18,'Gider Miktar'!$F:$F,1002)+SUMIFS('Gider Miktar'!AQ:AQ,'Gider Miktar'!$B:$B,'Emanet Miktar Dağılım'!$D18,'Gider Miktar'!$F:$F,1003)+SUMIFS('Gider Miktar'!AQ:AQ,'Gider Miktar'!$B:$B,'Emanet Miktar Dağılım'!$D18,'Gider Miktar'!$F:$F,1004)</f>
        <v>53.160910291390692</v>
      </c>
      <c r="AI18" s="9">
        <f>+SUMIFS('Gider Miktar'!AR:AR,'Gider Miktar'!$B:$B,'Emanet Miktar Dağılım'!$D18,'Gider Miktar'!$F:$F,1001)+SUMIFS('Gider Miktar'!AR:AR,'Gider Miktar'!$B:$B,'Emanet Miktar Dağılım'!$D18,'Gider Miktar'!$F:$F,1002)+SUMIFS('Gider Miktar'!AR:AR,'Gider Miktar'!$B:$B,'Emanet Miktar Dağılım'!$D18,'Gider Miktar'!$F:$F,1003)+SUMIFS('Gider Miktar'!AR:AR,'Gider Miktar'!$B:$B,'Emanet Miktar Dağılım'!$D18,'Gider Miktar'!$F:$F,1004)</f>
        <v>62.826530344370802</v>
      </c>
      <c r="AJ18" s="9">
        <f>+SUMIFS('Gider Miktar'!AS:AS,'Gider Miktar'!$B:$B,'Emanet Miktar Dağılım'!$D18,'Gider Miktar'!$F:$F,1001)+SUMIFS('Gider Miktar'!AS:AS,'Gider Miktar'!$B:$B,'Emanet Miktar Dağılım'!$D18,'Gider Miktar'!$F:$F,1002)+SUMIFS('Gider Miktar'!AS:AS,'Gider Miktar'!$B:$B,'Emanet Miktar Dağılım'!$D18,'Gider Miktar'!$F:$F,1003)+SUMIFS('Gider Miktar'!AS:AS,'Gider Miktar'!$B:$B,'Emanet Miktar Dağılım'!$D18,'Gider Miktar'!$F:$F,1004)</f>
        <v>38.662480211920617</v>
      </c>
      <c r="AK18" s="9">
        <f>+SUMIFS('Gider Miktar'!AT:AT,'Gider Miktar'!$B:$B,'Emanet Miktar Dağılım'!$D18,'Gider Miktar'!$F:$F,1001)+SUMIFS('Gider Miktar'!AT:AT,'Gider Miktar'!$B:$B,'Emanet Miktar Dağılım'!$D18,'Gider Miktar'!$F:$F,1002)+SUMIFS('Gider Miktar'!AT:AT,'Gider Miktar'!$B:$B,'Emanet Miktar Dağılım'!$D18,'Gider Miktar'!$F:$F,1003)+SUMIFS('Gider Miktar'!AT:AT,'Gider Miktar'!$B:$B,'Emanet Miktar Dağılım'!$D18,'Gider Miktar'!$F:$F,1004)</f>
        <v>28.996860158940326</v>
      </c>
      <c r="AL18" s="9">
        <f>+SUMIFS('Gider Miktar'!AU:AU,'Gider Miktar'!$B:$B,'Emanet Miktar Dağılım'!$D18,'Gider Miktar'!$F:$F,1001)+SUMIFS('Gider Miktar'!AU:AU,'Gider Miktar'!$B:$B,'Emanet Miktar Dağılım'!$D18,'Gider Miktar'!$F:$F,1002)+SUMIFS('Gider Miktar'!AU:AU,'Gider Miktar'!$B:$B,'Emanet Miktar Dağılım'!$D18,'Gider Miktar'!$F:$F,1003)+SUMIFS('Gider Miktar'!AU:AU,'Gider Miktar'!$B:$B,'Emanet Miktar Dağılım'!$D18,'Gider Miktar'!$F:$F,1004)</f>
        <v>38.662480211920617</v>
      </c>
      <c r="AM18" s="9">
        <f>+SUMIFS('Gider Miktar'!AV:AV,'Gider Miktar'!$B:$B,'Emanet Miktar Dağılım'!$D18,'Gider Miktar'!$F:$F,1001)+SUMIFS('Gider Miktar'!AV:AV,'Gider Miktar'!$B:$B,'Emanet Miktar Dağılım'!$D18,'Gider Miktar'!$F:$F,1002)+SUMIFS('Gider Miktar'!AV:AV,'Gider Miktar'!$B:$B,'Emanet Miktar Dağılım'!$D18,'Gider Miktar'!$F:$F,1003)+SUMIFS('Gider Miktar'!AV:AV,'Gider Miktar'!$B:$B,'Emanet Miktar Dağılım'!$D18,'Gider Miktar'!$F:$F,1004)</f>
        <v>38.662480211920617</v>
      </c>
      <c r="AN18" s="9">
        <f>+SUMIFS('Gider Miktar'!AW:AW,'Gider Miktar'!$B:$B,'Emanet Miktar Dağılım'!$D18,'Gider Miktar'!$F:$F,1001)+SUMIFS('Gider Miktar'!AW:AW,'Gider Miktar'!$B:$B,'Emanet Miktar Dağılım'!$D18,'Gider Miktar'!$F:$F,1002)+SUMIFS('Gider Miktar'!AW:AW,'Gider Miktar'!$B:$B,'Emanet Miktar Dağılım'!$D18,'Gider Miktar'!$F:$F,1003)+SUMIFS('Gider Miktar'!AW:AW,'Gider Miktar'!$B:$B,'Emanet Miktar Dağılım'!$D18,'Gider Miktar'!$F:$F,1004)</f>
        <v>38.662480211920617</v>
      </c>
      <c r="AO18" s="9">
        <f>+SUMIFS('Gider Miktar'!AX:AX,'Gider Miktar'!$B:$B,'Emanet Miktar Dağılım'!$D18,'Gider Miktar'!$F:$F,1001)+SUMIFS('Gider Miktar'!AX:AX,'Gider Miktar'!$B:$B,'Emanet Miktar Dağılım'!$D18,'Gider Miktar'!$F:$F,1002)+SUMIFS('Gider Miktar'!AX:AX,'Gider Miktar'!$B:$B,'Emanet Miktar Dağılım'!$D18,'Gider Miktar'!$F:$F,1003)+SUMIFS('Gider Miktar'!AX:AX,'Gider Miktar'!$B:$B,'Emanet Miktar Dağılım'!$D18,'Gider Miktar'!$F:$F,1004)</f>
        <v>38.662480211920617</v>
      </c>
      <c r="AP18" s="9">
        <f>+SUMIFS('Gider Miktar'!AY:AY,'Gider Miktar'!$B:$B,'Emanet Miktar Dağılım'!$D18,'Gider Miktar'!$F:$F,1001)+SUMIFS('Gider Miktar'!AY:AY,'Gider Miktar'!$B:$B,'Emanet Miktar Dağılım'!$D18,'Gider Miktar'!$F:$F,1002)+SUMIFS('Gider Miktar'!AY:AY,'Gider Miktar'!$B:$B,'Emanet Miktar Dağılım'!$D18,'Gider Miktar'!$F:$F,1003)+SUMIFS('Gider Miktar'!AY:AY,'Gider Miktar'!$B:$B,'Emanet Miktar Dağılım'!$D18,'Gider Miktar'!$F:$F,1004)</f>
        <v>24.969518470198601</v>
      </c>
      <c r="AQ18" s="9">
        <f>+SUMIFS('Gider Miktar'!AZ:AZ,'Gider Miktar'!$B:$B,'Emanet Miktar Dağılım'!$D18,'Gider Miktar'!$F:$F,1001)+SUMIFS('Gider Miktar'!AZ:AZ,'Gider Miktar'!$B:$B,'Emanet Miktar Dağılım'!$D18,'Gider Miktar'!$F:$F,1002)+SUMIFS('Gider Miktar'!AZ:AZ,'Gider Miktar'!$B:$B,'Emanet Miktar Dağılım'!$D18,'Gider Miktar'!$F:$F,1003)+SUMIFS('Gider Miktar'!AZ:AZ,'Gider Miktar'!$B:$B,'Emanet Miktar Dağılım'!$D18,'Gider Miktar'!$F:$F,1004)</f>
        <v>0</v>
      </c>
      <c r="AR18" s="9">
        <f>+SUMIFS('Gider Miktar'!BA:BA,'Gider Miktar'!$B:$B,'Emanet Miktar Dağılım'!$D18,'Gider Miktar'!$F:$F,1001)+SUMIFS('Gider Miktar'!BA:BA,'Gider Miktar'!$B:$B,'Emanet Miktar Dağılım'!$D18,'Gider Miktar'!$F:$F,1002)+SUMIFS('Gider Miktar'!BA:BA,'Gider Miktar'!$B:$B,'Emanet Miktar Dağılım'!$D18,'Gider Miktar'!$F:$F,1003)+SUMIFS('Gider Miktar'!BA:BA,'Gider Miktar'!$B:$B,'Emanet Miktar Dağılım'!$D18,'Gider Miktar'!$F:$F,1004)</f>
        <v>0</v>
      </c>
      <c r="AS18" s="9">
        <f>+SUMIFS('Gider Miktar'!BB:BB,'Gider Miktar'!$B:$B,'Emanet Miktar Dağılım'!$D18,'Gider Miktar'!$F:$F,1001)+SUMIFS('Gider Miktar'!BB:BB,'Gider Miktar'!$B:$B,'Emanet Miktar Dağılım'!$D18,'Gider Miktar'!$F:$F,1002)+SUMIFS('Gider Miktar'!BB:BB,'Gider Miktar'!$B:$B,'Emanet Miktar Dağılım'!$D18,'Gider Miktar'!$F:$F,1003)+SUMIFS('Gider Miktar'!BB:BB,'Gider Miktar'!$B:$B,'Emanet Miktar Dağılım'!$D18,'Gider Miktar'!$F:$F,1004)</f>
        <v>0</v>
      </c>
      <c r="AT18" s="9">
        <f>+SUMIFS('Gider Miktar'!BC:BC,'Gider Miktar'!$B:$B,'Emanet Miktar Dağılım'!$D18,'Gider Miktar'!$F:$F,1001)+SUMIFS('Gider Miktar'!BC:BC,'Gider Miktar'!$B:$B,'Emanet Miktar Dağılım'!$D18,'Gider Miktar'!$F:$F,1002)+SUMIFS('Gider Miktar'!BC:BC,'Gider Miktar'!$B:$B,'Emanet Miktar Dağılım'!$D18,'Gider Miktar'!$F:$F,1003)+SUMIFS('Gider Miktar'!BC:BC,'Gider Miktar'!$B:$B,'Emanet Miktar Dağılım'!$D18,'Gider Miktar'!$F:$F,1004)</f>
        <v>0</v>
      </c>
      <c r="AU18" s="9">
        <f>+SUMIFS('Gider Miktar'!BD:BD,'Gider Miktar'!$B:$B,'Emanet Miktar Dağılım'!$D18,'Gider Miktar'!$F:$F,1001)+SUMIFS('Gider Miktar'!BD:BD,'Gider Miktar'!$B:$B,'Emanet Miktar Dağılım'!$D18,'Gider Miktar'!$F:$F,1002)+SUMIFS('Gider Miktar'!BD:BD,'Gider Miktar'!$B:$B,'Emanet Miktar Dağılım'!$D18,'Gider Miktar'!$F:$F,1003)+SUMIFS('Gider Miktar'!BD:BD,'Gider Miktar'!$B:$B,'Emanet Miktar Dağılım'!$D18,'Gider Miktar'!$F:$F,1004)</f>
        <v>0</v>
      </c>
      <c r="AV18" s="9">
        <f>+SUMIFS('Gider Miktar'!BE:BE,'Gider Miktar'!$B:$B,'Emanet Miktar Dağılım'!$D18,'Gider Miktar'!$F:$F,1001)+SUMIFS('Gider Miktar'!BE:BE,'Gider Miktar'!$B:$B,'Emanet Miktar Dağılım'!$D18,'Gider Miktar'!$F:$F,1002)+SUMIFS('Gider Miktar'!BE:BE,'Gider Miktar'!$B:$B,'Emanet Miktar Dağılım'!$D18,'Gider Miktar'!$F:$F,1003)+SUMIFS('Gider Miktar'!BE:BE,'Gider Miktar'!$B:$B,'Emanet Miktar Dağılım'!$D18,'Gider Miktar'!$F:$F,1004)</f>
        <v>0</v>
      </c>
      <c r="AW18" s="9">
        <f>+SUMIFS('Gider Miktar'!BF:BF,'Gider Miktar'!$B:$B,'Emanet Miktar Dağılım'!$D18,'Gider Miktar'!$F:$F,1001)+SUMIFS('Gider Miktar'!BF:BF,'Gider Miktar'!$B:$B,'Emanet Miktar Dağılım'!$D18,'Gider Miktar'!$F:$F,1002)+SUMIFS('Gider Miktar'!BF:BF,'Gider Miktar'!$B:$B,'Emanet Miktar Dağılım'!$D18,'Gider Miktar'!$F:$F,1003)+SUMIFS('Gider Miktar'!BF:BF,'Gider Miktar'!$B:$B,'Emanet Miktar Dağılım'!$D18,'Gider Miktar'!$F:$F,1004)</f>
        <v>0</v>
      </c>
      <c r="AX18" s="9">
        <f>+SUMIFS('Gider Miktar'!BG:BG,'Gider Miktar'!$B:$B,'Emanet Miktar Dağılım'!$D18,'Gider Miktar'!$F:$F,1001)+SUMIFS('Gider Miktar'!BG:BG,'Gider Miktar'!$B:$B,'Emanet Miktar Dağılım'!$D18,'Gider Miktar'!$F:$F,1002)+SUMIFS('Gider Miktar'!BG:BG,'Gider Miktar'!$B:$B,'Emanet Miktar Dağılım'!$D18,'Gider Miktar'!$F:$F,1003)+SUMIFS('Gider Miktar'!BG:BG,'Gider Miktar'!$B:$B,'Emanet Miktar Dağılım'!$D18,'Gider Miktar'!$F:$F,1004)</f>
        <v>0</v>
      </c>
      <c r="AY18" s="9">
        <f>+SUMIFS('Gider Miktar'!BH:BH,'Gider Miktar'!$B:$B,'Emanet Miktar Dağılım'!$D18,'Gider Miktar'!$F:$F,1001)+SUMIFS('Gider Miktar'!BH:BH,'Gider Miktar'!$B:$B,'Emanet Miktar Dağılım'!$D18,'Gider Miktar'!$F:$F,1002)+SUMIFS('Gider Miktar'!BH:BH,'Gider Miktar'!$B:$B,'Emanet Miktar Dağılım'!$D18,'Gider Miktar'!$F:$F,1003)+SUMIFS('Gider Miktar'!BH:BH,'Gider Miktar'!$B:$B,'Emanet Miktar Dağılım'!$D18,'Gider Miktar'!$F:$F,1004)</f>
        <v>0</v>
      </c>
      <c r="AZ18" s="9">
        <f>+SUMIFS('Gider Miktar'!BI:BI,'Gider Miktar'!$B:$B,'Emanet Miktar Dağılım'!$D18,'Gider Miktar'!$F:$F,1001)+SUMIFS('Gider Miktar'!BI:BI,'Gider Miktar'!$B:$B,'Emanet Miktar Dağılım'!$D18,'Gider Miktar'!$F:$F,1002)+SUMIFS('Gider Miktar'!BI:BI,'Gider Miktar'!$B:$B,'Emanet Miktar Dağılım'!$D18,'Gider Miktar'!$F:$F,1003)+SUMIFS('Gider Miktar'!BI:BI,'Gider Miktar'!$B:$B,'Emanet Miktar Dağılım'!$D18,'Gider Miktar'!$F:$F,1004)</f>
        <v>0</v>
      </c>
      <c r="BA18" s="9">
        <f>+SUMIFS('Gider Miktar'!BJ:BJ,'Gider Miktar'!$B:$B,'Emanet Miktar Dağılım'!$D18,'Gider Miktar'!$F:$F,1001)+SUMIFS('Gider Miktar'!BJ:BJ,'Gider Miktar'!$B:$B,'Emanet Miktar Dağılım'!$D18,'Gider Miktar'!$F:$F,1002)+SUMIFS('Gider Miktar'!BJ:BJ,'Gider Miktar'!$B:$B,'Emanet Miktar Dağılım'!$D18,'Gider Miktar'!$F:$F,1003)+SUMIFS('Gider Miktar'!BJ:BJ,'Gider Miktar'!$B:$B,'Emanet Miktar Dağılım'!$D18,'Gider Miktar'!$F:$F,1004)</f>
        <v>0</v>
      </c>
      <c r="BB18" s="9">
        <f>+SUMIFS('Gider Miktar'!BK:BK,'Gider Miktar'!$B:$B,'Emanet Miktar Dağılım'!$D18,'Gider Miktar'!$F:$F,1001)+SUMIFS('Gider Miktar'!BK:BK,'Gider Miktar'!$B:$B,'Emanet Miktar Dağılım'!$D18,'Gider Miktar'!$F:$F,1002)+SUMIFS('Gider Miktar'!BK:BK,'Gider Miktar'!$B:$B,'Emanet Miktar Dağılım'!$D18,'Gider Miktar'!$F:$F,1003)+SUMIFS('Gider Miktar'!BK:BK,'Gider Miktar'!$B:$B,'Emanet Miktar Dağılım'!$D18,'Gider Miktar'!$F:$F,1004)</f>
        <v>0</v>
      </c>
      <c r="BC18" s="9">
        <f>+SUMIFS('Gider Miktar'!BL:BL,'Gider Miktar'!$B:$B,'Emanet Miktar Dağılım'!$D18,'Gider Miktar'!$F:$F,1001)+SUMIFS('Gider Miktar'!BL:BL,'Gider Miktar'!$B:$B,'Emanet Miktar Dağılım'!$D18,'Gider Miktar'!$F:$F,1002)+SUMIFS('Gider Miktar'!BL:BL,'Gider Miktar'!$B:$B,'Emanet Miktar Dağılım'!$D18,'Gider Miktar'!$F:$F,1003)+SUMIFS('Gider Miktar'!BL:BL,'Gider Miktar'!$B:$B,'Emanet Miktar Dağılım'!$D18,'Gider Miktar'!$F:$F,1004)</f>
        <v>0</v>
      </c>
      <c r="BD18" s="9">
        <f>+SUMIFS('Gider Miktar'!BM:BM,'Gider Miktar'!$B:$B,'Emanet Miktar Dağılım'!$D18,'Gider Miktar'!$F:$F,1001)+SUMIFS('Gider Miktar'!BM:BM,'Gider Miktar'!$B:$B,'Emanet Miktar Dağılım'!$D18,'Gider Miktar'!$F:$F,1002)+SUMIFS('Gider Miktar'!BM:BM,'Gider Miktar'!$B:$B,'Emanet Miktar Dağılım'!$D18,'Gider Miktar'!$F:$F,1003)+SUMIFS('Gider Miktar'!BM:BM,'Gider Miktar'!$B:$B,'Emanet Miktar Dağılım'!$D18,'Gider Miktar'!$F:$F,1004)</f>
        <v>0</v>
      </c>
      <c r="BE18" s="9">
        <f>+SUMIFS('Gider Miktar'!BN:BN,'Gider Miktar'!$B:$B,'Emanet Miktar Dağılım'!$D18,'Gider Miktar'!$F:$F,1001)+SUMIFS('Gider Miktar'!BN:BN,'Gider Miktar'!$B:$B,'Emanet Miktar Dağılım'!$D18,'Gider Miktar'!$F:$F,1002)+SUMIFS('Gider Miktar'!BN:BN,'Gider Miktar'!$B:$B,'Emanet Miktar Dağılım'!$D18,'Gider Miktar'!$F:$F,1003)+SUMIFS('Gider Miktar'!BN:BN,'Gider Miktar'!$B:$B,'Emanet Miktar Dağılım'!$D18,'Gider Miktar'!$F:$F,1004)</f>
        <v>0</v>
      </c>
      <c r="BF18" s="9">
        <f>+SUMIFS('Gider Miktar'!BO:BO,'Gider Miktar'!$B:$B,'Emanet Miktar Dağılım'!$D18,'Gider Miktar'!$F:$F,1001)+SUMIFS('Gider Miktar'!BO:BO,'Gider Miktar'!$B:$B,'Emanet Miktar Dağılım'!$D18,'Gider Miktar'!$F:$F,1002)+SUMIFS('Gider Miktar'!BO:BO,'Gider Miktar'!$B:$B,'Emanet Miktar Dağılım'!$D18,'Gider Miktar'!$F:$F,1003)+SUMIFS('Gider Miktar'!BO:BO,'Gider Miktar'!$B:$B,'Emanet Miktar Dağılım'!$D18,'Gider Miktar'!$F:$F,1004)</f>
        <v>0</v>
      </c>
      <c r="BG18" s="9">
        <f>+SUMIFS('Gider Miktar'!BP:BP,'Gider Miktar'!$B:$B,'Emanet Miktar Dağılım'!$D18,'Gider Miktar'!$F:$F,1001)+SUMIFS('Gider Miktar'!BP:BP,'Gider Miktar'!$B:$B,'Emanet Miktar Dağılım'!$D18,'Gider Miktar'!$F:$F,1002)+SUMIFS('Gider Miktar'!BP:BP,'Gider Miktar'!$B:$B,'Emanet Miktar Dağılım'!$D18,'Gider Miktar'!$F:$F,1003)+SUMIFS('Gider Miktar'!BP:BP,'Gider Miktar'!$B:$B,'Emanet Miktar Dağılım'!$D18,'Gider Miktar'!$F:$F,1004)</f>
        <v>0</v>
      </c>
      <c r="BH18" s="9">
        <f>+SUMIFS('Gider Miktar'!BQ:BQ,'Gider Miktar'!$B:$B,'Emanet Miktar Dağılım'!$D18,'Gider Miktar'!$F:$F,1001)+SUMIFS('Gider Miktar'!BQ:BQ,'Gider Miktar'!$B:$B,'Emanet Miktar Dağılım'!$D18,'Gider Miktar'!$F:$F,1002)+SUMIFS('Gider Miktar'!BQ:BQ,'Gider Miktar'!$B:$B,'Emanet Miktar Dağılım'!$D18,'Gider Miktar'!$F:$F,1003)+SUMIFS('Gider Miktar'!BQ:BQ,'Gider Miktar'!$B:$B,'Emanet Miktar Dağılım'!$D18,'Gider Miktar'!$F:$F,1004)</f>
        <v>0</v>
      </c>
      <c r="BI18" s="9">
        <f>+SUMIFS('Gider Miktar'!BR:BR,'Gider Miktar'!$B:$B,'Emanet Miktar Dağılım'!$D18,'Gider Miktar'!$F:$F,1001)+SUMIFS('Gider Miktar'!BR:BR,'Gider Miktar'!$B:$B,'Emanet Miktar Dağılım'!$D18,'Gider Miktar'!$F:$F,1002)+SUMIFS('Gider Miktar'!BR:BR,'Gider Miktar'!$B:$B,'Emanet Miktar Dağılım'!$D18,'Gider Miktar'!$F:$F,1003)+SUMIFS('Gider Miktar'!BR:BR,'Gider Miktar'!$B:$B,'Emanet Miktar Dağılım'!$D18,'Gider Miktar'!$F:$F,1004)</f>
        <v>0</v>
      </c>
      <c r="BJ18" s="9">
        <f>+SUMIFS('Gider Miktar'!BS:BS,'Gider Miktar'!$B:$B,'Emanet Miktar Dağılım'!$D18,'Gider Miktar'!$F:$F,1001)+SUMIFS('Gider Miktar'!BS:BS,'Gider Miktar'!$B:$B,'Emanet Miktar Dağılım'!$D18,'Gider Miktar'!$F:$F,1002)+SUMIFS('Gider Miktar'!BS:BS,'Gider Miktar'!$B:$B,'Emanet Miktar Dağılım'!$D18,'Gider Miktar'!$F:$F,1003)+SUMIFS('Gider Miktar'!BS:BS,'Gider Miktar'!$B:$B,'Emanet Miktar Dağılım'!$D18,'Gider Miktar'!$F:$F,1004)</f>
        <v>0</v>
      </c>
      <c r="BK18" s="9">
        <f>+SUMIFS('Gider Miktar'!BT:BT,'Gider Miktar'!$B:$B,'Emanet Miktar Dağılım'!$D18,'Gider Miktar'!$F:$F,1001)+SUMIFS('Gider Miktar'!BT:BT,'Gider Miktar'!$B:$B,'Emanet Miktar Dağılım'!$D18,'Gider Miktar'!$F:$F,1002)+SUMIFS('Gider Miktar'!BT:BT,'Gider Miktar'!$B:$B,'Emanet Miktar Dağılım'!$D18,'Gider Miktar'!$F:$F,1003)+SUMIFS('Gider Miktar'!BT:BT,'Gider Miktar'!$B:$B,'Emanet Miktar Dağılım'!$D18,'Gider Miktar'!$F:$F,1004)</f>
        <v>0</v>
      </c>
      <c r="BL18" s="9">
        <f>+SUMIFS('Gider Miktar'!BU:BU,'Gider Miktar'!$B:$B,'Emanet Miktar Dağılım'!$D18,'Gider Miktar'!$F:$F,1001)+SUMIFS('Gider Miktar'!BU:BU,'Gider Miktar'!$B:$B,'Emanet Miktar Dağılım'!$D18,'Gider Miktar'!$F:$F,1002)+SUMIFS('Gider Miktar'!BU:BU,'Gider Miktar'!$B:$B,'Emanet Miktar Dağılım'!$D18,'Gider Miktar'!$F:$F,1003)+SUMIFS('Gider Miktar'!BU:BU,'Gider Miktar'!$B:$B,'Emanet Miktar Dağılım'!$D18,'Gider Miktar'!$F:$F,1004)</f>
        <v>0</v>
      </c>
      <c r="BM18" s="9">
        <f>+SUMIFS('Gider Miktar'!BV:BV,'Gider Miktar'!$B:$B,'Emanet Miktar Dağılım'!$D18,'Gider Miktar'!$F:$F,1001)+SUMIFS('Gider Miktar'!BV:BV,'Gider Miktar'!$B:$B,'Emanet Miktar Dağılım'!$D18,'Gider Miktar'!$F:$F,1002)+SUMIFS('Gider Miktar'!BV:BV,'Gider Miktar'!$B:$B,'Emanet Miktar Dağılım'!$D18,'Gider Miktar'!$F:$F,1003)+SUMIFS('Gider Miktar'!BV:BV,'Gider Miktar'!$B:$B,'Emanet Miktar Dağılım'!$D18,'Gider Miktar'!$F:$F,1004)</f>
        <v>0</v>
      </c>
      <c r="BN18" s="9">
        <f>+SUMIFS('Gider Miktar'!BW:BW,'Gider Miktar'!$B:$B,'Emanet Miktar Dağılım'!$D18,'Gider Miktar'!$F:$F,1001)+SUMIFS('Gider Miktar'!BW:BW,'Gider Miktar'!$B:$B,'Emanet Miktar Dağılım'!$D18,'Gider Miktar'!$F:$F,1002)+SUMIFS('Gider Miktar'!BW:BW,'Gider Miktar'!$B:$B,'Emanet Miktar Dağılım'!$D18,'Gider Miktar'!$F:$F,1003)+SUMIFS('Gider Miktar'!BW:BW,'Gider Miktar'!$B:$B,'Emanet Miktar Dağılım'!$D18,'Gider Miktar'!$F:$F,1004)</f>
        <v>0</v>
      </c>
      <c r="BO18" s="9">
        <f>+SUMIFS('Gider Miktar'!BX:BX,'Gider Miktar'!$B:$B,'Emanet Miktar Dağılım'!$D18,'Gider Miktar'!$F:$F,1001)+SUMIFS('Gider Miktar'!BX:BX,'Gider Miktar'!$B:$B,'Emanet Miktar Dağılım'!$D18,'Gider Miktar'!$F:$F,1002)+SUMIFS('Gider Miktar'!BX:BX,'Gider Miktar'!$B:$B,'Emanet Miktar Dağılım'!$D18,'Gider Miktar'!$F:$F,1003)+SUMIFS('Gider Miktar'!BX:BX,'Gider Miktar'!$B:$B,'Emanet Miktar Dağılım'!$D18,'Gider Miktar'!$F:$F,1004)</f>
        <v>0</v>
      </c>
    </row>
    <row r="19" spans="2:67">
      <c r="D19" t="s">
        <v>21</v>
      </c>
      <c r="E19" s="9">
        <f>+SUMIFS('Gider Miktar'!N:N,'Gider Miktar'!$B:$B,'Emanet Miktar Dağılım'!$D19,'Gider Miktar'!$F:$F,1001)+SUMIFS('Gider Miktar'!N:N,'Gider Miktar'!$B:$B,'Emanet Miktar Dağılım'!$D19,'Gider Miktar'!$F:$F,1002)+SUMIFS('Gider Miktar'!N:N,'Gider Miktar'!$B:$B,'Emanet Miktar Dağılım'!$D19,'Gider Miktar'!$F:$F,1003)+SUMIFS('Gider Miktar'!N:N,'Gider Miktar'!$B:$B,'Emanet Miktar Dağılım'!$D19,'Gider Miktar'!$F:$F,1004)</f>
        <v>0</v>
      </c>
      <c r="F19" s="9">
        <f>+SUMIFS('Gider Miktar'!O:O,'Gider Miktar'!$B:$B,'Emanet Miktar Dağılım'!$D19,'Gider Miktar'!$F:$F,1001)+SUMIFS('Gider Miktar'!O:O,'Gider Miktar'!$B:$B,'Emanet Miktar Dağılım'!$D19,'Gider Miktar'!$F:$F,1002)+SUMIFS('Gider Miktar'!O:O,'Gider Miktar'!$B:$B,'Emanet Miktar Dağılım'!$D19,'Gider Miktar'!$F:$F,1003)+SUMIFS('Gider Miktar'!O:O,'Gider Miktar'!$B:$B,'Emanet Miktar Dağılım'!$D19,'Gider Miktar'!$F:$F,1004)</f>
        <v>0</v>
      </c>
      <c r="G19" s="9">
        <f>+SUMIFS('Gider Miktar'!P:P,'Gider Miktar'!$B:$B,'Emanet Miktar Dağılım'!$D19,'Gider Miktar'!$F:$F,1001)+SUMIFS('Gider Miktar'!P:P,'Gider Miktar'!$B:$B,'Emanet Miktar Dağılım'!$D19,'Gider Miktar'!$F:$F,1002)+SUMIFS('Gider Miktar'!P:P,'Gider Miktar'!$B:$B,'Emanet Miktar Dağılım'!$D19,'Gider Miktar'!$F:$F,1003)+SUMIFS('Gider Miktar'!P:P,'Gider Miktar'!$B:$B,'Emanet Miktar Dağılım'!$D19,'Gider Miktar'!$F:$F,1004)</f>
        <v>0</v>
      </c>
      <c r="H19" s="9">
        <f>+SUMIFS('Gider Miktar'!Q:Q,'Gider Miktar'!$B:$B,'Emanet Miktar Dağılım'!$D19,'Gider Miktar'!$F:$F,1001)+SUMIFS('Gider Miktar'!Q:Q,'Gider Miktar'!$B:$B,'Emanet Miktar Dağılım'!$D19,'Gider Miktar'!$F:$F,1002)+SUMIFS('Gider Miktar'!Q:Q,'Gider Miktar'!$B:$B,'Emanet Miktar Dağılım'!$D19,'Gider Miktar'!$F:$F,1003)+SUMIFS('Gider Miktar'!Q:Q,'Gider Miktar'!$B:$B,'Emanet Miktar Dağılım'!$D19,'Gider Miktar'!$F:$F,1004)</f>
        <v>0</v>
      </c>
      <c r="I19" s="9">
        <f>+SUMIFS('Gider Miktar'!R:R,'Gider Miktar'!$B:$B,'Emanet Miktar Dağılım'!$D19,'Gider Miktar'!$F:$F,1001)+SUMIFS('Gider Miktar'!R:R,'Gider Miktar'!$B:$B,'Emanet Miktar Dağılım'!$D19,'Gider Miktar'!$F:$F,1002)+SUMIFS('Gider Miktar'!R:R,'Gider Miktar'!$B:$B,'Emanet Miktar Dağılım'!$D19,'Gider Miktar'!$F:$F,1003)+SUMIFS('Gider Miktar'!R:R,'Gider Miktar'!$B:$B,'Emanet Miktar Dağılım'!$D19,'Gider Miktar'!$F:$F,1004)</f>
        <v>102.85</v>
      </c>
      <c r="J19" s="9">
        <f>+SUMIFS('Gider Miktar'!S:S,'Gider Miktar'!$B:$B,'Emanet Miktar Dağılım'!$D19,'Gider Miktar'!$F:$F,1001)+SUMIFS('Gider Miktar'!S:S,'Gider Miktar'!$B:$B,'Emanet Miktar Dağılım'!$D19,'Gider Miktar'!$F:$F,1002)+SUMIFS('Gider Miktar'!S:S,'Gider Miktar'!$B:$B,'Emanet Miktar Dağılım'!$D19,'Gider Miktar'!$F:$F,1003)+SUMIFS('Gider Miktar'!S:S,'Gider Miktar'!$B:$B,'Emanet Miktar Dağılım'!$D19,'Gider Miktar'!$F:$F,1004)</f>
        <v>746.83</v>
      </c>
      <c r="K19" s="9">
        <f>+SUMIFS('Gider Miktar'!T:T,'Gider Miktar'!$B:$B,'Emanet Miktar Dağılım'!$D19,'Gider Miktar'!$F:$F,1001)+SUMIFS('Gider Miktar'!T:T,'Gider Miktar'!$B:$B,'Emanet Miktar Dağılım'!$D19,'Gider Miktar'!$F:$F,1002)+SUMIFS('Gider Miktar'!T:T,'Gider Miktar'!$B:$B,'Emanet Miktar Dağılım'!$D19,'Gider Miktar'!$F:$F,1003)+SUMIFS('Gider Miktar'!T:T,'Gider Miktar'!$B:$B,'Emanet Miktar Dağılım'!$D19,'Gider Miktar'!$F:$F,1004)</f>
        <v>871.33900000000006</v>
      </c>
      <c r="L19" s="9">
        <f>+SUMIFS('Gider Miktar'!U:U,'Gider Miktar'!$B:$B,'Emanet Miktar Dağılım'!$D19,'Gider Miktar'!$F:$F,1001)+SUMIFS('Gider Miktar'!U:U,'Gider Miktar'!$B:$B,'Emanet Miktar Dağılım'!$D19,'Gider Miktar'!$F:$F,1002)+SUMIFS('Gider Miktar'!U:U,'Gider Miktar'!$B:$B,'Emanet Miktar Dağılım'!$D19,'Gider Miktar'!$F:$F,1003)+SUMIFS('Gider Miktar'!U:U,'Gider Miktar'!$B:$B,'Emanet Miktar Dağılım'!$D19,'Gider Miktar'!$F:$F,1004)</f>
        <v>2214.9475500072499</v>
      </c>
      <c r="M19" s="9">
        <f>+SUMIFS('Gider Miktar'!V:V,'Gider Miktar'!$B:$B,'Emanet Miktar Dağılım'!$D19,'Gider Miktar'!$F:$F,1001)+SUMIFS('Gider Miktar'!V:V,'Gider Miktar'!$B:$B,'Emanet Miktar Dağılım'!$D19,'Gider Miktar'!$F:$F,1002)+SUMIFS('Gider Miktar'!V:V,'Gider Miktar'!$B:$B,'Emanet Miktar Dağılım'!$D19,'Gider Miktar'!$F:$F,1003)+SUMIFS('Gider Miktar'!V:V,'Gider Miktar'!$B:$B,'Emanet Miktar Dağılım'!$D19,'Gider Miktar'!$F:$F,1004)</f>
        <v>2502.0828499927507</v>
      </c>
      <c r="N19" s="11">
        <f>+SUMIFS('Gider Miktar'!W:W,'Gider Miktar'!$B:$B,'Emanet Miktar Dağılım'!$D19,'Gider Miktar'!$F:$F,1001)+SUMIFS('Gider Miktar'!W:W,'Gider Miktar'!$B:$B,'Emanet Miktar Dağılım'!$D19,'Gider Miktar'!$F:$F,1002)+SUMIFS('Gider Miktar'!W:W,'Gider Miktar'!$B:$B,'Emanet Miktar Dağılım'!$D19,'Gider Miktar'!$F:$F,1003)+SUMIFS('Gider Miktar'!W:W,'Gider Miktar'!$B:$B,'Emanet Miktar Dağılım'!$D19,'Gider Miktar'!$F:$F,1004)</f>
        <v>3702.8410000000008</v>
      </c>
      <c r="O19" s="9">
        <f>+SUMIFS('Gider Miktar'!X:X,'Gider Miktar'!$B:$B,'Emanet Miktar Dağılım'!$D19,'Gider Miktar'!$F:$F,1001)+SUMIFS('Gider Miktar'!X:X,'Gider Miktar'!$B:$B,'Emanet Miktar Dağılım'!$D19,'Gider Miktar'!$F:$F,1002)+SUMIFS('Gider Miktar'!X:X,'Gider Miktar'!$B:$B,'Emanet Miktar Dağılım'!$D19,'Gider Miktar'!$F:$F,1003)+SUMIFS('Gider Miktar'!X:X,'Gider Miktar'!$B:$B,'Emanet Miktar Dağılım'!$D19,'Gider Miktar'!$F:$F,1004)</f>
        <v>2819.900415071927</v>
      </c>
      <c r="P19" s="9">
        <f>+SUMIFS('Gider Miktar'!Y:Y,'Gider Miktar'!$B:$B,'Emanet Miktar Dağılım'!$D19,'Gider Miktar'!$F:$F,1001)+SUMIFS('Gider Miktar'!Y:Y,'Gider Miktar'!$B:$B,'Emanet Miktar Dağılım'!$D19,'Gider Miktar'!$F:$F,1002)+SUMIFS('Gider Miktar'!Y:Y,'Gider Miktar'!$B:$B,'Emanet Miktar Dağılım'!$D19,'Gider Miktar'!$F:$F,1003)+SUMIFS('Gider Miktar'!Y:Y,'Gider Miktar'!$B:$B,'Emanet Miktar Dağılım'!$D19,'Gider Miktar'!$F:$F,1004)</f>
        <v>3382.242728703653</v>
      </c>
      <c r="Q19" s="9">
        <f>+SUMIFS('Gider Miktar'!Z:Z,'Gider Miktar'!$B:$B,'Emanet Miktar Dağılım'!$D19,'Gider Miktar'!$F:$F,1001)+SUMIFS('Gider Miktar'!Z:Z,'Gider Miktar'!$B:$B,'Emanet Miktar Dağılım'!$D19,'Gider Miktar'!$F:$F,1002)+SUMIFS('Gider Miktar'!Z:Z,'Gider Miktar'!$B:$B,'Emanet Miktar Dağılım'!$D19,'Gider Miktar'!$F:$F,1003)+SUMIFS('Gider Miktar'!Z:Z,'Gider Miktar'!$B:$B,'Emanet Miktar Dağılım'!$D19,'Gider Miktar'!$F:$F,1004)</f>
        <v>2594.1890833864413</v>
      </c>
      <c r="R19" s="9">
        <f>+SUMIFS('Gider Miktar'!AA:AA,'Gider Miktar'!$B:$B,'Emanet Miktar Dağılım'!$D19,'Gider Miktar'!$F:$F,1001)+SUMIFS('Gider Miktar'!AA:AA,'Gider Miktar'!$B:$B,'Emanet Miktar Dağılım'!$D19,'Gider Miktar'!$F:$F,1002)+SUMIFS('Gider Miktar'!AA:AA,'Gider Miktar'!$B:$B,'Emanet Miktar Dağılım'!$D19,'Gider Miktar'!$F:$F,1003)+SUMIFS('Gider Miktar'!AA:AA,'Gider Miktar'!$B:$B,'Emanet Miktar Dağılım'!$D19,'Gider Miktar'!$F:$F,1004)</f>
        <v>2163.4641737175675</v>
      </c>
      <c r="S19" s="9">
        <f>+SUMIFS('Gider Miktar'!AB:AB,'Gider Miktar'!$B:$B,'Emanet Miktar Dağılım'!$D19,'Gider Miktar'!$F:$F,1001)+SUMIFS('Gider Miktar'!AB:AB,'Gider Miktar'!$B:$B,'Emanet Miktar Dağılım'!$D19,'Gider Miktar'!$F:$F,1002)+SUMIFS('Gider Miktar'!AB:AB,'Gider Miktar'!$B:$B,'Emanet Miktar Dağılım'!$D19,'Gider Miktar'!$F:$F,1003)+SUMIFS('Gider Miktar'!AB:AB,'Gider Miktar'!$B:$B,'Emanet Miktar Dağılım'!$D19,'Gider Miktar'!$F:$F,1004)</f>
        <v>2279.4674071179797</v>
      </c>
      <c r="T19" s="9">
        <f>+SUMIFS('Gider Miktar'!AC:AC,'Gider Miktar'!$B:$B,'Emanet Miktar Dağılım'!$D19,'Gider Miktar'!$F:$F,1001)+SUMIFS('Gider Miktar'!AC:AC,'Gider Miktar'!$B:$B,'Emanet Miktar Dağılım'!$D19,'Gider Miktar'!$F:$F,1002)+SUMIFS('Gider Miktar'!AC:AC,'Gider Miktar'!$B:$B,'Emanet Miktar Dağılım'!$D19,'Gider Miktar'!$F:$F,1003)+SUMIFS('Gider Miktar'!AC:AC,'Gider Miktar'!$B:$B,'Emanet Miktar Dağılım'!$D19,'Gider Miktar'!$F:$F,1004)</f>
        <v>2361.7759047022055</v>
      </c>
      <c r="U19" s="9">
        <f>+SUMIFS('Gider Miktar'!AD:AD,'Gider Miktar'!$B:$B,'Emanet Miktar Dağılım'!$D19,'Gider Miktar'!$F:$F,1001)+SUMIFS('Gider Miktar'!AD:AD,'Gider Miktar'!$B:$B,'Emanet Miktar Dağılım'!$D19,'Gider Miktar'!$F:$F,1002)+SUMIFS('Gider Miktar'!AD:AD,'Gider Miktar'!$B:$B,'Emanet Miktar Dağılım'!$D19,'Gider Miktar'!$F:$F,1003)+SUMIFS('Gider Miktar'!AD:AD,'Gider Miktar'!$B:$B,'Emanet Miktar Dağılım'!$D19,'Gider Miktar'!$F:$F,1004)</f>
        <v>2182.49818035613</v>
      </c>
      <c r="V19" s="9">
        <f>+SUMIFS('Gider Miktar'!AE:AE,'Gider Miktar'!$B:$B,'Emanet Miktar Dağılım'!$D19,'Gider Miktar'!$F:$F,1001)+SUMIFS('Gider Miktar'!AE:AE,'Gider Miktar'!$B:$B,'Emanet Miktar Dağılım'!$D19,'Gider Miktar'!$F:$F,1002)+SUMIFS('Gider Miktar'!AE:AE,'Gider Miktar'!$B:$B,'Emanet Miktar Dağılım'!$D19,'Gider Miktar'!$F:$F,1003)+SUMIFS('Gider Miktar'!AE:AE,'Gider Miktar'!$B:$B,'Emanet Miktar Dağılım'!$D19,'Gider Miktar'!$F:$F,1004)</f>
        <v>2381.5418746236455</v>
      </c>
      <c r="W19" s="9">
        <f>+SUMIFS('Gider Miktar'!AF:AF,'Gider Miktar'!$B:$B,'Emanet Miktar Dağılım'!$D19,'Gider Miktar'!$F:$F,1001)+SUMIFS('Gider Miktar'!AF:AF,'Gider Miktar'!$B:$B,'Emanet Miktar Dağılım'!$D19,'Gider Miktar'!$F:$F,1002)+SUMIFS('Gider Miktar'!AF:AF,'Gider Miktar'!$B:$B,'Emanet Miktar Dağılım'!$D19,'Gider Miktar'!$F:$F,1003)+SUMIFS('Gider Miktar'!AF:AF,'Gider Miktar'!$B:$B,'Emanet Miktar Dağılım'!$D19,'Gider Miktar'!$F:$F,1004)</f>
        <v>1684.0181045893999</v>
      </c>
      <c r="X19" s="9">
        <f>+SUMIFS('Gider Miktar'!AG:AG,'Gider Miktar'!$B:$B,'Emanet Miktar Dağılım'!$D19,'Gider Miktar'!$F:$F,1001)+SUMIFS('Gider Miktar'!AG:AG,'Gider Miktar'!$B:$B,'Emanet Miktar Dağılım'!$D19,'Gider Miktar'!$F:$F,1002)+SUMIFS('Gider Miktar'!AG:AG,'Gider Miktar'!$B:$B,'Emanet Miktar Dağılım'!$D19,'Gider Miktar'!$F:$F,1003)+SUMIFS('Gider Miktar'!AG:AG,'Gider Miktar'!$B:$B,'Emanet Miktar Dağılım'!$D19,'Gider Miktar'!$F:$F,1004)</f>
        <v>1049.6313806150076</v>
      </c>
      <c r="Y19" s="9">
        <f>+SUMIFS('Gider Miktar'!AH:AH,'Gider Miktar'!$B:$B,'Emanet Miktar Dağılım'!$D19,'Gider Miktar'!$F:$F,1001)+SUMIFS('Gider Miktar'!AH:AH,'Gider Miktar'!$B:$B,'Emanet Miktar Dağılım'!$D19,'Gider Miktar'!$F:$F,1002)+SUMIFS('Gider Miktar'!AH:AH,'Gider Miktar'!$B:$B,'Emanet Miktar Dağılım'!$D19,'Gider Miktar'!$F:$F,1003)+SUMIFS('Gider Miktar'!AH:AH,'Gider Miktar'!$B:$B,'Emanet Miktar Dağılım'!$D19,'Gider Miktar'!$F:$F,1004)</f>
        <v>1120.6217233593454</v>
      </c>
      <c r="Z19" s="9">
        <f>+SUMIFS('Gider Miktar'!AI:AI,'Gider Miktar'!$B:$B,'Emanet Miktar Dağılım'!$D19,'Gider Miktar'!$F:$F,1001)+SUMIFS('Gider Miktar'!AI:AI,'Gider Miktar'!$B:$B,'Emanet Miktar Dağılım'!$D19,'Gider Miktar'!$F:$F,1002)+SUMIFS('Gider Miktar'!AI:AI,'Gider Miktar'!$B:$B,'Emanet Miktar Dağılım'!$D19,'Gider Miktar'!$F:$F,1003)+SUMIFS('Gider Miktar'!AI:AI,'Gider Miktar'!$B:$B,'Emanet Miktar Dağılım'!$D19,'Gider Miktar'!$F:$F,1004)</f>
        <v>1248.6750748825241</v>
      </c>
      <c r="AA19" s="9">
        <f>+SUMIFS('Gider Miktar'!AJ:AJ,'Gider Miktar'!$B:$B,'Emanet Miktar Dağılım'!$D19,'Gider Miktar'!$F:$F,1001)+SUMIFS('Gider Miktar'!AJ:AJ,'Gider Miktar'!$B:$B,'Emanet Miktar Dağılım'!$D19,'Gider Miktar'!$F:$F,1002)+SUMIFS('Gider Miktar'!AJ:AJ,'Gider Miktar'!$B:$B,'Emanet Miktar Dağılım'!$D19,'Gider Miktar'!$F:$F,1003)+SUMIFS('Gider Miktar'!AJ:AJ,'Gider Miktar'!$B:$B,'Emanet Miktar Dağılım'!$D19,'Gider Miktar'!$F:$F,1004)</f>
        <v>1228.7707054557723</v>
      </c>
      <c r="AB19" s="9">
        <f>+SUMIFS('Gider Miktar'!AK:AK,'Gider Miktar'!$B:$B,'Emanet Miktar Dağılım'!$D19,'Gider Miktar'!$F:$F,1001)+SUMIFS('Gider Miktar'!AK:AK,'Gider Miktar'!$B:$B,'Emanet Miktar Dağılım'!$D19,'Gider Miktar'!$F:$F,1002)+SUMIFS('Gider Miktar'!AK:AK,'Gider Miktar'!$B:$B,'Emanet Miktar Dağılım'!$D19,'Gider Miktar'!$F:$F,1003)+SUMIFS('Gider Miktar'!AK:AK,'Gider Miktar'!$B:$B,'Emanet Miktar Dağılım'!$D19,'Gider Miktar'!$F:$F,1004)</f>
        <v>1228.7707054557723</v>
      </c>
      <c r="AC19" s="9">
        <f>+SUMIFS('Gider Miktar'!AL:AL,'Gider Miktar'!$B:$B,'Emanet Miktar Dağılım'!$D19,'Gider Miktar'!$F:$F,1001)+SUMIFS('Gider Miktar'!AL:AL,'Gider Miktar'!$B:$B,'Emanet Miktar Dağılım'!$D19,'Gider Miktar'!$F:$F,1002)+SUMIFS('Gider Miktar'!AL:AL,'Gider Miktar'!$B:$B,'Emanet Miktar Dağılım'!$D19,'Gider Miktar'!$F:$F,1003)+SUMIFS('Gider Miktar'!AL:AL,'Gider Miktar'!$B:$B,'Emanet Miktar Dağılım'!$D19,'Gider Miktar'!$F:$F,1004)</f>
        <v>641.59180736660005</v>
      </c>
      <c r="AD19" s="9">
        <f>+SUMIFS('Gider Miktar'!AM:AM,'Gider Miktar'!$B:$B,'Emanet Miktar Dağılım'!$D19,'Gider Miktar'!$F:$F,1001)+SUMIFS('Gider Miktar'!AM:AM,'Gider Miktar'!$B:$B,'Emanet Miktar Dağılım'!$D19,'Gider Miktar'!$F:$F,1002)+SUMIFS('Gider Miktar'!AM:AM,'Gider Miktar'!$B:$B,'Emanet Miktar Dağılım'!$D19,'Gider Miktar'!$F:$F,1003)+SUMIFS('Gider Miktar'!AM:AM,'Gider Miktar'!$B:$B,'Emanet Miktar Dağılım'!$D19,'Gider Miktar'!$F:$F,1004)</f>
        <v>512.21340609271476</v>
      </c>
      <c r="AE19" s="9">
        <f>+SUMIFS('Gider Miktar'!AN:AN,'Gider Miktar'!$B:$B,'Emanet Miktar Dağılım'!$D19,'Gider Miktar'!$F:$F,1001)+SUMIFS('Gider Miktar'!AN:AN,'Gider Miktar'!$B:$B,'Emanet Miktar Dağılım'!$D19,'Gider Miktar'!$F:$F,1002)+SUMIFS('Gider Miktar'!AN:AN,'Gider Miktar'!$B:$B,'Emanet Miktar Dağılım'!$D19,'Gider Miktar'!$F:$F,1003)+SUMIFS('Gider Miktar'!AN:AN,'Gider Miktar'!$B:$B,'Emanet Miktar Dağılım'!$D19,'Gider Miktar'!$F:$F,1004)</f>
        <v>512.21340609271476</v>
      </c>
      <c r="AF19" s="9">
        <f>+SUMIFS('Gider Miktar'!AO:AO,'Gider Miktar'!$B:$B,'Emanet Miktar Dağılım'!$D19,'Gider Miktar'!$F:$F,1001)+SUMIFS('Gider Miktar'!AO:AO,'Gider Miktar'!$B:$B,'Emanet Miktar Dağılım'!$D19,'Gider Miktar'!$F:$F,1002)+SUMIFS('Gider Miktar'!AO:AO,'Gider Miktar'!$B:$B,'Emanet Miktar Dağılım'!$D19,'Gider Miktar'!$F:$F,1003)+SUMIFS('Gider Miktar'!AO:AO,'Gider Miktar'!$B:$B,'Emanet Miktar Dağılım'!$D19,'Gider Miktar'!$F:$F,1004)</f>
        <v>512.21340609271476</v>
      </c>
      <c r="AG19" s="9">
        <f>+SUMIFS('Gider Miktar'!AP:AP,'Gider Miktar'!$B:$B,'Emanet Miktar Dağılım'!$D19,'Gider Miktar'!$F:$F,1001)+SUMIFS('Gider Miktar'!AP:AP,'Gider Miktar'!$B:$B,'Emanet Miktar Dağılım'!$D19,'Gider Miktar'!$F:$F,1002)+SUMIFS('Gider Miktar'!AP:AP,'Gider Miktar'!$B:$B,'Emanet Miktar Dağılım'!$D19,'Gider Miktar'!$F:$F,1003)+SUMIFS('Gider Miktar'!AP:AP,'Gider Miktar'!$B:$B,'Emanet Miktar Dağılım'!$D19,'Gider Miktar'!$F:$F,1004)</f>
        <v>512.21340609271476</v>
      </c>
      <c r="AH19" s="9">
        <f>+SUMIFS('Gider Miktar'!AQ:AQ,'Gider Miktar'!$B:$B,'Emanet Miktar Dağılım'!$D19,'Gider Miktar'!$F:$F,1001)+SUMIFS('Gider Miktar'!AQ:AQ,'Gider Miktar'!$B:$B,'Emanet Miktar Dağılım'!$D19,'Gider Miktar'!$F:$F,1002)+SUMIFS('Gider Miktar'!AQ:AQ,'Gider Miktar'!$B:$B,'Emanet Miktar Dağılım'!$D19,'Gider Miktar'!$F:$F,1003)+SUMIFS('Gider Miktar'!AQ:AQ,'Gider Miktar'!$B:$B,'Emanet Miktar Dağılım'!$D19,'Gider Miktar'!$F:$F,1004)</f>
        <v>384.1600545695361</v>
      </c>
      <c r="AI19" s="9">
        <f>+SUMIFS('Gider Miktar'!AR:AR,'Gider Miktar'!$B:$B,'Emanet Miktar Dağılım'!$D19,'Gider Miktar'!$F:$F,1001)+SUMIFS('Gider Miktar'!AR:AR,'Gider Miktar'!$B:$B,'Emanet Miktar Dağılım'!$D19,'Gider Miktar'!$F:$F,1002)+SUMIFS('Gider Miktar'!AR:AR,'Gider Miktar'!$B:$B,'Emanet Miktar Dağılım'!$D19,'Gider Miktar'!$F:$F,1003)+SUMIFS('Gider Miktar'!AR:AR,'Gider Miktar'!$B:$B,'Emanet Miktar Dağılım'!$D19,'Gider Miktar'!$F:$F,1004)</f>
        <v>454.0073372185426</v>
      </c>
      <c r="AJ19" s="9">
        <f>+SUMIFS('Gider Miktar'!AS:AS,'Gider Miktar'!$B:$B,'Emanet Miktar Dağılım'!$D19,'Gider Miktar'!$F:$F,1001)+SUMIFS('Gider Miktar'!AS:AS,'Gider Miktar'!$B:$B,'Emanet Miktar Dağılım'!$D19,'Gider Miktar'!$F:$F,1002)+SUMIFS('Gider Miktar'!AS:AS,'Gider Miktar'!$B:$B,'Emanet Miktar Dağılım'!$D19,'Gider Miktar'!$F:$F,1003)+SUMIFS('Gider Miktar'!AS:AS,'Gider Miktar'!$B:$B,'Emanet Miktar Dağılım'!$D19,'Gider Miktar'!$F:$F,1004)</f>
        <v>279.38913059602709</v>
      </c>
      <c r="AK19" s="9">
        <f>+SUMIFS('Gider Miktar'!AT:AT,'Gider Miktar'!$B:$B,'Emanet Miktar Dağılım'!$D19,'Gider Miktar'!$F:$F,1001)+SUMIFS('Gider Miktar'!AT:AT,'Gider Miktar'!$B:$B,'Emanet Miktar Dağılım'!$D19,'Gider Miktar'!$F:$F,1002)+SUMIFS('Gider Miktar'!AT:AT,'Gider Miktar'!$B:$B,'Emanet Miktar Dağılım'!$D19,'Gider Miktar'!$F:$F,1003)+SUMIFS('Gider Miktar'!AT:AT,'Gider Miktar'!$B:$B,'Emanet Miktar Dağılım'!$D19,'Gider Miktar'!$F:$F,1004)</f>
        <v>209.54184794701933</v>
      </c>
      <c r="AL19" s="9">
        <f>+SUMIFS('Gider Miktar'!AU:AU,'Gider Miktar'!$B:$B,'Emanet Miktar Dağılım'!$D19,'Gider Miktar'!$F:$F,1001)+SUMIFS('Gider Miktar'!AU:AU,'Gider Miktar'!$B:$B,'Emanet Miktar Dağılım'!$D19,'Gider Miktar'!$F:$F,1002)+SUMIFS('Gider Miktar'!AU:AU,'Gider Miktar'!$B:$B,'Emanet Miktar Dağılım'!$D19,'Gider Miktar'!$F:$F,1003)+SUMIFS('Gider Miktar'!AU:AU,'Gider Miktar'!$B:$B,'Emanet Miktar Dağılım'!$D19,'Gider Miktar'!$F:$F,1004)</f>
        <v>279.38913059602709</v>
      </c>
      <c r="AM19" s="9">
        <f>+SUMIFS('Gider Miktar'!AV:AV,'Gider Miktar'!$B:$B,'Emanet Miktar Dağılım'!$D19,'Gider Miktar'!$F:$F,1001)+SUMIFS('Gider Miktar'!AV:AV,'Gider Miktar'!$B:$B,'Emanet Miktar Dağılım'!$D19,'Gider Miktar'!$F:$F,1002)+SUMIFS('Gider Miktar'!AV:AV,'Gider Miktar'!$B:$B,'Emanet Miktar Dağılım'!$D19,'Gider Miktar'!$F:$F,1003)+SUMIFS('Gider Miktar'!AV:AV,'Gider Miktar'!$B:$B,'Emanet Miktar Dağılım'!$D19,'Gider Miktar'!$F:$F,1004)</f>
        <v>279.38913059602709</v>
      </c>
      <c r="AN19" s="9">
        <f>+SUMIFS('Gider Miktar'!AW:AW,'Gider Miktar'!$B:$B,'Emanet Miktar Dağılım'!$D19,'Gider Miktar'!$F:$F,1001)+SUMIFS('Gider Miktar'!AW:AW,'Gider Miktar'!$B:$B,'Emanet Miktar Dağılım'!$D19,'Gider Miktar'!$F:$F,1002)+SUMIFS('Gider Miktar'!AW:AW,'Gider Miktar'!$B:$B,'Emanet Miktar Dağılım'!$D19,'Gider Miktar'!$F:$F,1003)+SUMIFS('Gider Miktar'!AW:AW,'Gider Miktar'!$B:$B,'Emanet Miktar Dağılım'!$D19,'Gider Miktar'!$F:$F,1004)</f>
        <v>279.38913059602709</v>
      </c>
      <c r="AO19" s="9">
        <f>+SUMIFS('Gider Miktar'!AX:AX,'Gider Miktar'!$B:$B,'Emanet Miktar Dağılım'!$D19,'Gider Miktar'!$F:$F,1001)+SUMIFS('Gider Miktar'!AX:AX,'Gider Miktar'!$B:$B,'Emanet Miktar Dağılım'!$D19,'Gider Miktar'!$F:$F,1002)+SUMIFS('Gider Miktar'!AX:AX,'Gider Miktar'!$B:$B,'Emanet Miktar Dağılım'!$D19,'Gider Miktar'!$F:$F,1003)+SUMIFS('Gider Miktar'!AX:AX,'Gider Miktar'!$B:$B,'Emanet Miktar Dağılım'!$D19,'Gider Miktar'!$F:$F,1004)</f>
        <v>279.38913059602709</v>
      </c>
      <c r="AP19" s="9">
        <f>+SUMIFS('Gider Miktar'!AY:AY,'Gider Miktar'!$B:$B,'Emanet Miktar Dağılım'!$D19,'Gider Miktar'!$F:$F,1001)+SUMIFS('Gider Miktar'!AY:AY,'Gider Miktar'!$B:$B,'Emanet Miktar Dağılım'!$D19,'Gider Miktar'!$F:$F,1002)+SUMIFS('Gider Miktar'!AY:AY,'Gider Miktar'!$B:$B,'Emanet Miktar Dağılım'!$D19,'Gider Miktar'!$F:$F,1003)+SUMIFS('Gider Miktar'!AY:AY,'Gider Miktar'!$B:$B,'Emanet Miktar Dağılım'!$D19,'Gider Miktar'!$F:$F,1004)</f>
        <v>180.43881350993323</v>
      </c>
      <c r="AQ19" s="9">
        <f>+SUMIFS('Gider Miktar'!AZ:AZ,'Gider Miktar'!$B:$B,'Emanet Miktar Dağılım'!$D19,'Gider Miktar'!$F:$F,1001)+SUMIFS('Gider Miktar'!AZ:AZ,'Gider Miktar'!$B:$B,'Emanet Miktar Dağılım'!$D19,'Gider Miktar'!$F:$F,1002)+SUMIFS('Gider Miktar'!AZ:AZ,'Gider Miktar'!$B:$B,'Emanet Miktar Dağılım'!$D19,'Gider Miktar'!$F:$F,1003)+SUMIFS('Gider Miktar'!AZ:AZ,'Gider Miktar'!$B:$B,'Emanet Miktar Dağılım'!$D19,'Gider Miktar'!$F:$F,1004)</f>
        <v>0</v>
      </c>
      <c r="AR19" s="9">
        <f>+SUMIFS('Gider Miktar'!BA:BA,'Gider Miktar'!$B:$B,'Emanet Miktar Dağılım'!$D19,'Gider Miktar'!$F:$F,1001)+SUMIFS('Gider Miktar'!BA:BA,'Gider Miktar'!$B:$B,'Emanet Miktar Dağılım'!$D19,'Gider Miktar'!$F:$F,1002)+SUMIFS('Gider Miktar'!BA:BA,'Gider Miktar'!$B:$B,'Emanet Miktar Dağılım'!$D19,'Gider Miktar'!$F:$F,1003)+SUMIFS('Gider Miktar'!BA:BA,'Gider Miktar'!$B:$B,'Emanet Miktar Dağılım'!$D19,'Gider Miktar'!$F:$F,1004)</f>
        <v>0</v>
      </c>
      <c r="AS19" s="9">
        <f>+SUMIFS('Gider Miktar'!BB:BB,'Gider Miktar'!$B:$B,'Emanet Miktar Dağılım'!$D19,'Gider Miktar'!$F:$F,1001)+SUMIFS('Gider Miktar'!BB:BB,'Gider Miktar'!$B:$B,'Emanet Miktar Dağılım'!$D19,'Gider Miktar'!$F:$F,1002)+SUMIFS('Gider Miktar'!BB:BB,'Gider Miktar'!$B:$B,'Emanet Miktar Dağılım'!$D19,'Gider Miktar'!$F:$F,1003)+SUMIFS('Gider Miktar'!BB:BB,'Gider Miktar'!$B:$B,'Emanet Miktar Dağılım'!$D19,'Gider Miktar'!$F:$F,1004)</f>
        <v>0</v>
      </c>
      <c r="AT19" s="9">
        <f>+SUMIFS('Gider Miktar'!BC:BC,'Gider Miktar'!$B:$B,'Emanet Miktar Dağılım'!$D19,'Gider Miktar'!$F:$F,1001)+SUMIFS('Gider Miktar'!BC:BC,'Gider Miktar'!$B:$B,'Emanet Miktar Dağılım'!$D19,'Gider Miktar'!$F:$F,1002)+SUMIFS('Gider Miktar'!BC:BC,'Gider Miktar'!$B:$B,'Emanet Miktar Dağılım'!$D19,'Gider Miktar'!$F:$F,1003)+SUMIFS('Gider Miktar'!BC:BC,'Gider Miktar'!$B:$B,'Emanet Miktar Dağılım'!$D19,'Gider Miktar'!$F:$F,1004)</f>
        <v>0</v>
      </c>
      <c r="AU19" s="9">
        <f>+SUMIFS('Gider Miktar'!BD:BD,'Gider Miktar'!$B:$B,'Emanet Miktar Dağılım'!$D19,'Gider Miktar'!$F:$F,1001)+SUMIFS('Gider Miktar'!BD:BD,'Gider Miktar'!$B:$B,'Emanet Miktar Dağılım'!$D19,'Gider Miktar'!$F:$F,1002)+SUMIFS('Gider Miktar'!BD:BD,'Gider Miktar'!$B:$B,'Emanet Miktar Dağılım'!$D19,'Gider Miktar'!$F:$F,1003)+SUMIFS('Gider Miktar'!BD:BD,'Gider Miktar'!$B:$B,'Emanet Miktar Dağılım'!$D19,'Gider Miktar'!$F:$F,1004)</f>
        <v>0</v>
      </c>
      <c r="AV19" s="9">
        <f>+SUMIFS('Gider Miktar'!BE:BE,'Gider Miktar'!$B:$B,'Emanet Miktar Dağılım'!$D19,'Gider Miktar'!$F:$F,1001)+SUMIFS('Gider Miktar'!BE:BE,'Gider Miktar'!$B:$B,'Emanet Miktar Dağılım'!$D19,'Gider Miktar'!$F:$F,1002)+SUMIFS('Gider Miktar'!BE:BE,'Gider Miktar'!$B:$B,'Emanet Miktar Dağılım'!$D19,'Gider Miktar'!$F:$F,1003)+SUMIFS('Gider Miktar'!BE:BE,'Gider Miktar'!$B:$B,'Emanet Miktar Dağılım'!$D19,'Gider Miktar'!$F:$F,1004)</f>
        <v>0</v>
      </c>
      <c r="AW19" s="9">
        <f>+SUMIFS('Gider Miktar'!BF:BF,'Gider Miktar'!$B:$B,'Emanet Miktar Dağılım'!$D19,'Gider Miktar'!$F:$F,1001)+SUMIFS('Gider Miktar'!BF:BF,'Gider Miktar'!$B:$B,'Emanet Miktar Dağılım'!$D19,'Gider Miktar'!$F:$F,1002)+SUMIFS('Gider Miktar'!BF:BF,'Gider Miktar'!$B:$B,'Emanet Miktar Dağılım'!$D19,'Gider Miktar'!$F:$F,1003)+SUMIFS('Gider Miktar'!BF:BF,'Gider Miktar'!$B:$B,'Emanet Miktar Dağılım'!$D19,'Gider Miktar'!$F:$F,1004)</f>
        <v>0</v>
      </c>
      <c r="AX19" s="9">
        <f>+SUMIFS('Gider Miktar'!BG:BG,'Gider Miktar'!$B:$B,'Emanet Miktar Dağılım'!$D19,'Gider Miktar'!$F:$F,1001)+SUMIFS('Gider Miktar'!BG:BG,'Gider Miktar'!$B:$B,'Emanet Miktar Dağılım'!$D19,'Gider Miktar'!$F:$F,1002)+SUMIFS('Gider Miktar'!BG:BG,'Gider Miktar'!$B:$B,'Emanet Miktar Dağılım'!$D19,'Gider Miktar'!$F:$F,1003)+SUMIFS('Gider Miktar'!BG:BG,'Gider Miktar'!$B:$B,'Emanet Miktar Dağılım'!$D19,'Gider Miktar'!$F:$F,1004)</f>
        <v>0</v>
      </c>
      <c r="AY19" s="9">
        <f>+SUMIFS('Gider Miktar'!BH:BH,'Gider Miktar'!$B:$B,'Emanet Miktar Dağılım'!$D19,'Gider Miktar'!$F:$F,1001)+SUMIFS('Gider Miktar'!BH:BH,'Gider Miktar'!$B:$B,'Emanet Miktar Dağılım'!$D19,'Gider Miktar'!$F:$F,1002)+SUMIFS('Gider Miktar'!BH:BH,'Gider Miktar'!$B:$B,'Emanet Miktar Dağılım'!$D19,'Gider Miktar'!$F:$F,1003)+SUMIFS('Gider Miktar'!BH:BH,'Gider Miktar'!$B:$B,'Emanet Miktar Dağılım'!$D19,'Gider Miktar'!$F:$F,1004)</f>
        <v>0</v>
      </c>
      <c r="AZ19" s="9">
        <f>+SUMIFS('Gider Miktar'!BI:BI,'Gider Miktar'!$B:$B,'Emanet Miktar Dağılım'!$D19,'Gider Miktar'!$F:$F,1001)+SUMIFS('Gider Miktar'!BI:BI,'Gider Miktar'!$B:$B,'Emanet Miktar Dağılım'!$D19,'Gider Miktar'!$F:$F,1002)+SUMIFS('Gider Miktar'!BI:BI,'Gider Miktar'!$B:$B,'Emanet Miktar Dağılım'!$D19,'Gider Miktar'!$F:$F,1003)+SUMIFS('Gider Miktar'!BI:BI,'Gider Miktar'!$B:$B,'Emanet Miktar Dağılım'!$D19,'Gider Miktar'!$F:$F,1004)</f>
        <v>0</v>
      </c>
      <c r="BA19" s="9">
        <f>+SUMIFS('Gider Miktar'!BJ:BJ,'Gider Miktar'!$B:$B,'Emanet Miktar Dağılım'!$D19,'Gider Miktar'!$F:$F,1001)+SUMIFS('Gider Miktar'!BJ:BJ,'Gider Miktar'!$B:$B,'Emanet Miktar Dağılım'!$D19,'Gider Miktar'!$F:$F,1002)+SUMIFS('Gider Miktar'!BJ:BJ,'Gider Miktar'!$B:$B,'Emanet Miktar Dağılım'!$D19,'Gider Miktar'!$F:$F,1003)+SUMIFS('Gider Miktar'!BJ:BJ,'Gider Miktar'!$B:$B,'Emanet Miktar Dağılım'!$D19,'Gider Miktar'!$F:$F,1004)</f>
        <v>0</v>
      </c>
      <c r="BB19" s="9">
        <f>+SUMIFS('Gider Miktar'!BK:BK,'Gider Miktar'!$B:$B,'Emanet Miktar Dağılım'!$D19,'Gider Miktar'!$F:$F,1001)+SUMIFS('Gider Miktar'!BK:BK,'Gider Miktar'!$B:$B,'Emanet Miktar Dağılım'!$D19,'Gider Miktar'!$F:$F,1002)+SUMIFS('Gider Miktar'!BK:BK,'Gider Miktar'!$B:$B,'Emanet Miktar Dağılım'!$D19,'Gider Miktar'!$F:$F,1003)+SUMIFS('Gider Miktar'!BK:BK,'Gider Miktar'!$B:$B,'Emanet Miktar Dağılım'!$D19,'Gider Miktar'!$F:$F,1004)</f>
        <v>0</v>
      </c>
      <c r="BC19" s="9">
        <f>+SUMIFS('Gider Miktar'!BL:BL,'Gider Miktar'!$B:$B,'Emanet Miktar Dağılım'!$D19,'Gider Miktar'!$F:$F,1001)+SUMIFS('Gider Miktar'!BL:BL,'Gider Miktar'!$B:$B,'Emanet Miktar Dağılım'!$D19,'Gider Miktar'!$F:$F,1002)+SUMIFS('Gider Miktar'!BL:BL,'Gider Miktar'!$B:$B,'Emanet Miktar Dağılım'!$D19,'Gider Miktar'!$F:$F,1003)+SUMIFS('Gider Miktar'!BL:BL,'Gider Miktar'!$B:$B,'Emanet Miktar Dağılım'!$D19,'Gider Miktar'!$F:$F,1004)</f>
        <v>0</v>
      </c>
      <c r="BD19" s="9">
        <f>+SUMIFS('Gider Miktar'!BM:BM,'Gider Miktar'!$B:$B,'Emanet Miktar Dağılım'!$D19,'Gider Miktar'!$F:$F,1001)+SUMIFS('Gider Miktar'!BM:BM,'Gider Miktar'!$B:$B,'Emanet Miktar Dağılım'!$D19,'Gider Miktar'!$F:$F,1002)+SUMIFS('Gider Miktar'!BM:BM,'Gider Miktar'!$B:$B,'Emanet Miktar Dağılım'!$D19,'Gider Miktar'!$F:$F,1003)+SUMIFS('Gider Miktar'!BM:BM,'Gider Miktar'!$B:$B,'Emanet Miktar Dağılım'!$D19,'Gider Miktar'!$F:$F,1004)</f>
        <v>0</v>
      </c>
      <c r="BE19" s="9">
        <f>+SUMIFS('Gider Miktar'!BN:BN,'Gider Miktar'!$B:$B,'Emanet Miktar Dağılım'!$D19,'Gider Miktar'!$F:$F,1001)+SUMIFS('Gider Miktar'!BN:BN,'Gider Miktar'!$B:$B,'Emanet Miktar Dağılım'!$D19,'Gider Miktar'!$F:$F,1002)+SUMIFS('Gider Miktar'!BN:BN,'Gider Miktar'!$B:$B,'Emanet Miktar Dağılım'!$D19,'Gider Miktar'!$F:$F,1003)+SUMIFS('Gider Miktar'!BN:BN,'Gider Miktar'!$B:$B,'Emanet Miktar Dağılım'!$D19,'Gider Miktar'!$F:$F,1004)</f>
        <v>0</v>
      </c>
      <c r="BF19" s="9">
        <f>+SUMIFS('Gider Miktar'!BO:BO,'Gider Miktar'!$B:$B,'Emanet Miktar Dağılım'!$D19,'Gider Miktar'!$F:$F,1001)+SUMIFS('Gider Miktar'!BO:BO,'Gider Miktar'!$B:$B,'Emanet Miktar Dağılım'!$D19,'Gider Miktar'!$F:$F,1002)+SUMIFS('Gider Miktar'!BO:BO,'Gider Miktar'!$B:$B,'Emanet Miktar Dağılım'!$D19,'Gider Miktar'!$F:$F,1003)+SUMIFS('Gider Miktar'!BO:BO,'Gider Miktar'!$B:$B,'Emanet Miktar Dağılım'!$D19,'Gider Miktar'!$F:$F,1004)</f>
        <v>0</v>
      </c>
      <c r="BG19" s="9">
        <f>+SUMIFS('Gider Miktar'!BP:BP,'Gider Miktar'!$B:$B,'Emanet Miktar Dağılım'!$D19,'Gider Miktar'!$F:$F,1001)+SUMIFS('Gider Miktar'!BP:BP,'Gider Miktar'!$B:$B,'Emanet Miktar Dağılım'!$D19,'Gider Miktar'!$F:$F,1002)+SUMIFS('Gider Miktar'!BP:BP,'Gider Miktar'!$B:$B,'Emanet Miktar Dağılım'!$D19,'Gider Miktar'!$F:$F,1003)+SUMIFS('Gider Miktar'!BP:BP,'Gider Miktar'!$B:$B,'Emanet Miktar Dağılım'!$D19,'Gider Miktar'!$F:$F,1004)</f>
        <v>0</v>
      </c>
      <c r="BH19" s="9">
        <f>+SUMIFS('Gider Miktar'!BQ:BQ,'Gider Miktar'!$B:$B,'Emanet Miktar Dağılım'!$D19,'Gider Miktar'!$F:$F,1001)+SUMIFS('Gider Miktar'!BQ:BQ,'Gider Miktar'!$B:$B,'Emanet Miktar Dağılım'!$D19,'Gider Miktar'!$F:$F,1002)+SUMIFS('Gider Miktar'!BQ:BQ,'Gider Miktar'!$B:$B,'Emanet Miktar Dağılım'!$D19,'Gider Miktar'!$F:$F,1003)+SUMIFS('Gider Miktar'!BQ:BQ,'Gider Miktar'!$B:$B,'Emanet Miktar Dağılım'!$D19,'Gider Miktar'!$F:$F,1004)</f>
        <v>0</v>
      </c>
      <c r="BI19" s="9">
        <f>+SUMIFS('Gider Miktar'!BR:BR,'Gider Miktar'!$B:$B,'Emanet Miktar Dağılım'!$D19,'Gider Miktar'!$F:$F,1001)+SUMIFS('Gider Miktar'!BR:BR,'Gider Miktar'!$B:$B,'Emanet Miktar Dağılım'!$D19,'Gider Miktar'!$F:$F,1002)+SUMIFS('Gider Miktar'!BR:BR,'Gider Miktar'!$B:$B,'Emanet Miktar Dağılım'!$D19,'Gider Miktar'!$F:$F,1003)+SUMIFS('Gider Miktar'!BR:BR,'Gider Miktar'!$B:$B,'Emanet Miktar Dağılım'!$D19,'Gider Miktar'!$F:$F,1004)</f>
        <v>0</v>
      </c>
      <c r="BJ19" s="9">
        <f>+SUMIFS('Gider Miktar'!BS:BS,'Gider Miktar'!$B:$B,'Emanet Miktar Dağılım'!$D19,'Gider Miktar'!$F:$F,1001)+SUMIFS('Gider Miktar'!BS:BS,'Gider Miktar'!$B:$B,'Emanet Miktar Dağılım'!$D19,'Gider Miktar'!$F:$F,1002)+SUMIFS('Gider Miktar'!BS:BS,'Gider Miktar'!$B:$B,'Emanet Miktar Dağılım'!$D19,'Gider Miktar'!$F:$F,1003)+SUMIFS('Gider Miktar'!BS:BS,'Gider Miktar'!$B:$B,'Emanet Miktar Dağılım'!$D19,'Gider Miktar'!$F:$F,1004)</f>
        <v>0</v>
      </c>
      <c r="BK19" s="9">
        <f>+SUMIFS('Gider Miktar'!BT:BT,'Gider Miktar'!$B:$B,'Emanet Miktar Dağılım'!$D19,'Gider Miktar'!$F:$F,1001)+SUMIFS('Gider Miktar'!BT:BT,'Gider Miktar'!$B:$B,'Emanet Miktar Dağılım'!$D19,'Gider Miktar'!$F:$F,1002)+SUMIFS('Gider Miktar'!BT:BT,'Gider Miktar'!$B:$B,'Emanet Miktar Dağılım'!$D19,'Gider Miktar'!$F:$F,1003)+SUMIFS('Gider Miktar'!BT:BT,'Gider Miktar'!$B:$B,'Emanet Miktar Dağılım'!$D19,'Gider Miktar'!$F:$F,1004)</f>
        <v>0</v>
      </c>
      <c r="BL19" s="9">
        <f>+SUMIFS('Gider Miktar'!BU:BU,'Gider Miktar'!$B:$B,'Emanet Miktar Dağılım'!$D19,'Gider Miktar'!$F:$F,1001)+SUMIFS('Gider Miktar'!BU:BU,'Gider Miktar'!$B:$B,'Emanet Miktar Dağılım'!$D19,'Gider Miktar'!$F:$F,1002)+SUMIFS('Gider Miktar'!BU:BU,'Gider Miktar'!$B:$B,'Emanet Miktar Dağılım'!$D19,'Gider Miktar'!$F:$F,1003)+SUMIFS('Gider Miktar'!BU:BU,'Gider Miktar'!$B:$B,'Emanet Miktar Dağılım'!$D19,'Gider Miktar'!$F:$F,1004)</f>
        <v>0</v>
      </c>
      <c r="BM19" s="9">
        <f>+SUMIFS('Gider Miktar'!BV:BV,'Gider Miktar'!$B:$B,'Emanet Miktar Dağılım'!$D19,'Gider Miktar'!$F:$F,1001)+SUMIFS('Gider Miktar'!BV:BV,'Gider Miktar'!$B:$B,'Emanet Miktar Dağılım'!$D19,'Gider Miktar'!$F:$F,1002)+SUMIFS('Gider Miktar'!BV:BV,'Gider Miktar'!$B:$B,'Emanet Miktar Dağılım'!$D19,'Gider Miktar'!$F:$F,1003)+SUMIFS('Gider Miktar'!BV:BV,'Gider Miktar'!$B:$B,'Emanet Miktar Dağılım'!$D19,'Gider Miktar'!$F:$F,1004)</f>
        <v>0</v>
      </c>
      <c r="BN19" s="9">
        <f>+SUMIFS('Gider Miktar'!BW:BW,'Gider Miktar'!$B:$B,'Emanet Miktar Dağılım'!$D19,'Gider Miktar'!$F:$F,1001)+SUMIFS('Gider Miktar'!BW:BW,'Gider Miktar'!$B:$B,'Emanet Miktar Dağılım'!$D19,'Gider Miktar'!$F:$F,1002)+SUMIFS('Gider Miktar'!BW:BW,'Gider Miktar'!$B:$B,'Emanet Miktar Dağılım'!$D19,'Gider Miktar'!$F:$F,1003)+SUMIFS('Gider Miktar'!BW:BW,'Gider Miktar'!$B:$B,'Emanet Miktar Dağılım'!$D19,'Gider Miktar'!$F:$F,1004)</f>
        <v>0</v>
      </c>
      <c r="BO19" s="9">
        <f>+SUMIFS('Gider Miktar'!BX:BX,'Gider Miktar'!$B:$B,'Emanet Miktar Dağılım'!$D19,'Gider Miktar'!$F:$F,1001)+SUMIFS('Gider Miktar'!BX:BX,'Gider Miktar'!$B:$B,'Emanet Miktar Dağılım'!$D19,'Gider Miktar'!$F:$F,1002)+SUMIFS('Gider Miktar'!BX:BX,'Gider Miktar'!$B:$B,'Emanet Miktar Dağılım'!$D19,'Gider Miktar'!$F:$F,1003)+SUMIFS('Gider Miktar'!BX:BX,'Gider Miktar'!$B:$B,'Emanet Miktar Dağılım'!$D19,'Gider Miktar'!$F:$F,1004)</f>
        <v>0</v>
      </c>
    </row>
    <row r="20" spans="2:67">
      <c r="D20" t="s">
        <v>22</v>
      </c>
      <c r="E20" s="9">
        <f>+SUMIFS('Gider Miktar'!N:N,'Gider Miktar'!$B:$B,'Emanet Miktar Dağılım'!$D20,'Gider Miktar'!$F:$F,1001)+SUMIFS('Gider Miktar'!N:N,'Gider Miktar'!$B:$B,'Emanet Miktar Dağılım'!$D20,'Gider Miktar'!$F:$F,1002)+SUMIFS('Gider Miktar'!N:N,'Gider Miktar'!$B:$B,'Emanet Miktar Dağılım'!$D20,'Gider Miktar'!$F:$F,1003)+SUMIFS('Gider Miktar'!N:N,'Gider Miktar'!$B:$B,'Emanet Miktar Dağılım'!$D20,'Gider Miktar'!$F:$F,1004)</f>
        <v>0</v>
      </c>
      <c r="F20" s="9">
        <f>+SUMIFS('Gider Miktar'!O:O,'Gider Miktar'!$B:$B,'Emanet Miktar Dağılım'!$D20,'Gider Miktar'!$F:$F,1001)+SUMIFS('Gider Miktar'!O:O,'Gider Miktar'!$B:$B,'Emanet Miktar Dağılım'!$D20,'Gider Miktar'!$F:$F,1002)+SUMIFS('Gider Miktar'!O:O,'Gider Miktar'!$B:$B,'Emanet Miktar Dağılım'!$D20,'Gider Miktar'!$F:$F,1003)+SUMIFS('Gider Miktar'!O:O,'Gider Miktar'!$B:$B,'Emanet Miktar Dağılım'!$D20,'Gider Miktar'!$F:$F,1004)</f>
        <v>0</v>
      </c>
      <c r="G20" s="9">
        <f>+SUMIFS('Gider Miktar'!P:P,'Gider Miktar'!$B:$B,'Emanet Miktar Dağılım'!$D20,'Gider Miktar'!$F:$F,1001)+SUMIFS('Gider Miktar'!P:P,'Gider Miktar'!$B:$B,'Emanet Miktar Dağılım'!$D20,'Gider Miktar'!$F:$F,1002)+SUMIFS('Gider Miktar'!P:P,'Gider Miktar'!$B:$B,'Emanet Miktar Dağılım'!$D20,'Gider Miktar'!$F:$F,1003)+SUMIFS('Gider Miktar'!P:P,'Gider Miktar'!$B:$B,'Emanet Miktar Dağılım'!$D20,'Gider Miktar'!$F:$F,1004)</f>
        <v>0</v>
      </c>
      <c r="H20" s="9">
        <f>+SUMIFS('Gider Miktar'!Q:Q,'Gider Miktar'!$B:$B,'Emanet Miktar Dağılım'!$D20,'Gider Miktar'!$F:$F,1001)+SUMIFS('Gider Miktar'!Q:Q,'Gider Miktar'!$B:$B,'Emanet Miktar Dağılım'!$D20,'Gider Miktar'!$F:$F,1002)+SUMIFS('Gider Miktar'!Q:Q,'Gider Miktar'!$B:$B,'Emanet Miktar Dağılım'!$D20,'Gider Miktar'!$F:$F,1003)+SUMIFS('Gider Miktar'!Q:Q,'Gider Miktar'!$B:$B,'Emanet Miktar Dağılım'!$D20,'Gider Miktar'!$F:$F,1004)</f>
        <v>0</v>
      </c>
      <c r="I20" s="9">
        <f>+SUMIFS('Gider Miktar'!R:R,'Gider Miktar'!$B:$B,'Emanet Miktar Dağılım'!$D20,'Gider Miktar'!$F:$F,1001)+SUMIFS('Gider Miktar'!R:R,'Gider Miktar'!$B:$B,'Emanet Miktar Dağılım'!$D20,'Gider Miktar'!$F:$F,1002)+SUMIFS('Gider Miktar'!R:R,'Gider Miktar'!$B:$B,'Emanet Miktar Dağılım'!$D20,'Gider Miktar'!$F:$F,1003)+SUMIFS('Gider Miktar'!R:R,'Gider Miktar'!$B:$B,'Emanet Miktar Dağılım'!$D20,'Gider Miktar'!$F:$F,1004)</f>
        <v>486</v>
      </c>
      <c r="J20" s="9">
        <f>+SUMIFS('Gider Miktar'!S:S,'Gider Miktar'!$B:$B,'Emanet Miktar Dağılım'!$D20,'Gider Miktar'!$F:$F,1001)+SUMIFS('Gider Miktar'!S:S,'Gider Miktar'!$B:$B,'Emanet Miktar Dağılım'!$D20,'Gider Miktar'!$F:$F,1002)+SUMIFS('Gider Miktar'!S:S,'Gider Miktar'!$B:$B,'Emanet Miktar Dağılım'!$D20,'Gider Miktar'!$F:$F,1003)+SUMIFS('Gider Miktar'!S:S,'Gider Miktar'!$B:$B,'Emanet Miktar Dağılım'!$D20,'Gider Miktar'!$F:$F,1004)</f>
        <v>2350</v>
      </c>
      <c r="K20" s="9">
        <f>+SUMIFS('Gider Miktar'!T:T,'Gider Miktar'!$B:$B,'Emanet Miktar Dağılım'!$D20,'Gider Miktar'!$F:$F,1001)+SUMIFS('Gider Miktar'!T:T,'Gider Miktar'!$B:$B,'Emanet Miktar Dağılım'!$D20,'Gider Miktar'!$F:$F,1002)+SUMIFS('Gider Miktar'!T:T,'Gider Miktar'!$B:$B,'Emanet Miktar Dağılım'!$D20,'Gider Miktar'!$F:$F,1003)+SUMIFS('Gider Miktar'!T:T,'Gider Miktar'!$B:$B,'Emanet Miktar Dağılım'!$D20,'Gider Miktar'!$F:$F,1004)</f>
        <v>2280</v>
      </c>
      <c r="L20" s="9">
        <f>+SUMIFS('Gider Miktar'!U:U,'Gider Miktar'!$B:$B,'Emanet Miktar Dağılım'!$D20,'Gider Miktar'!$F:$F,1001)+SUMIFS('Gider Miktar'!U:U,'Gider Miktar'!$B:$B,'Emanet Miktar Dağılım'!$D20,'Gider Miktar'!$F:$F,1002)+SUMIFS('Gider Miktar'!U:U,'Gider Miktar'!$B:$B,'Emanet Miktar Dağılım'!$D20,'Gider Miktar'!$F:$F,1003)+SUMIFS('Gider Miktar'!U:U,'Gider Miktar'!$B:$B,'Emanet Miktar Dağılım'!$D20,'Gider Miktar'!$F:$F,1004)</f>
        <v>1298</v>
      </c>
      <c r="M20" s="9">
        <f>+SUMIFS('Gider Miktar'!V:V,'Gider Miktar'!$B:$B,'Emanet Miktar Dağılım'!$D20,'Gider Miktar'!$F:$F,1001)+SUMIFS('Gider Miktar'!V:V,'Gider Miktar'!$B:$B,'Emanet Miktar Dağılım'!$D20,'Gider Miktar'!$F:$F,1002)+SUMIFS('Gider Miktar'!V:V,'Gider Miktar'!$B:$B,'Emanet Miktar Dağılım'!$D20,'Gider Miktar'!$F:$F,1003)+SUMIFS('Gider Miktar'!V:V,'Gider Miktar'!$B:$B,'Emanet Miktar Dağılım'!$D20,'Gider Miktar'!$F:$F,1004)</f>
        <v>33436</v>
      </c>
      <c r="N20" s="11">
        <f>+SUMIFS('Gider Miktar'!W:W,'Gider Miktar'!$B:$B,'Emanet Miktar Dağılım'!$D20,'Gider Miktar'!$F:$F,1001)+SUMIFS('Gider Miktar'!W:W,'Gider Miktar'!$B:$B,'Emanet Miktar Dağılım'!$D20,'Gider Miktar'!$F:$F,1002)+SUMIFS('Gider Miktar'!W:W,'Gider Miktar'!$B:$B,'Emanet Miktar Dağılım'!$D20,'Gider Miktar'!$F:$F,1003)+SUMIFS('Gider Miktar'!W:W,'Gider Miktar'!$B:$B,'Emanet Miktar Dağılım'!$D20,'Gider Miktar'!$F:$F,1004)</f>
        <v>4314</v>
      </c>
      <c r="O20" s="9">
        <f>+SUMIFS('Gider Miktar'!X:X,'Gider Miktar'!$B:$B,'Emanet Miktar Dağılım'!$D20,'Gider Miktar'!$F:$F,1001)+SUMIFS('Gider Miktar'!X:X,'Gider Miktar'!$B:$B,'Emanet Miktar Dağılım'!$D20,'Gider Miktar'!$F:$F,1002)+SUMIFS('Gider Miktar'!X:X,'Gider Miktar'!$B:$B,'Emanet Miktar Dağılım'!$D20,'Gider Miktar'!$F:$F,1003)+SUMIFS('Gider Miktar'!X:X,'Gider Miktar'!$B:$B,'Emanet Miktar Dağılım'!$D20,'Gider Miktar'!$F:$F,1004)</f>
        <v>25801.58057010578</v>
      </c>
      <c r="P20" s="9">
        <f>+SUMIFS('Gider Miktar'!Y:Y,'Gider Miktar'!$B:$B,'Emanet Miktar Dağılım'!$D20,'Gider Miktar'!$F:$F,1001)+SUMIFS('Gider Miktar'!Y:Y,'Gider Miktar'!$B:$B,'Emanet Miktar Dağılım'!$D20,'Gider Miktar'!$F:$F,1002)+SUMIFS('Gider Miktar'!Y:Y,'Gider Miktar'!$B:$B,'Emanet Miktar Dağılım'!$D20,'Gider Miktar'!$F:$F,1003)+SUMIFS('Gider Miktar'!Y:Y,'Gider Miktar'!$B:$B,'Emanet Miktar Dağılım'!$D20,'Gider Miktar'!$F:$F,1004)</f>
        <v>31416.646027379244</v>
      </c>
      <c r="Q20" s="9">
        <f>+SUMIFS('Gider Miktar'!Z:Z,'Gider Miktar'!$B:$B,'Emanet Miktar Dağılım'!$D20,'Gider Miktar'!$F:$F,1001)+SUMIFS('Gider Miktar'!Z:Z,'Gider Miktar'!$B:$B,'Emanet Miktar Dağılım'!$D20,'Gider Miktar'!$F:$F,1002)+SUMIFS('Gider Miktar'!Z:Z,'Gider Miktar'!$B:$B,'Emanet Miktar Dağılım'!$D20,'Gider Miktar'!$F:$F,1003)+SUMIFS('Gider Miktar'!Z:Z,'Gider Miktar'!$B:$B,'Emanet Miktar Dağılım'!$D20,'Gider Miktar'!$F:$F,1004)</f>
        <v>22944.515884908418</v>
      </c>
      <c r="R20" s="9">
        <f>+SUMIFS('Gider Miktar'!AA:AA,'Gider Miktar'!$B:$B,'Emanet Miktar Dağılım'!$D20,'Gider Miktar'!$F:$F,1001)+SUMIFS('Gider Miktar'!AA:AA,'Gider Miktar'!$B:$B,'Emanet Miktar Dağılım'!$D20,'Gider Miktar'!$F:$F,1002)+SUMIFS('Gider Miktar'!AA:AA,'Gider Miktar'!$B:$B,'Emanet Miktar Dağılım'!$D20,'Gider Miktar'!$F:$F,1003)+SUMIFS('Gider Miktar'!AA:AA,'Gider Miktar'!$B:$B,'Emanet Miktar Dağılım'!$D20,'Gider Miktar'!$F:$F,1004)</f>
        <v>18842.777235901794</v>
      </c>
      <c r="S20" s="9">
        <f>+SUMIFS('Gider Miktar'!AB:AB,'Gider Miktar'!$B:$B,'Emanet Miktar Dağılım'!$D20,'Gider Miktar'!$F:$F,1001)+SUMIFS('Gider Miktar'!AB:AB,'Gider Miktar'!$B:$B,'Emanet Miktar Dağılım'!$D20,'Gider Miktar'!$F:$F,1002)+SUMIFS('Gider Miktar'!AB:AB,'Gider Miktar'!$B:$B,'Emanet Miktar Dağılım'!$D20,'Gider Miktar'!$F:$F,1003)+SUMIFS('Gider Miktar'!AB:AB,'Gider Miktar'!$B:$B,'Emanet Miktar Dağılım'!$D20,'Gider Miktar'!$F:$F,1004)</f>
        <v>20106.32023388983</v>
      </c>
      <c r="T20" s="9">
        <f>+SUMIFS('Gider Miktar'!AC:AC,'Gider Miktar'!$B:$B,'Emanet Miktar Dağılım'!$D20,'Gider Miktar'!$F:$F,1001)+SUMIFS('Gider Miktar'!AC:AC,'Gider Miktar'!$B:$B,'Emanet Miktar Dağılım'!$D20,'Gider Miktar'!$F:$F,1002)+SUMIFS('Gider Miktar'!AC:AC,'Gider Miktar'!$B:$B,'Emanet Miktar Dağılım'!$D20,'Gider Miktar'!$F:$F,1003)+SUMIFS('Gider Miktar'!AC:AC,'Gider Miktar'!$B:$B,'Emanet Miktar Dağılım'!$D20,'Gider Miktar'!$F:$F,1004)</f>
        <v>17355.988172604859</v>
      </c>
      <c r="U20" s="9">
        <f>+SUMIFS('Gider Miktar'!AD:AD,'Gider Miktar'!$B:$B,'Emanet Miktar Dağılım'!$D20,'Gider Miktar'!$F:$F,1001)+SUMIFS('Gider Miktar'!AD:AD,'Gider Miktar'!$B:$B,'Emanet Miktar Dağılım'!$D20,'Gider Miktar'!$F:$F,1002)+SUMIFS('Gider Miktar'!AD:AD,'Gider Miktar'!$B:$B,'Emanet Miktar Dağılım'!$D20,'Gider Miktar'!$F:$F,1003)+SUMIFS('Gider Miktar'!AD:AD,'Gider Miktar'!$B:$B,'Emanet Miktar Dağılım'!$D20,'Gider Miktar'!$F:$F,1004)</f>
        <v>15403.239902987167</v>
      </c>
      <c r="V20" s="9">
        <f>+SUMIFS('Gider Miktar'!AE:AE,'Gider Miktar'!$B:$B,'Emanet Miktar Dağılım'!$D20,'Gider Miktar'!$F:$F,1001)+SUMIFS('Gider Miktar'!AE:AE,'Gider Miktar'!$B:$B,'Emanet Miktar Dağılım'!$D20,'Gider Miktar'!$F:$F,1002)+SUMIFS('Gider Miktar'!AE:AE,'Gider Miktar'!$B:$B,'Emanet Miktar Dağılım'!$D20,'Gider Miktar'!$F:$F,1003)+SUMIFS('Gider Miktar'!AE:AE,'Gider Miktar'!$B:$B,'Emanet Miktar Dağılım'!$D20,'Gider Miktar'!$F:$F,1004)</f>
        <v>15701.09977559863</v>
      </c>
      <c r="W20" s="9">
        <f>+SUMIFS('Gider Miktar'!AF:AF,'Gider Miktar'!$B:$B,'Emanet Miktar Dağılım'!$D20,'Gider Miktar'!$F:$F,1001)+SUMIFS('Gider Miktar'!AF:AF,'Gider Miktar'!$B:$B,'Emanet Miktar Dağılım'!$D20,'Gider Miktar'!$F:$F,1002)+SUMIFS('Gider Miktar'!AF:AF,'Gider Miktar'!$B:$B,'Emanet Miktar Dağılım'!$D20,'Gider Miktar'!$F:$F,1003)+SUMIFS('Gider Miktar'!AF:AF,'Gider Miktar'!$B:$B,'Emanet Miktar Dağılım'!$D20,'Gider Miktar'!$F:$F,1004)</f>
        <v>8278.8165163610793</v>
      </c>
      <c r="X20" s="9">
        <f>+SUMIFS('Gider Miktar'!AG:AG,'Gider Miktar'!$B:$B,'Emanet Miktar Dağılım'!$D20,'Gider Miktar'!$F:$F,1001)+SUMIFS('Gider Miktar'!AG:AG,'Gider Miktar'!$B:$B,'Emanet Miktar Dağılım'!$D20,'Gider Miktar'!$F:$F,1002)+SUMIFS('Gider Miktar'!AG:AG,'Gider Miktar'!$B:$B,'Emanet Miktar Dağılım'!$D20,'Gider Miktar'!$F:$F,1003)+SUMIFS('Gider Miktar'!AG:AG,'Gider Miktar'!$B:$B,'Emanet Miktar Dağılım'!$D20,'Gider Miktar'!$F:$F,1004)</f>
        <v>5681.9649143290972</v>
      </c>
      <c r="Y20" s="9">
        <f>+SUMIFS('Gider Miktar'!AH:AH,'Gider Miktar'!$B:$B,'Emanet Miktar Dağılım'!$D20,'Gider Miktar'!$F:$F,1001)+SUMIFS('Gider Miktar'!AH:AH,'Gider Miktar'!$B:$B,'Emanet Miktar Dağılım'!$D20,'Gider Miktar'!$F:$F,1002)+SUMIFS('Gider Miktar'!AH:AH,'Gider Miktar'!$B:$B,'Emanet Miktar Dağılım'!$D20,'Gider Miktar'!$F:$F,1003)+SUMIFS('Gider Miktar'!AH:AH,'Gider Miktar'!$B:$B,'Emanet Miktar Dağılım'!$D20,'Gider Miktar'!$F:$F,1004)</f>
        <v>4760.3889723710272</v>
      </c>
      <c r="Z20" s="9">
        <f>+SUMIFS('Gider Miktar'!AI:AI,'Gider Miktar'!$B:$B,'Emanet Miktar Dağılım'!$D20,'Gider Miktar'!$F:$F,1001)+SUMIFS('Gider Miktar'!AI:AI,'Gider Miktar'!$B:$B,'Emanet Miktar Dağılım'!$D20,'Gider Miktar'!$F:$F,1002)+SUMIFS('Gider Miktar'!AI:AI,'Gider Miktar'!$B:$B,'Emanet Miktar Dağılım'!$D20,'Gider Miktar'!$F:$F,1003)+SUMIFS('Gider Miktar'!AI:AI,'Gider Miktar'!$B:$B,'Emanet Miktar Dağılım'!$D20,'Gider Miktar'!$F:$F,1004)</f>
        <v>5979.8247869405623</v>
      </c>
      <c r="AA20" s="9">
        <f>+SUMIFS('Gider Miktar'!AJ:AJ,'Gider Miktar'!$B:$B,'Emanet Miktar Dağılım'!$D20,'Gider Miktar'!$F:$F,1001)+SUMIFS('Gider Miktar'!AJ:AJ,'Gider Miktar'!$B:$B,'Emanet Miktar Dağılım'!$D20,'Gider Miktar'!$F:$F,1002)+SUMIFS('Gider Miktar'!AJ:AJ,'Gider Miktar'!$B:$B,'Emanet Miktar Dağılım'!$D20,'Gider Miktar'!$F:$F,1003)+SUMIFS('Gider Miktar'!AJ:AJ,'Gider Miktar'!$B:$B,'Emanet Miktar Dağılım'!$D20,'Gider Miktar'!$F:$F,1004)</f>
        <v>5950.0387996794161</v>
      </c>
      <c r="AB20" s="9">
        <f>+SUMIFS('Gider Miktar'!AK:AK,'Gider Miktar'!$B:$B,'Emanet Miktar Dağılım'!$D20,'Gider Miktar'!$F:$F,1001)+SUMIFS('Gider Miktar'!AK:AK,'Gider Miktar'!$B:$B,'Emanet Miktar Dağılım'!$D20,'Gider Miktar'!$F:$F,1002)+SUMIFS('Gider Miktar'!AK:AK,'Gider Miktar'!$B:$B,'Emanet Miktar Dağılım'!$D20,'Gider Miktar'!$F:$F,1003)+SUMIFS('Gider Miktar'!AK:AK,'Gider Miktar'!$B:$B,'Emanet Miktar Dağılım'!$D20,'Gider Miktar'!$F:$F,1004)</f>
        <v>5950.0387996794161</v>
      </c>
      <c r="AC20" s="9">
        <f>+SUMIFS('Gider Miktar'!AL:AL,'Gider Miktar'!$B:$B,'Emanet Miktar Dağılım'!$D20,'Gider Miktar'!$F:$F,1001)+SUMIFS('Gider Miktar'!AL:AL,'Gider Miktar'!$B:$B,'Emanet Miktar Dağılım'!$D20,'Gider Miktar'!$F:$F,1002)+SUMIFS('Gider Miktar'!AL:AL,'Gider Miktar'!$B:$B,'Emanet Miktar Dağılım'!$D20,'Gider Miktar'!$F:$F,1003)+SUMIFS('Gider Miktar'!AL:AL,'Gider Miktar'!$B:$B,'Emanet Miktar Dağılım'!$D20,'Gider Miktar'!$F:$F,1004)</f>
        <v>5071.3521754755939</v>
      </c>
      <c r="AD20" s="9">
        <f>+SUMIFS('Gider Miktar'!AM:AM,'Gider Miktar'!$B:$B,'Emanet Miktar Dağılım'!$D20,'Gider Miktar'!$F:$F,1001)+SUMIFS('Gider Miktar'!AM:AM,'Gider Miktar'!$B:$B,'Emanet Miktar Dağılım'!$D20,'Gider Miktar'!$F:$F,1002)+SUMIFS('Gider Miktar'!AM:AM,'Gider Miktar'!$B:$B,'Emanet Miktar Dağılım'!$D20,'Gider Miktar'!$F:$F,1003)+SUMIFS('Gider Miktar'!AM:AM,'Gider Miktar'!$B:$B,'Emanet Miktar Dağılım'!$D20,'Gider Miktar'!$F:$F,1004)</f>
        <v>4877.7432582781421</v>
      </c>
      <c r="AE20" s="9">
        <f>+SUMIFS('Gider Miktar'!AN:AN,'Gider Miktar'!$B:$B,'Emanet Miktar Dağılım'!$D20,'Gider Miktar'!$F:$F,1001)+SUMIFS('Gider Miktar'!AN:AN,'Gider Miktar'!$B:$B,'Emanet Miktar Dağılım'!$D20,'Gider Miktar'!$F:$F,1002)+SUMIFS('Gider Miktar'!AN:AN,'Gider Miktar'!$B:$B,'Emanet Miktar Dağılım'!$D20,'Gider Miktar'!$F:$F,1003)+SUMIFS('Gider Miktar'!AN:AN,'Gider Miktar'!$B:$B,'Emanet Miktar Dağılım'!$D20,'Gider Miktar'!$F:$F,1004)</f>
        <v>4877.7432582781421</v>
      </c>
      <c r="AF20" s="9">
        <f>+SUMIFS('Gider Miktar'!AO:AO,'Gider Miktar'!$B:$B,'Emanet Miktar Dağılım'!$D20,'Gider Miktar'!$F:$F,1001)+SUMIFS('Gider Miktar'!AO:AO,'Gider Miktar'!$B:$B,'Emanet Miktar Dağılım'!$D20,'Gider Miktar'!$F:$F,1002)+SUMIFS('Gider Miktar'!AO:AO,'Gider Miktar'!$B:$B,'Emanet Miktar Dağılım'!$D20,'Gider Miktar'!$F:$F,1003)+SUMIFS('Gider Miktar'!AO:AO,'Gider Miktar'!$B:$B,'Emanet Miktar Dağılım'!$D20,'Gider Miktar'!$F:$F,1004)</f>
        <v>4877.7432582781421</v>
      </c>
      <c r="AG20" s="9">
        <f>+SUMIFS('Gider Miktar'!AP:AP,'Gider Miktar'!$B:$B,'Emanet Miktar Dağılım'!$D20,'Gider Miktar'!$F:$F,1001)+SUMIFS('Gider Miktar'!AP:AP,'Gider Miktar'!$B:$B,'Emanet Miktar Dağılım'!$D20,'Gider Miktar'!$F:$F,1002)+SUMIFS('Gider Miktar'!AP:AP,'Gider Miktar'!$B:$B,'Emanet Miktar Dağılım'!$D20,'Gider Miktar'!$F:$F,1003)+SUMIFS('Gider Miktar'!AP:AP,'Gider Miktar'!$B:$B,'Emanet Miktar Dağılım'!$D20,'Gider Miktar'!$F:$F,1004)</f>
        <v>4877.7432582781421</v>
      </c>
      <c r="AH20" s="9">
        <f>+SUMIFS('Gider Miktar'!AQ:AQ,'Gider Miktar'!$B:$B,'Emanet Miktar Dağılım'!$D20,'Gider Miktar'!$F:$F,1001)+SUMIFS('Gider Miktar'!AQ:AQ,'Gider Miktar'!$B:$B,'Emanet Miktar Dağılım'!$D20,'Gider Miktar'!$F:$F,1002)+SUMIFS('Gider Miktar'!AQ:AQ,'Gider Miktar'!$B:$B,'Emanet Miktar Dağılım'!$D20,'Gider Miktar'!$F:$F,1003)+SUMIFS('Gider Miktar'!AQ:AQ,'Gider Miktar'!$B:$B,'Emanet Miktar Dağılım'!$D20,'Gider Miktar'!$F:$F,1004)</f>
        <v>3658.307443708607</v>
      </c>
      <c r="AI20" s="9">
        <f>+SUMIFS('Gider Miktar'!AR:AR,'Gider Miktar'!$B:$B,'Emanet Miktar Dağılım'!$D20,'Gider Miktar'!$F:$F,1001)+SUMIFS('Gider Miktar'!AR:AR,'Gider Miktar'!$B:$B,'Emanet Miktar Dağılım'!$D20,'Gider Miktar'!$F:$F,1002)+SUMIFS('Gider Miktar'!AR:AR,'Gider Miktar'!$B:$B,'Emanet Miktar Dağılım'!$D20,'Gider Miktar'!$F:$F,1003)+SUMIFS('Gider Miktar'!AR:AR,'Gider Miktar'!$B:$B,'Emanet Miktar Dağılım'!$D20,'Gider Miktar'!$F:$F,1004)</f>
        <v>4323.4542516556257</v>
      </c>
      <c r="AJ20" s="9">
        <f>+SUMIFS('Gider Miktar'!AS:AS,'Gider Miktar'!$B:$B,'Emanet Miktar Dağılım'!$D20,'Gider Miktar'!$F:$F,1001)+SUMIFS('Gider Miktar'!AS:AS,'Gider Miktar'!$B:$B,'Emanet Miktar Dağılım'!$D20,'Gider Miktar'!$F:$F,1002)+SUMIFS('Gider Miktar'!AS:AS,'Gider Miktar'!$B:$B,'Emanet Miktar Dağılım'!$D20,'Gider Miktar'!$F:$F,1003)+SUMIFS('Gider Miktar'!AS:AS,'Gider Miktar'!$B:$B,'Emanet Miktar Dağılım'!$D20,'Gider Miktar'!$F:$F,1004)</f>
        <v>2660.5872317880858</v>
      </c>
      <c r="AK20" s="9">
        <f>+SUMIFS('Gider Miktar'!AT:AT,'Gider Miktar'!$B:$B,'Emanet Miktar Dağılım'!$D20,'Gider Miktar'!$F:$F,1001)+SUMIFS('Gider Miktar'!AT:AT,'Gider Miktar'!$B:$B,'Emanet Miktar Dağılım'!$D20,'Gider Miktar'!$F:$F,1002)+SUMIFS('Gider Miktar'!AT:AT,'Gider Miktar'!$B:$B,'Emanet Miktar Dağılım'!$D20,'Gider Miktar'!$F:$F,1003)+SUMIFS('Gider Miktar'!AT:AT,'Gider Miktar'!$B:$B,'Emanet Miktar Dağılım'!$D20,'Gider Miktar'!$F:$F,1004)</f>
        <v>1995.440423841055</v>
      </c>
      <c r="AL20" s="9">
        <f>+SUMIFS('Gider Miktar'!AU:AU,'Gider Miktar'!$B:$B,'Emanet Miktar Dağılım'!$D20,'Gider Miktar'!$F:$F,1001)+SUMIFS('Gider Miktar'!AU:AU,'Gider Miktar'!$B:$B,'Emanet Miktar Dağılım'!$D20,'Gider Miktar'!$F:$F,1002)+SUMIFS('Gider Miktar'!AU:AU,'Gider Miktar'!$B:$B,'Emanet Miktar Dağılım'!$D20,'Gider Miktar'!$F:$F,1003)+SUMIFS('Gider Miktar'!AU:AU,'Gider Miktar'!$B:$B,'Emanet Miktar Dağılım'!$D20,'Gider Miktar'!$F:$F,1004)</f>
        <v>2660.5872317880858</v>
      </c>
      <c r="AM20" s="9">
        <f>+SUMIFS('Gider Miktar'!AV:AV,'Gider Miktar'!$B:$B,'Emanet Miktar Dağılım'!$D20,'Gider Miktar'!$F:$F,1001)+SUMIFS('Gider Miktar'!AV:AV,'Gider Miktar'!$B:$B,'Emanet Miktar Dağılım'!$D20,'Gider Miktar'!$F:$F,1002)+SUMIFS('Gider Miktar'!AV:AV,'Gider Miktar'!$B:$B,'Emanet Miktar Dağılım'!$D20,'Gider Miktar'!$F:$F,1003)+SUMIFS('Gider Miktar'!AV:AV,'Gider Miktar'!$B:$B,'Emanet Miktar Dağılım'!$D20,'Gider Miktar'!$F:$F,1004)</f>
        <v>2660.5872317880858</v>
      </c>
      <c r="AN20" s="9">
        <f>+SUMIFS('Gider Miktar'!AW:AW,'Gider Miktar'!$B:$B,'Emanet Miktar Dağılım'!$D20,'Gider Miktar'!$F:$F,1001)+SUMIFS('Gider Miktar'!AW:AW,'Gider Miktar'!$B:$B,'Emanet Miktar Dağılım'!$D20,'Gider Miktar'!$F:$F,1002)+SUMIFS('Gider Miktar'!AW:AW,'Gider Miktar'!$B:$B,'Emanet Miktar Dağılım'!$D20,'Gider Miktar'!$F:$F,1003)+SUMIFS('Gider Miktar'!AW:AW,'Gider Miktar'!$B:$B,'Emanet Miktar Dağılım'!$D20,'Gider Miktar'!$F:$F,1004)</f>
        <v>2660.5872317880858</v>
      </c>
      <c r="AO20" s="9">
        <f>+SUMIFS('Gider Miktar'!AX:AX,'Gider Miktar'!$B:$B,'Emanet Miktar Dağılım'!$D20,'Gider Miktar'!$F:$F,1001)+SUMIFS('Gider Miktar'!AX:AX,'Gider Miktar'!$B:$B,'Emanet Miktar Dağılım'!$D20,'Gider Miktar'!$F:$F,1002)+SUMIFS('Gider Miktar'!AX:AX,'Gider Miktar'!$B:$B,'Emanet Miktar Dağılım'!$D20,'Gider Miktar'!$F:$F,1003)+SUMIFS('Gider Miktar'!AX:AX,'Gider Miktar'!$B:$B,'Emanet Miktar Dağılım'!$D20,'Gider Miktar'!$F:$F,1004)</f>
        <v>2660.5872317880858</v>
      </c>
      <c r="AP20" s="9">
        <f>+SUMIFS('Gider Miktar'!AY:AY,'Gider Miktar'!$B:$B,'Emanet Miktar Dağılım'!$D20,'Gider Miktar'!$F:$F,1001)+SUMIFS('Gider Miktar'!AY:AY,'Gider Miktar'!$B:$B,'Emanet Miktar Dağılım'!$D20,'Gider Miktar'!$F:$F,1002)+SUMIFS('Gider Miktar'!AY:AY,'Gider Miktar'!$B:$B,'Emanet Miktar Dağılım'!$D20,'Gider Miktar'!$F:$F,1003)+SUMIFS('Gider Miktar'!AY:AY,'Gider Miktar'!$B:$B,'Emanet Miktar Dağılım'!$D20,'Gider Miktar'!$F:$F,1004)</f>
        <v>1718.2959205297964</v>
      </c>
      <c r="AQ20" s="9">
        <f>+SUMIFS('Gider Miktar'!AZ:AZ,'Gider Miktar'!$B:$B,'Emanet Miktar Dağılım'!$D20,'Gider Miktar'!$F:$F,1001)+SUMIFS('Gider Miktar'!AZ:AZ,'Gider Miktar'!$B:$B,'Emanet Miktar Dağılım'!$D20,'Gider Miktar'!$F:$F,1002)+SUMIFS('Gider Miktar'!AZ:AZ,'Gider Miktar'!$B:$B,'Emanet Miktar Dağılım'!$D20,'Gider Miktar'!$F:$F,1003)+SUMIFS('Gider Miktar'!AZ:AZ,'Gider Miktar'!$B:$B,'Emanet Miktar Dağılım'!$D20,'Gider Miktar'!$F:$F,1004)</f>
        <v>0</v>
      </c>
      <c r="AR20" s="9">
        <f>+SUMIFS('Gider Miktar'!BA:BA,'Gider Miktar'!$B:$B,'Emanet Miktar Dağılım'!$D20,'Gider Miktar'!$F:$F,1001)+SUMIFS('Gider Miktar'!BA:BA,'Gider Miktar'!$B:$B,'Emanet Miktar Dağılım'!$D20,'Gider Miktar'!$F:$F,1002)+SUMIFS('Gider Miktar'!BA:BA,'Gider Miktar'!$B:$B,'Emanet Miktar Dağılım'!$D20,'Gider Miktar'!$F:$F,1003)+SUMIFS('Gider Miktar'!BA:BA,'Gider Miktar'!$B:$B,'Emanet Miktar Dağılım'!$D20,'Gider Miktar'!$F:$F,1004)</f>
        <v>0</v>
      </c>
      <c r="AS20" s="9">
        <f>+SUMIFS('Gider Miktar'!BB:BB,'Gider Miktar'!$B:$B,'Emanet Miktar Dağılım'!$D20,'Gider Miktar'!$F:$F,1001)+SUMIFS('Gider Miktar'!BB:BB,'Gider Miktar'!$B:$B,'Emanet Miktar Dağılım'!$D20,'Gider Miktar'!$F:$F,1002)+SUMIFS('Gider Miktar'!BB:BB,'Gider Miktar'!$B:$B,'Emanet Miktar Dağılım'!$D20,'Gider Miktar'!$F:$F,1003)+SUMIFS('Gider Miktar'!BB:BB,'Gider Miktar'!$B:$B,'Emanet Miktar Dağılım'!$D20,'Gider Miktar'!$F:$F,1004)</f>
        <v>0</v>
      </c>
      <c r="AT20" s="9">
        <f>+SUMIFS('Gider Miktar'!BC:BC,'Gider Miktar'!$B:$B,'Emanet Miktar Dağılım'!$D20,'Gider Miktar'!$F:$F,1001)+SUMIFS('Gider Miktar'!BC:BC,'Gider Miktar'!$B:$B,'Emanet Miktar Dağılım'!$D20,'Gider Miktar'!$F:$F,1002)+SUMIFS('Gider Miktar'!BC:BC,'Gider Miktar'!$B:$B,'Emanet Miktar Dağılım'!$D20,'Gider Miktar'!$F:$F,1003)+SUMIFS('Gider Miktar'!BC:BC,'Gider Miktar'!$B:$B,'Emanet Miktar Dağılım'!$D20,'Gider Miktar'!$F:$F,1004)</f>
        <v>0</v>
      </c>
      <c r="AU20" s="9">
        <f>+SUMIFS('Gider Miktar'!BD:BD,'Gider Miktar'!$B:$B,'Emanet Miktar Dağılım'!$D20,'Gider Miktar'!$F:$F,1001)+SUMIFS('Gider Miktar'!BD:BD,'Gider Miktar'!$B:$B,'Emanet Miktar Dağılım'!$D20,'Gider Miktar'!$F:$F,1002)+SUMIFS('Gider Miktar'!BD:BD,'Gider Miktar'!$B:$B,'Emanet Miktar Dağılım'!$D20,'Gider Miktar'!$F:$F,1003)+SUMIFS('Gider Miktar'!BD:BD,'Gider Miktar'!$B:$B,'Emanet Miktar Dağılım'!$D20,'Gider Miktar'!$F:$F,1004)</f>
        <v>0</v>
      </c>
      <c r="AV20" s="9">
        <f>+SUMIFS('Gider Miktar'!BE:BE,'Gider Miktar'!$B:$B,'Emanet Miktar Dağılım'!$D20,'Gider Miktar'!$F:$F,1001)+SUMIFS('Gider Miktar'!BE:BE,'Gider Miktar'!$B:$B,'Emanet Miktar Dağılım'!$D20,'Gider Miktar'!$F:$F,1002)+SUMIFS('Gider Miktar'!BE:BE,'Gider Miktar'!$B:$B,'Emanet Miktar Dağılım'!$D20,'Gider Miktar'!$F:$F,1003)+SUMIFS('Gider Miktar'!BE:BE,'Gider Miktar'!$B:$B,'Emanet Miktar Dağılım'!$D20,'Gider Miktar'!$F:$F,1004)</f>
        <v>0</v>
      </c>
      <c r="AW20" s="9">
        <f>+SUMIFS('Gider Miktar'!BF:BF,'Gider Miktar'!$B:$B,'Emanet Miktar Dağılım'!$D20,'Gider Miktar'!$F:$F,1001)+SUMIFS('Gider Miktar'!BF:BF,'Gider Miktar'!$B:$B,'Emanet Miktar Dağılım'!$D20,'Gider Miktar'!$F:$F,1002)+SUMIFS('Gider Miktar'!BF:BF,'Gider Miktar'!$B:$B,'Emanet Miktar Dağılım'!$D20,'Gider Miktar'!$F:$F,1003)+SUMIFS('Gider Miktar'!BF:BF,'Gider Miktar'!$B:$B,'Emanet Miktar Dağılım'!$D20,'Gider Miktar'!$F:$F,1004)</f>
        <v>0</v>
      </c>
      <c r="AX20" s="9">
        <f>+SUMIFS('Gider Miktar'!BG:BG,'Gider Miktar'!$B:$B,'Emanet Miktar Dağılım'!$D20,'Gider Miktar'!$F:$F,1001)+SUMIFS('Gider Miktar'!BG:BG,'Gider Miktar'!$B:$B,'Emanet Miktar Dağılım'!$D20,'Gider Miktar'!$F:$F,1002)+SUMIFS('Gider Miktar'!BG:BG,'Gider Miktar'!$B:$B,'Emanet Miktar Dağılım'!$D20,'Gider Miktar'!$F:$F,1003)+SUMIFS('Gider Miktar'!BG:BG,'Gider Miktar'!$B:$B,'Emanet Miktar Dağılım'!$D20,'Gider Miktar'!$F:$F,1004)</f>
        <v>0</v>
      </c>
      <c r="AY20" s="9">
        <f>+SUMIFS('Gider Miktar'!BH:BH,'Gider Miktar'!$B:$B,'Emanet Miktar Dağılım'!$D20,'Gider Miktar'!$F:$F,1001)+SUMIFS('Gider Miktar'!BH:BH,'Gider Miktar'!$B:$B,'Emanet Miktar Dağılım'!$D20,'Gider Miktar'!$F:$F,1002)+SUMIFS('Gider Miktar'!BH:BH,'Gider Miktar'!$B:$B,'Emanet Miktar Dağılım'!$D20,'Gider Miktar'!$F:$F,1003)+SUMIFS('Gider Miktar'!BH:BH,'Gider Miktar'!$B:$B,'Emanet Miktar Dağılım'!$D20,'Gider Miktar'!$F:$F,1004)</f>
        <v>0</v>
      </c>
      <c r="AZ20" s="9">
        <f>+SUMIFS('Gider Miktar'!BI:BI,'Gider Miktar'!$B:$B,'Emanet Miktar Dağılım'!$D20,'Gider Miktar'!$F:$F,1001)+SUMIFS('Gider Miktar'!BI:BI,'Gider Miktar'!$B:$B,'Emanet Miktar Dağılım'!$D20,'Gider Miktar'!$F:$F,1002)+SUMIFS('Gider Miktar'!BI:BI,'Gider Miktar'!$B:$B,'Emanet Miktar Dağılım'!$D20,'Gider Miktar'!$F:$F,1003)+SUMIFS('Gider Miktar'!BI:BI,'Gider Miktar'!$B:$B,'Emanet Miktar Dağılım'!$D20,'Gider Miktar'!$F:$F,1004)</f>
        <v>0</v>
      </c>
      <c r="BA20" s="9">
        <f>+SUMIFS('Gider Miktar'!BJ:BJ,'Gider Miktar'!$B:$B,'Emanet Miktar Dağılım'!$D20,'Gider Miktar'!$F:$F,1001)+SUMIFS('Gider Miktar'!BJ:BJ,'Gider Miktar'!$B:$B,'Emanet Miktar Dağılım'!$D20,'Gider Miktar'!$F:$F,1002)+SUMIFS('Gider Miktar'!BJ:BJ,'Gider Miktar'!$B:$B,'Emanet Miktar Dağılım'!$D20,'Gider Miktar'!$F:$F,1003)+SUMIFS('Gider Miktar'!BJ:BJ,'Gider Miktar'!$B:$B,'Emanet Miktar Dağılım'!$D20,'Gider Miktar'!$F:$F,1004)</f>
        <v>0</v>
      </c>
      <c r="BB20" s="9">
        <f>+SUMIFS('Gider Miktar'!BK:BK,'Gider Miktar'!$B:$B,'Emanet Miktar Dağılım'!$D20,'Gider Miktar'!$F:$F,1001)+SUMIFS('Gider Miktar'!BK:BK,'Gider Miktar'!$B:$B,'Emanet Miktar Dağılım'!$D20,'Gider Miktar'!$F:$F,1002)+SUMIFS('Gider Miktar'!BK:BK,'Gider Miktar'!$B:$B,'Emanet Miktar Dağılım'!$D20,'Gider Miktar'!$F:$F,1003)+SUMIFS('Gider Miktar'!BK:BK,'Gider Miktar'!$B:$B,'Emanet Miktar Dağılım'!$D20,'Gider Miktar'!$F:$F,1004)</f>
        <v>0</v>
      </c>
      <c r="BC20" s="9">
        <f>+SUMIFS('Gider Miktar'!BL:BL,'Gider Miktar'!$B:$B,'Emanet Miktar Dağılım'!$D20,'Gider Miktar'!$F:$F,1001)+SUMIFS('Gider Miktar'!BL:BL,'Gider Miktar'!$B:$B,'Emanet Miktar Dağılım'!$D20,'Gider Miktar'!$F:$F,1002)+SUMIFS('Gider Miktar'!BL:BL,'Gider Miktar'!$B:$B,'Emanet Miktar Dağılım'!$D20,'Gider Miktar'!$F:$F,1003)+SUMIFS('Gider Miktar'!BL:BL,'Gider Miktar'!$B:$B,'Emanet Miktar Dağılım'!$D20,'Gider Miktar'!$F:$F,1004)</f>
        <v>0</v>
      </c>
      <c r="BD20" s="9">
        <f>+SUMIFS('Gider Miktar'!BM:BM,'Gider Miktar'!$B:$B,'Emanet Miktar Dağılım'!$D20,'Gider Miktar'!$F:$F,1001)+SUMIFS('Gider Miktar'!BM:BM,'Gider Miktar'!$B:$B,'Emanet Miktar Dağılım'!$D20,'Gider Miktar'!$F:$F,1002)+SUMIFS('Gider Miktar'!BM:BM,'Gider Miktar'!$B:$B,'Emanet Miktar Dağılım'!$D20,'Gider Miktar'!$F:$F,1003)+SUMIFS('Gider Miktar'!BM:BM,'Gider Miktar'!$B:$B,'Emanet Miktar Dağılım'!$D20,'Gider Miktar'!$F:$F,1004)</f>
        <v>0</v>
      </c>
      <c r="BE20" s="9">
        <f>+SUMIFS('Gider Miktar'!BN:BN,'Gider Miktar'!$B:$B,'Emanet Miktar Dağılım'!$D20,'Gider Miktar'!$F:$F,1001)+SUMIFS('Gider Miktar'!BN:BN,'Gider Miktar'!$B:$B,'Emanet Miktar Dağılım'!$D20,'Gider Miktar'!$F:$F,1002)+SUMIFS('Gider Miktar'!BN:BN,'Gider Miktar'!$B:$B,'Emanet Miktar Dağılım'!$D20,'Gider Miktar'!$F:$F,1003)+SUMIFS('Gider Miktar'!BN:BN,'Gider Miktar'!$B:$B,'Emanet Miktar Dağılım'!$D20,'Gider Miktar'!$F:$F,1004)</f>
        <v>0</v>
      </c>
      <c r="BF20" s="9">
        <f>+SUMIFS('Gider Miktar'!BO:BO,'Gider Miktar'!$B:$B,'Emanet Miktar Dağılım'!$D20,'Gider Miktar'!$F:$F,1001)+SUMIFS('Gider Miktar'!BO:BO,'Gider Miktar'!$B:$B,'Emanet Miktar Dağılım'!$D20,'Gider Miktar'!$F:$F,1002)+SUMIFS('Gider Miktar'!BO:BO,'Gider Miktar'!$B:$B,'Emanet Miktar Dağılım'!$D20,'Gider Miktar'!$F:$F,1003)+SUMIFS('Gider Miktar'!BO:BO,'Gider Miktar'!$B:$B,'Emanet Miktar Dağılım'!$D20,'Gider Miktar'!$F:$F,1004)</f>
        <v>0</v>
      </c>
      <c r="BG20" s="9">
        <f>+SUMIFS('Gider Miktar'!BP:BP,'Gider Miktar'!$B:$B,'Emanet Miktar Dağılım'!$D20,'Gider Miktar'!$F:$F,1001)+SUMIFS('Gider Miktar'!BP:BP,'Gider Miktar'!$B:$B,'Emanet Miktar Dağılım'!$D20,'Gider Miktar'!$F:$F,1002)+SUMIFS('Gider Miktar'!BP:BP,'Gider Miktar'!$B:$B,'Emanet Miktar Dağılım'!$D20,'Gider Miktar'!$F:$F,1003)+SUMIFS('Gider Miktar'!BP:BP,'Gider Miktar'!$B:$B,'Emanet Miktar Dağılım'!$D20,'Gider Miktar'!$F:$F,1004)</f>
        <v>0</v>
      </c>
      <c r="BH20" s="9">
        <f>+SUMIFS('Gider Miktar'!BQ:BQ,'Gider Miktar'!$B:$B,'Emanet Miktar Dağılım'!$D20,'Gider Miktar'!$F:$F,1001)+SUMIFS('Gider Miktar'!BQ:BQ,'Gider Miktar'!$B:$B,'Emanet Miktar Dağılım'!$D20,'Gider Miktar'!$F:$F,1002)+SUMIFS('Gider Miktar'!BQ:BQ,'Gider Miktar'!$B:$B,'Emanet Miktar Dağılım'!$D20,'Gider Miktar'!$F:$F,1003)+SUMIFS('Gider Miktar'!BQ:BQ,'Gider Miktar'!$B:$B,'Emanet Miktar Dağılım'!$D20,'Gider Miktar'!$F:$F,1004)</f>
        <v>0</v>
      </c>
      <c r="BI20" s="9">
        <f>+SUMIFS('Gider Miktar'!BR:BR,'Gider Miktar'!$B:$B,'Emanet Miktar Dağılım'!$D20,'Gider Miktar'!$F:$F,1001)+SUMIFS('Gider Miktar'!BR:BR,'Gider Miktar'!$B:$B,'Emanet Miktar Dağılım'!$D20,'Gider Miktar'!$F:$F,1002)+SUMIFS('Gider Miktar'!BR:BR,'Gider Miktar'!$B:$B,'Emanet Miktar Dağılım'!$D20,'Gider Miktar'!$F:$F,1003)+SUMIFS('Gider Miktar'!BR:BR,'Gider Miktar'!$B:$B,'Emanet Miktar Dağılım'!$D20,'Gider Miktar'!$F:$F,1004)</f>
        <v>0</v>
      </c>
      <c r="BJ20" s="9">
        <f>+SUMIFS('Gider Miktar'!BS:BS,'Gider Miktar'!$B:$B,'Emanet Miktar Dağılım'!$D20,'Gider Miktar'!$F:$F,1001)+SUMIFS('Gider Miktar'!BS:BS,'Gider Miktar'!$B:$B,'Emanet Miktar Dağılım'!$D20,'Gider Miktar'!$F:$F,1002)+SUMIFS('Gider Miktar'!BS:BS,'Gider Miktar'!$B:$B,'Emanet Miktar Dağılım'!$D20,'Gider Miktar'!$F:$F,1003)+SUMIFS('Gider Miktar'!BS:BS,'Gider Miktar'!$B:$B,'Emanet Miktar Dağılım'!$D20,'Gider Miktar'!$F:$F,1004)</f>
        <v>0</v>
      </c>
      <c r="BK20" s="9">
        <f>+SUMIFS('Gider Miktar'!BT:BT,'Gider Miktar'!$B:$B,'Emanet Miktar Dağılım'!$D20,'Gider Miktar'!$F:$F,1001)+SUMIFS('Gider Miktar'!BT:BT,'Gider Miktar'!$B:$B,'Emanet Miktar Dağılım'!$D20,'Gider Miktar'!$F:$F,1002)+SUMIFS('Gider Miktar'!BT:BT,'Gider Miktar'!$B:$B,'Emanet Miktar Dağılım'!$D20,'Gider Miktar'!$F:$F,1003)+SUMIFS('Gider Miktar'!BT:BT,'Gider Miktar'!$B:$B,'Emanet Miktar Dağılım'!$D20,'Gider Miktar'!$F:$F,1004)</f>
        <v>0</v>
      </c>
      <c r="BL20" s="9">
        <f>+SUMIFS('Gider Miktar'!BU:BU,'Gider Miktar'!$B:$B,'Emanet Miktar Dağılım'!$D20,'Gider Miktar'!$F:$F,1001)+SUMIFS('Gider Miktar'!BU:BU,'Gider Miktar'!$B:$B,'Emanet Miktar Dağılım'!$D20,'Gider Miktar'!$F:$F,1002)+SUMIFS('Gider Miktar'!BU:BU,'Gider Miktar'!$B:$B,'Emanet Miktar Dağılım'!$D20,'Gider Miktar'!$F:$F,1003)+SUMIFS('Gider Miktar'!BU:BU,'Gider Miktar'!$B:$B,'Emanet Miktar Dağılım'!$D20,'Gider Miktar'!$F:$F,1004)</f>
        <v>0</v>
      </c>
      <c r="BM20" s="9">
        <f>+SUMIFS('Gider Miktar'!BV:BV,'Gider Miktar'!$B:$B,'Emanet Miktar Dağılım'!$D20,'Gider Miktar'!$F:$F,1001)+SUMIFS('Gider Miktar'!BV:BV,'Gider Miktar'!$B:$B,'Emanet Miktar Dağılım'!$D20,'Gider Miktar'!$F:$F,1002)+SUMIFS('Gider Miktar'!BV:BV,'Gider Miktar'!$B:$B,'Emanet Miktar Dağılım'!$D20,'Gider Miktar'!$F:$F,1003)+SUMIFS('Gider Miktar'!BV:BV,'Gider Miktar'!$B:$B,'Emanet Miktar Dağılım'!$D20,'Gider Miktar'!$F:$F,1004)</f>
        <v>0</v>
      </c>
      <c r="BN20" s="9">
        <f>+SUMIFS('Gider Miktar'!BW:BW,'Gider Miktar'!$B:$B,'Emanet Miktar Dağılım'!$D20,'Gider Miktar'!$F:$F,1001)+SUMIFS('Gider Miktar'!BW:BW,'Gider Miktar'!$B:$B,'Emanet Miktar Dağılım'!$D20,'Gider Miktar'!$F:$F,1002)+SUMIFS('Gider Miktar'!BW:BW,'Gider Miktar'!$B:$B,'Emanet Miktar Dağılım'!$D20,'Gider Miktar'!$F:$F,1003)+SUMIFS('Gider Miktar'!BW:BW,'Gider Miktar'!$B:$B,'Emanet Miktar Dağılım'!$D20,'Gider Miktar'!$F:$F,1004)</f>
        <v>0</v>
      </c>
      <c r="BO20" s="9">
        <f>+SUMIFS('Gider Miktar'!BX:BX,'Gider Miktar'!$B:$B,'Emanet Miktar Dağılım'!$D20,'Gider Miktar'!$F:$F,1001)+SUMIFS('Gider Miktar'!BX:BX,'Gider Miktar'!$B:$B,'Emanet Miktar Dağılım'!$D20,'Gider Miktar'!$F:$F,1002)+SUMIFS('Gider Miktar'!BX:BX,'Gider Miktar'!$B:$B,'Emanet Miktar Dağılım'!$D20,'Gider Miktar'!$F:$F,1003)+SUMIFS('Gider Miktar'!BX:BX,'Gider Miktar'!$B:$B,'Emanet Miktar Dağılım'!$D20,'Gider Miktar'!$F:$F,1004)</f>
        <v>0</v>
      </c>
    </row>
    <row r="21" spans="2:67">
      <c r="D21" t="s">
        <v>23</v>
      </c>
      <c r="E21" s="9">
        <f>+SUMIFS('Gider Miktar'!N:N,'Gider Miktar'!$B:$B,'Emanet Miktar Dağılım'!$D21,'Gider Miktar'!$F:$F,1001)+SUMIFS('Gider Miktar'!N:N,'Gider Miktar'!$B:$B,'Emanet Miktar Dağılım'!$D21,'Gider Miktar'!$F:$F,1002)+SUMIFS('Gider Miktar'!N:N,'Gider Miktar'!$B:$B,'Emanet Miktar Dağılım'!$D21,'Gider Miktar'!$F:$F,1003)+SUMIFS('Gider Miktar'!N:N,'Gider Miktar'!$B:$B,'Emanet Miktar Dağılım'!$D21,'Gider Miktar'!$F:$F,1004)</f>
        <v>0</v>
      </c>
      <c r="F21" s="9">
        <f>+SUMIFS('Gider Miktar'!O:O,'Gider Miktar'!$B:$B,'Emanet Miktar Dağılım'!$D21,'Gider Miktar'!$F:$F,1001)+SUMIFS('Gider Miktar'!O:O,'Gider Miktar'!$B:$B,'Emanet Miktar Dağılım'!$D21,'Gider Miktar'!$F:$F,1002)+SUMIFS('Gider Miktar'!O:O,'Gider Miktar'!$B:$B,'Emanet Miktar Dağılım'!$D21,'Gider Miktar'!$F:$F,1003)+SUMIFS('Gider Miktar'!O:O,'Gider Miktar'!$B:$B,'Emanet Miktar Dağılım'!$D21,'Gider Miktar'!$F:$F,1004)</f>
        <v>0</v>
      </c>
      <c r="G21" s="9">
        <f>+SUMIFS('Gider Miktar'!P:P,'Gider Miktar'!$B:$B,'Emanet Miktar Dağılım'!$D21,'Gider Miktar'!$F:$F,1001)+SUMIFS('Gider Miktar'!P:P,'Gider Miktar'!$B:$B,'Emanet Miktar Dağılım'!$D21,'Gider Miktar'!$F:$F,1002)+SUMIFS('Gider Miktar'!P:P,'Gider Miktar'!$B:$B,'Emanet Miktar Dağılım'!$D21,'Gider Miktar'!$F:$F,1003)+SUMIFS('Gider Miktar'!P:P,'Gider Miktar'!$B:$B,'Emanet Miktar Dağılım'!$D21,'Gider Miktar'!$F:$F,1004)</f>
        <v>0</v>
      </c>
      <c r="H21" s="9">
        <f>+SUMIFS('Gider Miktar'!Q:Q,'Gider Miktar'!$B:$B,'Emanet Miktar Dağılım'!$D21,'Gider Miktar'!$F:$F,1001)+SUMIFS('Gider Miktar'!Q:Q,'Gider Miktar'!$B:$B,'Emanet Miktar Dağılım'!$D21,'Gider Miktar'!$F:$F,1002)+SUMIFS('Gider Miktar'!Q:Q,'Gider Miktar'!$B:$B,'Emanet Miktar Dağılım'!$D21,'Gider Miktar'!$F:$F,1003)+SUMIFS('Gider Miktar'!Q:Q,'Gider Miktar'!$B:$B,'Emanet Miktar Dağılım'!$D21,'Gider Miktar'!$F:$F,1004)</f>
        <v>0</v>
      </c>
      <c r="I21" s="9">
        <f>+SUMIFS('Gider Miktar'!R:R,'Gider Miktar'!$B:$B,'Emanet Miktar Dağılım'!$D21,'Gider Miktar'!$F:$F,1001)+SUMIFS('Gider Miktar'!R:R,'Gider Miktar'!$B:$B,'Emanet Miktar Dağılım'!$D21,'Gider Miktar'!$F:$F,1002)+SUMIFS('Gider Miktar'!R:R,'Gider Miktar'!$B:$B,'Emanet Miktar Dağılım'!$D21,'Gider Miktar'!$F:$F,1003)+SUMIFS('Gider Miktar'!R:R,'Gider Miktar'!$B:$B,'Emanet Miktar Dağılım'!$D21,'Gider Miktar'!$F:$F,1004)</f>
        <v>1434</v>
      </c>
      <c r="J21" s="9">
        <f>+SUMIFS('Gider Miktar'!S:S,'Gider Miktar'!$B:$B,'Emanet Miktar Dağılım'!$D21,'Gider Miktar'!$F:$F,1001)+SUMIFS('Gider Miktar'!S:S,'Gider Miktar'!$B:$B,'Emanet Miktar Dağılım'!$D21,'Gider Miktar'!$F:$F,1002)+SUMIFS('Gider Miktar'!S:S,'Gider Miktar'!$B:$B,'Emanet Miktar Dağılım'!$D21,'Gider Miktar'!$F:$F,1003)+SUMIFS('Gider Miktar'!S:S,'Gider Miktar'!$B:$B,'Emanet Miktar Dağılım'!$D21,'Gider Miktar'!$F:$F,1004)</f>
        <v>9152</v>
      </c>
      <c r="K21" s="9">
        <f>+SUMIFS('Gider Miktar'!T:T,'Gider Miktar'!$B:$B,'Emanet Miktar Dağılım'!$D21,'Gider Miktar'!$F:$F,1001)+SUMIFS('Gider Miktar'!T:T,'Gider Miktar'!$B:$B,'Emanet Miktar Dağılım'!$D21,'Gider Miktar'!$F:$F,1002)+SUMIFS('Gider Miktar'!T:T,'Gider Miktar'!$B:$B,'Emanet Miktar Dağılım'!$D21,'Gider Miktar'!$F:$F,1003)+SUMIFS('Gider Miktar'!T:T,'Gider Miktar'!$B:$B,'Emanet Miktar Dağılım'!$D21,'Gider Miktar'!$F:$F,1004)</f>
        <v>16563</v>
      </c>
      <c r="L21" s="9">
        <f>+SUMIFS('Gider Miktar'!U:U,'Gider Miktar'!$B:$B,'Emanet Miktar Dağılım'!$D21,'Gider Miktar'!$F:$F,1001)+SUMIFS('Gider Miktar'!U:U,'Gider Miktar'!$B:$B,'Emanet Miktar Dağılım'!$D21,'Gider Miktar'!$F:$F,1002)+SUMIFS('Gider Miktar'!U:U,'Gider Miktar'!$B:$B,'Emanet Miktar Dağılım'!$D21,'Gider Miktar'!$F:$F,1003)+SUMIFS('Gider Miktar'!U:U,'Gider Miktar'!$B:$B,'Emanet Miktar Dağılım'!$D21,'Gider Miktar'!$F:$F,1004)</f>
        <v>32256</v>
      </c>
      <c r="M21" s="9">
        <f>+SUMIFS('Gider Miktar'!V:V,'Gider Miktar'!$B:$B,'Emanet Miktar Dağılım'!$D21,'Gider Miktar'!$F:$F,1001)+SUMIFS('Gider Miktar'!V:V,'Gider Miktar'!$B:$B,'Emanet Miktar Dağılım'!$D21,'Gider Miktar'!$F:$F,1002)+SUMIFS('Gider Miktar'!V:V,'Gider Miktar'!$B:$B,'Emanet Miktar Dağılım'!$D21,'Gider Miktar'!$F:$F,1003)+SUMIFS('Gider Miktar'!V:V,'Gider Miktar'!$B:$B,'Emanet Miktar Dağılım'!$D21,'Gider Miktar'!$F:$F,1004)</f>
        <v>32742</v>
      </c>
      <c r="N21" s="11">
        <f>+SUMIFS('Gider Miktar'!W:W,'Gider Miktar'!$B:$B,'Emanet Miktar Dağılım'!$D21,'Gider Miktar'!$F:$F,1001)+SUMIFS('Gider Miktar'!W:W,'Gider Miktar'!$B:$B,'Emanet Miktar Dağılım'!$D21,'Gider Miktar'!$F:$F,1002)+SUMIFS('Gider Miktar'!W:W,'Gider Miktar'!$B:$B,'Emanet Miktar Dağılım'!$D21,'Gider Miktar'!$F:$F,1003)+SUMIFS('Gider Miktar'!W:W,'Gider Miktar'!$B:$B,'Emanet Miktar Dağılım'!$D21,'Gider Miktar'!$F:$F,1004)</f>
        <v>48014</v>
      </c>
      <c r="O21" s="9">
        <f>+SUMIFS('Gider Miktar'!X:X,'Gider Miktar'!$B:$B,'Emanet Miktar Dağılım'!$D21,'Gider Miktar'!$F:$F,1001)+SUMIFS('Gider Miktar'!X:X,'Gider Miktar'!$B:$B,'Emanet Miktar Dağılım'!$D21,'Gider Miktar'!$F:$F,1002)+SUMIFS('Gider Miktar'!X:X,'Gider Miktar'!$B:$B,'Emanet Miktar Dağılım'!$D21,'Gider Miktar'!$F:$F,1003)+SUMIFS('Gider Miktar'!X:X,'Gider Miktar'!$B:$B,'Emanet Miktar Dağılım'!$D21,'Gider Miktar'!$F:$F,1004)</f>
        <v>9621.3313750361249</v>
      </c>
      <c r="P21" s="9">
        <f>+SUMIFS('Gider Miktar'!Y:Y,'Gider Miktar'!$B:$B,'Emanet Miktar Dağılım'!$D21,'Gider Miktar'!$F:$F,1001)+SUMIFS('Gider Miktar'!Y:Y,'Gider Miktar'!$B:$B,'Emanet Miktar Dağılım'!$D21,'Gider Miktar'!$F:$F,1002)+SUMIFS('Gider Miktar'!Y:Y,'Gider Miktar'!$B:$B,'Emanet Miktar Dağılım'!$D21,'Gider Miktar'!$F:$F,1003)+SUMIFS('Gider Miktar'!Y:Y,'Gider Miktar'!$B:$B,'Emanet Miktar Dağılım'!$D21,'Gider Miktar'!$F:$F,1004)</f>
        <v>10891.376003957563</v>
      </c>
      <c r="Q21" s="9">
        <f>+SUMIFS('Gider Miktar'!Z:Z,'Gider Miktar'!$B:$B,'Emanet Miktar Dağılım'!$D21,'Gider Miktar'!$F:$F,1001)+SUMIFS('Gider Miktar'!Z:Z,'Gider Miktar'!$B:$B,'Emanet Miktar Dağılım'!$D21,'Gider Miktar'!$F:$F,1002)+SUMIFS('Gider Miktar'!Z:Z,'Gider Miktar'!$B:$B,'Emanet Miktar Dağılım'!$D21,'Gider Miktar'!$F:$F,1003)+SUMIFS('Gider Miktar'!Z:Z,'Gider Miktar'!$B:$B,'Emanet Miktar Dağılım'!$D21,'Gider Miktar'!$F:$F,1004)</f>
        <v>8729.2284772964649</v>
      </c>
      <c r="R21" s="9">
        <f>+SUMIFS('Gider Miktar'!AA:AA,'Gider Miktar'!$B:$B,'Emanet Miktar Dağılım'!$D21,'Gider Miktar'!$F:$F,1001)+SUMIFS('Gider Miktar'!AA:AA,'Gider Miktar'!$B:$B,'Emanet Miktar Dağılım'!$D21,'Gider Miktar'!$F:$F,1002)+SUMIFS('Gider Miktar'!AA:AA,'Gider Miktar'!$B:$B,'Emanet Miktar Dağılım'!$D21,'Gider Miktar'!$F:$F,1003)+SUMIFS('Gider Miktar'!AA:AA,'Gider Miktar'!$B:$B,'Emanet Miktar Dağılım'!$D21,'Gider Miktar'!$F:$F,1004)</f>
        <v>7882.622737782116</v>
      </c>
      <c r="S21" s="9">
        <f>+SUMIFS('Gider Miktar'!AB:AB,'Gider Miktar'!$B:$B,'Emanet Miktar Dağılım'!$D21,'Gider Miktar'!$F:$F,1001)+SUMIFS('Gider Miktar'!AB:AB,'Gider Miktar'!$B:$B,'Emanet Miktar Dağılım'!$D21,'Gider Miktar'!$F:$F,1002)+SUMIFS('Gider Miktar'!AB:AB,'Gider Miktar'!$B:$B,'Emanet Miktar Dağılım'!$D21,'Gider Miktar'!$F:$F,1003)+SUMIFS('Gider Miktar'!AB:AB,'Gider Miktar'!$B:$B,'Emanet Miktar Dağılım'!$D21,'Gider Miktar'!$F:$F,1004)</f>
        <v>8211.3058363736927</v>
      </c>
      <c r="T21" s="9">
        <f>+SUMIFS('Gider Miktar'!AC:AC,'Gider Miktar'!$B:$B,'Emanet Miktar Dağılım'!$D21,'Gider Miktar'!$F:$F,1001)+SUMIFS('Gider Miktar'!AC:AC,'Gider Miktar'!$B:$B,'Emanet Miktar Dağılım'!$D21,'Gider Miktar'!$F:$F,1002)+SUMIFS('Gider Miktar'!AC:AC,'Gider Miktar'!$B:$B,'Emanet Miktar Dağılım'!$D21,'Gider Miktar'!$F:$F,1003)+SUMIFS('Gider Miktar'!AC:AC,'Gider Miktar'!$B:$B,'Emanet Miktar Dağılım'!$D21,'Gider Miktar'!$F:$F,1004)</f>
        <v>10437.328622773604</v>
      </c>
      <c r="U21" s="9">
        <f>+SUMIFS('Gider Miktar'!AD:AD,'Gider Miktar'!$B:$B,'Emanet Miktar Dağılım'!$D21,'Gider Miktar'!$F:$F,1001)+SUMIFS('Gider Miktar'!AD:AD,'Gider Miktar'!$B:$B,'Emanet Miktar Dağılım'!$D21,'Gider Miktar'!$F:$F,1002)+SUMIFS('Gider Miktar'!AD:AD,'Gider Miktar'!$B:$B,'Emanet Miktar Dağılım'!$D21,'Gider Miktar'!$F:$F,1003)+SUMIFS('Gider Miktar'!AD:AD,'Gider Miktar'!$B:$B,'Emanet Miktar Dağılım'!$D21,'Gider Miktar'!$F:$F,1004)</f>
        <v>9929.3638340412144</v>
      </c>
      <c r="V21" s="9">
        <f>+SUMIFS('Gider Miktar'!AE:AE,'Gider Miktar'!$B:$B,'Emanet Miktar Dağılım'!$D21,'Gider Miktar'!$F:$F,1001)+SUMIFS('Gider Miktar'!AE:AE,'Gider Miktar'!$B:$B,'Emanet Miktar Dağılım'!$D21,'Gider Miktar'!$F:$F,1002)+SUMIFS('Gider Miktar'!AE:AE,'Gider Miktar'!$B:$B,'Emanet Miktar Dağılım'!$D21,'Gider Miktar'!$F:$F,1003)+SUMIFS('Gider Miktar'!AE:AE,'Gider Miktar'!$B:$B,'Emanet Miktar Dağılım'!$D21,'Gider Miktar'!$F:$F,1004)</f>
        <v>11515.28740092019</v>
      </c>
      <c r="W21" s="9">
        <f>+SUMIFS('Gider Miktar'!AF:AF,'Gider Miktar'!$B:$B,'Emanet Miktar Dağılım'!$D21,'Gider Miktar'!$F:$F,1001)+SUMIFS('Gider Miktar'!AF:AF,'Gider Miktar'!$B:$B,'Emanet Miktar Dağılım'!$D21,'Gider Miktar'!$F:$F,1002)+SUMIFS('Gider Miktar'!AF:AF,'Gider Miktar'!$B:$B,'Emanet Miktar Dağılım'!$D21,'Gider Miktar'!$F:$F,1003)+SUMIFS('Gider Miktar'!AF:AF,'Gider Miktar'!$B:$B,'Emanet Miktar Dağılım'!$D21,'Gider Miktar'!$F:$F,1004)</f>
        <v>9650.0585914185867</v>
      </c>
      <c r="X21" s="9">
        <f>+SUMIFS('Gider Miktar'!AG:AG,'Gider Miktar'!$B:$B,'Emanet Miktar Dağılım'!$D21,'Gider Miktar'!$F:$F,1001)+SUMIFS('Gider Miktar'!AG:AG,'Gider Miktar'!$B:$B,'Emanet Miktar Dağılım'!$D21,'Gider Miktar'!$F:$F,1002)+SUMIFS('Gider Miktar'!AG:AG,'Gider Miktar'!$B:$B,'Emanet Miktar Dağılım'!$D21,'Gider Miktar'!$F:$F,1003)+SUMIFS('Gider Miktar'!AG:AG,'Gider Miktar'!$B:$B,'Emanet Miktar Dağılım'!$D21,'Gider Miktar'!$F:$F,1004)</f>
        <v>5288.7680235092284</v>
      </c>
      <c r="Y21" s="9">
        <f>+SUMIFS('Gider Miktar'!AH:AH,'Gider Miktar'!$B:$B,'Emanet Miktar Dağılım'!$D21,'Gider Miktar'!$F:$F,1001)+SUMIFS('Gider Miktar'!AH:AH,'Gider Miktar'!$B:$B,'Emanet Miktar Dağılım'!$D21,'Gider Miktar'!$F:$F,1002)+SUMIFS('Gider Miktar'!AH:AH,'Gider Miktar'!$B:$B,'Emanet Miktar Dağılım'!$D21,'Gider Miktar'!$F:$F,1003)+SUMIFS('Gider Miktar'!AH:AH,'Gider Miktar'!$B:$B,'Emanet Miktar Dağılım'!$D21,'Gider Miktar'!$F:$F,1004)</f>
        <v>6622.997992154219</v>
      </c>
      <c r="Z21" s="9">
        <f>+SUMIFS('Gider Miktar'!AI:AI,'Gider Miktar'!$B:$B,'Emanet Miktar Dağılım'!$D21,'Gider Miktar'!$F:$F,1001)+SUMIFS('Gider Miktar'!AI:AI,'Gider Miktar'!$B:$B,'Emanet Miktar Dağılım'!$D21,'Gider Miktar'!$F:$F,1002)+SUMIFS('Gider Miktar'!AI:AI,'Gider Miktar'!$B:$B,'Emanet Miktar Dağılım'!$D21,'Gider Miktar'!$F:$F,1003)+SUMIFS('Gider Miktar'!AI:AI,'Gider Miktar'!$B:$B,'Emanet Miktar Dağılım'!$D21,'Gider Miktar'!$F:$F,1004)</f>
        <v>6874.6915903882136</v>
      </c>
      <c r="AA21" s="9">
        <f>+SUMIFS('Gider Miktar'!AJ:AJ,'Gider Miktar'!$B:$B,'Emanet Miktar Dağılım'!$D21,'Gider Miktar'!$F:$F,1001)+SUMIFS('Gider Miktar'!AJ:AJ,'Gider Miktar'!$B:$B,'Emanet Miktar Dağılım'!$D21,'Gider Miktar'!$F:$F,1002)+SUMIFS('Gider Miktar'!AJ:AJ,'Gider Miktar'!$B:$B,'Emanet Miktar Dağılım'!$D21,'Gider Miktar'!$F:$F,1003)+SUMIFS('Gider Miktar'!AJ:AJ,'Gider Miktar'!$B:$B,'Emanet Miktar Dağılım'!$D21,'Gider Miktar'!$F:$F,1004)</f>
        <v>6716.0992337003145</v>
      </c>
      <c r="AB21" s="9">
        <f>+SUMIFS('Gider Miktar'!AK:AK,'Gider Miktar'!$B:$B,'Emanet Miktar Dağılım'!$D21,'Gider Miktar'!$F:$F,1001)+SUMIFS('Gider Miktar'!AK:AK,'Gider Miktar'!$B:$B,'Emanet Miktar Dağılım'!$D21,'Gider Miktar'!$F:$F,1002)+SUMIFS('Gider Miktar'!AK:AK,'Gider Miktar'!$B:$B,'Emanet Miktar Dağılım'!$D21,'Gider Miktar'!$F:$F,1003)+SUMIFS('Gider Miktar'!AK:AK,'Gider Miktar'!$B:$B,'Emanet Miktar Dağılım'!$D21,'Gider Miktar'!$F:$F,1004)</f>
        <v>6716.0992337003145</v>
      </c>
      <c r="AC21" s="9">
        <f>+SUMIFS('Gider Miktar'!AL:AL,'Gider Miktar'!$B:$B,'Emanet Miktar Dağılım'!$D21,'Gider Miktar'!$F:$F,1001)+SUMIFS('Gider Miktar'!AL:AL,'Gider Miktar'!$B:$B,'Emanet Miktar Dağılım'!$D21,'Gider Miktar'!$F:$F,1002)+SUMIFS('Gider Miktar'!AL:AL,'Gider Miktar'!$B:$B,'Emanet Miktar Dağılım'!$D21,'Gider Miktar'!$F:$F,1003)+SUMIFS('Gider Miktar'!AL:AL,'Gider Miktar'!$B:$B,'Emanet Miktar Dağılım'!$D21,'Gider Miktar'!$F:$F,1004)</f>
        <v>2037.6247114073185</v>
      </c>
      <c r="AD21" s="9">
        <f>+SUMIFS('Gider Miktar'!AM:AM,'Gider Miktar'!$B:$B,'Emanet Miktar Dağılım'!$D21,'Gider Miktar'!$F:$F,1001)+SUMIFS('Gider Miktar'!AM:AM,'Gider Miktar'!$B:$B,'Emanet Miktar Dağılım'!$D21,'Gider Miktar'!$F:$F,1002)+SUMIFS('Gider Miktar'!AM:AM,'Gider Miktar'!$B:$B,'Emanet Miktar Dağılım'!$D21,'Gider Miktar'!$F:$F,1003)+SUMIFS('Gider Miktar'!AM:AM,'Gider Miktar'!$B:$B,'Emanet Miktar Dağılım'!$D21,'Gider Miktar'!$F:$F,1004)</f>
        <v>1006.7743929359816</v>
      </c>
      <c r="AE21" s="9">
        <f>+SUMIFS('Gider Miktar'!AN:AN,'Gider Miktar'!$B:$B,'Emanet Miktar Dağılım'!$D21,'Gider Miktar'!$F:$F,1001)+SUMIFS('Gider Miktar'!AN:AN,'Gider Miktar'!$B:$B,'Emanet Miktar Dağılım'!$D21,'Gider Miktar'!$F:$F,1002)+SUMIFS('Gider Miktar'!AN:AN,'Gider Miktar'!$B:$B,'Emanet Miktar Dağılım'!$D21,'Gider Miktar'!$F:$F,1003)+SUMIFS('Gider Miktar'!AN:AN,'Gider Miktar'!$B:$B,'Emanet Miktar Dağılım'!$D21,'Gider Miktar'!$F:$F,1004)</f>
        <v>1006.7743929359816</v>
      </c>
      <c r="AF21" s="9">
        <f>+SUMIFS('Gider Miktar'!AO:AO,'Gider Miktar'!$B:$B,'Emanet Miktar Dağılım'!$D21,'Gider Miktar'!$F:$F,1001)+SUMIFS('Gider Miktar'!AO:AO,'Gider Miktar'!$B:$B,'Emanet Miktar Dağılım'!$D21,'Gider Miktar'!$F:$F,1002)+SUMIFS('Gider Miktar'!AO:AO,'Gider Miktar'!$B:$B,'Emanet Miktar Dağılım'!$D21,'Gider Miktar'!$F:$F,1003)+SUMIFS('Gider Miktar'!AO:AO,'Gider Miktar'!$B:$B,'Emanet Miktar Dağılım'!$D21,'Gider Miktar'!$F:$F,1004)</f>
        <v>1006.7743929359816</v>
      </c>
      <c r="AG21" s="9">
        <f>+SUMIFS('Gider Miktar'!AP:AP,'Gider Miktar'!$B:$B,'Emanet Miktar Dağılım'!$D21,'Gider Miktar'!$F:$F,1001)+SUMIFS('Gider Miktar'!AP:AP,'Gider Miktar'!$B:$B,'Emanet Miktar Dağılım'!$D21,'Gider Miktar'!$F:$F,1002)+SUMIFS('Gider Miktar'!AP:AP,'Gider Miktar'!$B:$B,'Emanet Miktar Dağılım'!$D21,'Gider Miktar'!$F:$F,1003)+SUMIFS('Gider Miktar'!AP:AP,'Gider Miktar'!$B:$B,'Emanet Miktar Dağılım'!$D21,'Gider Miktar'!$F:$F,1004)</f>
        <v>1006.7743929359816</v>
      </c>
      <c r="AH21" s="9">
        <f>+SUMIFS('Gider Miktar'!AQ:AQ,'Gider Miktar'!$B:$B,'Emanet Miktar Dağılım'!$D21,'Gider Miktar'!$F:$F,1001)+SUMIFS('Gider Miktar'!AQ:AQ,'Gider Miktar'!$B:$B,'Emanet Miktar Dağılım'!$D21,'Gider Miktar'!$F:$F,1002)+SUMIFS('Gider Miktar'!AQ:AQ,'Gider Miktar'!$B:$B,'Emanet Miktar Dağılım'!$D21,'Gider Miktar'!$F:$F,1003)+SUMIFS('Gider Miktar'!AQ:AQ,'Gider Miktar'!$B:$B,'Emanet Miktar Dağılım'!$D21,'Gider Miktar'!$F:$F,1004)</f>
        <v>755.08079470198629</v>
      </c>
      <c r="AI21" s="9">
        <f>+SUMIFS('Gider Miktar'!AR:AR,'Gider Miktar'!$B:$B,'Emanet Miktar Dağılım'!$D21,'Gider Miktar'!$F:$F,1001)+SUMIFS('Gider Miktar'!AR:AR,'Gider Miktar'!$B:$B,'Emanet Miktar Dağılım'!$D21,'Gider Miktar'!$F:$F,1002)+SUMIFS('Gider Miktar'!AR:AR,'Gider Miktar'!$B:$B,'Emanet Miktar Dağılım'!$D21,'Gider Miktar'!$F:$F,1003)+SUMIFS('Gider Miktar'!AR:AR,'Gider Miktar'!$B:$B,'Emanet Miktar Dağılım'!$D21,'Gider Miktar'!$F:$F,1004)</f>
        <v>892.36821192052901</v>
      </c>
      <c r="AJ21" s="9">
        <f>+SUMIFS('Gider Miktar'!AS:AS,'Gider Miktar'!$B:$B,'Emanet Miktar Dağılım'!$D21,'Gider Miktar'!$F:$F,1001)+SUMIFS('Gider Miktar'!AS:AS,'Gider Miktar'!$B:$B,'Emanet Miktar Dağılım'!$D21,'Gider Miktar'!$F:$F,1002)+SUMIFS('Gider Miktar'!AS:AS,'Gider Miktar'!$B:$B,'Emanet Miktar Dağılım'!$D21,'Gider Miktar'!$F:$F,1003)+SUMIFS('Gider Miktar'!AS:AS,'Gider Miktar'!$B:$B,'Emanet Miktar Dağılım'!$D21,'Gider Miktar'!$F:$F,1004)</f>
        <v>549.14966887417347</v>
      </c>
      <c r="AK21" s="9">
        <f>+SUMIFS('Gider Miktar'!AT:AT,'Gider Miktar'!$B:$B,'Emanet Miktar Dağılım'!$D21,'Gider Miktar'!$F:$F,1001)+SUMIFS('Gider Miktar'!AT:AT,'Gider Miktar'!$B:$B,'Emanet Miktar Dağılım'!$D21,'Gider Miktar'!$F:$F,1002)+SUMIFS('Gider Miktar'!AT:AT,'Gider Miktar'!$B:$B,'Emanet Miktar Dağılım'!$D21,'Gider Miktar'!$F:$F,1003)+SUMIFS('Gider Miktar'!AT:AT,'Gider Miktar'!$B:$B,'Emanet Miktar Dağılım'!$D21,'Gider Miktar'!$F:$F,1004)</f>
        <v>411.86225165562814</v>
      </c>
      <c r="AL21" s="9">
        <f>+SUMIFS('Gider Miktar'!AU:AU,'Gider Miktar'!$B:$B,'Emanet Miktar Dağılım'!$D21,'Gider Miktar'!$F:$F,1001)+SUMIFS('Gider Miktar'!AU:AU,'Gider Miktar'!$B:$B,'Emanet Miktar Dağılım'!$D21,'Gider Miktar'!$F:$F,1002)+SUMIFS('Gider Miktar'!AU:AU,'Gider Miktar'!$B:$B,'Emanet Miktar Dağılım'!$D21,'Gider Miktar'!$F:$F,1003)+SUMIFS('Gider Miktar'!AU:AU,'Gider Miktar'!$B:$B,'Emanet Miktar Dağılım'!$D21,'Gider Miktar'!$F:$F,1004)</f>
        <v>549.14966887417347</v>
      </c>
      <c r="AM21" s="9">
        <f>+SUMIFS('Gider Miktar'!AV:AV,'Gider Miktar'!$B:$B,'Emanet Miktar Dağılım'!$D21,'Gider Miktar'!$F:$F,1001)+SUMIFS('Gider Miktar'!AV:AV,'Gider Miktar'!$B:$B,'Emanet Miktar Dağılım'!$D21,'Gider Miktar'!$F:$F,1002)+SUMIFS('Gider Miktar'!AV:AV,'Gider Miktar'!$B:$B,'Emanet Miktar Dağılım'!$D21,'Gider Miktar'!$F:$F,1003)+SUMIFS('Gider Miktar'!AV:AV,'Gider Miktar'!$B:$B,'Emanet Miktar Dağılım'!$D21,'Gider Miktar'!$F:$F,1004)</f>
        <v>549.14966887417347</v>
      </c>
      <c r="AN21" s="9">
        <f>+SUMIFS('Gider Miktar'!AW:AW,'Gider Miktar'!$B:$B,'Emanet Miktar Dağılım'!$D21,'Gider Miktar'!$F:$F,1001)+SUMIFS('Gider Miktar'!AW:AW,'Gider Miktar'!$B:$B,'Emanet Miktar Dağılım'!$D21,'Gider Miktar'!$F:$F,1002)+SUMIFS('Gider Miktar'!AW:AW,'Gider Miktar'!$B:$B,'Emanet Miktar Dağılım'!$D21,'Gider Miktar'!$F:$F,1003)+SUMIFS('Gider Miktar'!AW:AW,'Gider Miktar'!$B:$B,'Emanet Miktar Dağılım'!$D21,'Gider Miktar'!$F:$F,1004)</f>
        <v>549.14966887417347</v>
      </c>
      <c r="AO21" s="9">
        <f>+SUMIFS('Gider Miktar'!AX:AX,'Gider Miktar'!$B:$B,'Emanet Miktar Dağılım'!$D21,'Gider Miktar'!$F:$F,1001)+SUMIFS('Gider Miktar'!AX:AX,'Gider Miktar'!$B:$B,'Emanet Miktar Dağılım'!$D21,'Gider Miktar'!$F:$F,1002)+SUMIFS('Gider Miktar'!AX:AX,'Gider Miktar'!$B:$B,'Emanet Miktar Dağılım'!$D21,'Gider Miktar'!$F:$F,1003)+SUMIFS('Gider Miktar'!AX:AX,'Gider Miktar'!$B:$B,'Emanet Miktar Dağılım'!$D21,'Gider Miktar'!$F:$F,1004)</f>
        <v>549.14966887417347</v>
      </c>
      <c r="AP21" s="9">
        <f>+SUMIFS('Gider Miktar'!AY:AY,'Gider Miktar'!$B:$B,'Emanet Miktar Dağılım'!$D21,'Gider Miktar'!$F:$F,1001)+SUMIFS('Gider Miktar'!AY:AY,'Gider Miktar'!$B:$B,'Emanet Miktar Dağılım'!$D21,'Gider Miktar'!$F:$F,1002)+SUMIFS('Gider Miktar'!AY:AY,'Gider Miktar'!$B:$B,'Emanet Miktar Dağılım'!$D21,'Gider Miktar'!$F:$F,1003)+SUMIFS('Gider Miktar'!AY:AY,'Gider Miktar'!$B:$B,'Emanet Miktar Dağılım'!$D21,'Gider Miktar'!$F:$F,1004)</f>
        <v>354.65916114790184</v>
      </c>
      <c r="AQ21" s="9">
        <f>+SUMIFS('Gider Miktar'!AZ:AZ,'Gider Miktar'!$B:$B,'Emanet Miktar Dağılım'!$D21,'Gider Miktar'!$F:$F,1001)+SUMIFS('Gider Miktar'!AZ:AZ,'Gider Miktar'!$B:$B,'Emanet Miktar Dağılım'!$D21,'Gider Miktar'!$F:$F,1002)+SUMIFS('Gider Miktar'!AZ:AZ,'Gider Miktar'!$B:$B,'Emanet Miktar Dağılım'!$D21,'Gider Miktar'!$F:$F,1003)+SUMIFS('Gider Miktar'!AZ:AZ,'Gider Miktar'!$B:$B,'Emanet Miktar Dağılım'!$D21,'Gider Miktar'!$F:$F,1004)</f>
        <v>0</v>
      </c>
      <c r="AR21" s="9">
        <f>+SUMIFS('Gider Miktar'!BA:BA,'Gider Miktar'!$B:$B,'Emanet Miktar Dağılım'!$D21,'Gider Miktar'!$F:$F,1001)+SUMIFS('Gider Miktar'!BA:BA,'Gider Miktar'!$B:$B,'Emanet Miktar Dağılım'!$D21,'Gider Miktar'!$F:$F,1002)+SUMIFS('Gider Miktar'!BA:BA,'Gider Miktar'!$B:$B,'Emanet Miktar Dağılım'!$D21,'Gider Miktar'!$F:$F,1003)+SUMIFS('Gider Miktar'!BA:BA,'Gider Miktar'!$B:$B,'Emanet Miktar Dağılım'!$D21,'Gider Miktar'!$F:$F,1004)</f>
        <v>0</v>
      </c>
      <c r="AS21" s="9">
        <f>+SUMIFS('Gider Miktar'!BB:BB,'Gider Miktar'!$B:$B,'Emanet Miktar Dağılım'!$D21,'Gider Miktar'!$F:$F,1001)+SUMIFS('Gider Miktar'!BB:BB,'Gider Miktar'!$B:$B,'Emanet Miktar Dağılım'!$D21,'Gider Miktar'!$F:$F,1002)+SUMIFS('Gider Miktar'!BB:BB,'Gider Miktar'!$B:$B,'Emanet Miktar Dağılım'!$D21,'Gider Miktar'!$F:$F,1003)+SUMIFS('Gider Miktar'!BB:BB,'Gider Miktar'!$B:$B,'Emanet Miktar Dağılım'!$D21,'Gider Miktar'!$F:$F,1004)</f>
        <v>0</v>
      </c>
      <c r="AT21" s="9">
        <f>+SUMIFS('Gider Miktar'!BC:BC,'Gider Miktar'!$B:$B,'Emanet Miktar Dağılım'!$D21,'Gider Miktar'!$F:$F,1001)+SUMIFS('Gider Miktar'!BC:BC,'Gider Miktar'!$B:$B,'Emanet Miktar Dağılım'!$D21,'Gider Miktar'!$F:$F,1002)+SUMIFS('Gider Miktar'!BC:BC,'Gider Miktar'!$B:$B,'Emanet Miktar Dağılım'!$D21,'Gider Miktar'!$F:$F,1003)+SUMIFS('Gider Miktar'!BC:BC,'Gider Miktar'!$B:$B,'Emanet Miktar Dağılım'!$D21,'Gider Miktar'!$F:$F,1004)</f>
        <v>0</v>
      </c>
      <c r="AU21" s="9">
        <f>+SUMIFS('Gider Miktar'!BD:BD,'Gider Miktar'!$B:$B,'Emanet Miktar Dağılım'!$D21,'Gider Miktar'!$F:$F,1001)+SUMIFS('Gider Miktar'!BD:BD,'Gider Miktar'!$B:$B,'Emanet Miktar Dağılım'!$D21,'Gider Miktar'!$F:$F,1002)+SUMIFS('Gider Miktar'!BD:BD,'Gider Miktar'!$B:$B,'Emanet Miktar Dağılım'!$D21,'Gider Miktar'!$F:$F,1003)+SUMIFS('Gider Miktar'!BD:BD,'Gider Miktar'!$B:$B,'Emanet Miktar Dağılım'!$D21,'Gider Miktar'!$F:$F,1004)</f>
        <v>0</v>
      </c>
      <c r="AV21" s="9">
        <f>+SUMIFS('Gider Miktar'!BE:BE,'Gider Miktar'!$B:$B,'Emanet Miktar Dağılım'!$D21,'Gider Miktar'!$F:$F,1001)+SUMIFS('Gider Miktar'!BE:BE,'Gider Miktar'!$B:$B,'Emanet Miktar Dağılım'!$D21,'Gider Miktar'!$F:$F,1002)+SUMIFS('Gider Miktar'!BE:BE,'Gider Miktar'!$B:$B,'Emanet Miktar Dağılım'!$D21,'Gider Miktar'!$F:$F,1003)+SUMIFS('Gider Miktar'!BE:BE,'Gider Miktar'!$B:$B,'Emanet Miktar Dağılım'!$D21,'Gider Miktar'!$F:$F,1004)</f>
        <v>0</v>
      </c>
      <c r="AW21" s="9">
        <f>+SUMIFS('Gider Miktar'!BF:BF,'Gider Miktar'!$B:$B,'Emanet Miktar Dağılım'!$D21,'Gider Miktar'!$F:$F,1001)+SUMIFS('Gider Miktar'!BF:BF,'Gider Miktar'!$B:$B,'Emanet Miktar Dağılım'!$D21,'Gider Miktar'!$F:$F,1002)+SUMIFS('Gider Miktar'!BF:BF,'Gider Miktar'!$B:$B,'Emanet Miktar Dağılım'!$D21,'Gider Miktar'!$F:$F,1003)+SUMIFS('Gider Miktar'!BF:BF,'Gider Miktar'!$B:$B,'Emanet Miktar Dağılım'!$D21,'Gider Miktar'!$F:$F,1004)</f>
        <v>0</v>
      </c>
      <c r="AX21" s="9">
        <f>+SUMIFS('Gider Miktar'!BG:BG,'Gider Miktar'!$B:$B,'Emanet Miktar Dağılım'!$D21,'Gider Miktar'!$F:$F,1001)+SUMIFS('Gider Miktar'!BG:BG,'Gider Miktar'!$B:$B,'Emanet Miktar Dağılım'!$D21,'Gider Miktar'!$F:$F,1002)+SUMIFS('Gider Miktar'!BG:BG,'Gider Miktar'!$B:$B,'Emanet Miktar Dağılım'!$D21,'Gider Miktar'!$F:$F,1003)+SUMIFS('Gider Miktar'!BG:BG,'Gider Miktar'!$B:$B,'Emanet Miktar Dağılım'!$D21,'Gider Miktar'!$F:$F,1004)</f>
        <v>0</v>
      </c>
      <c r="AY21" s="9">
        <f>+SUMIFS('Gider Miktar'!BH:BH,'Gider Miktar'!$B:$B,'Emanet Miktar Dağılım'!$D21,'Gider Miktar'!$F:$F,1001)+SUMIFS('Gider Miktar'!BH:BH,'Gider Miktar'!$B:$B,'Emanet Miktar Dağılım'!$D21,'Gider Miktar'!$F:$F,1002)+SUMIFS('Gider Miktar'!BH:BH,'Gider Miktar'!$B:$B,'Emanet Miktar Dağılım'!$D21,'Gider Miktar'!$F:$F,1003)+SUMIFS('Gider Miktar'!BH:BH,'Gider Miktar'!$B:$B,'Emanet Miktar Dağılım'!$D21,'Gider Miktar'!$F:$F,1004)</f>
        <v>0</v>
      </c>
      <c r="AZ21" s="9">
        <f>+SUMIFS('Gider Miktar'!BI:BI,'Gider Miktar'!$B:$B,'Emanet Miktar Dağılım'!$D21,'Gider Miktar'!$F:$F,1001)+SUMIFS('Gider Miktar'!BI:BI,'Gider Miktar'!$B:$B,'Emanet Miktar Dağılım'!$D21,'Gider Miktar'!$F:$F,1002)+SUMIFS('Gider Miktar'!BI:BI,'Gider Miktar'!$B:$B,'Emanet Miktar Dağılım'!$D21,'Gider Miktar'!$F:$F,1003)+SUMIFS('Gider Miktar'!BI:BI,'Gider Miktar'!$B:$B,'Emanet Miktar Dağılım'!$D21,'Gider Miktar'!$F:$F,1004)</f>
        <v>0</v>
      </c>
      <c r="BA21" s="9">
        <f>+SUMIFS('Gider Miktar'!BJ:BJ,'Gider Miktar'!$B:$B,'Emanet Miktar Dağılım'!$D21,'Gider Miktar'!$F:$F,1001)+SUMIFS('Gider Miktar'!BJ:BJ,'Gider Miktar'!$B:$B,'Emanet Miktar Dağılım'!$D21,'Gider Miktar'!$F:$F,1002)+SUMIFS('Gider Miktar'!BJ:BJ,'Gider Miktar'!$B:$B,'Emanet Miktar Dağılım'!$D21,'Gider Miktar'!$F:$F,1003)+SUMIFS('Gider Miktar'!BJ:BJ,'Gider Miktar'!$B:$B,'Emanet Miktar Dağılım'!$D21,'Gider Miktar'!$F:$F,1004)</f>
        <v>0</v>
      </c>
      <c r="BB21" s="9">
        <f>+SUMIFS('Gider Miktar'!BK:BK,'Gider Miktar'!$B:$B,'Emanet Miktar Dağılım'!$D21,'Gider Miktar'!$F:$F,1001)+SUMIFS('Gider Miktar'!BK:BK,'Gider Miktar'!$B:$B,'Emanet Miktar Dağılım'!$D21,'Gider Miktar'!$F:$F,1002)+SUMIFS('Gider Miktar'!BK:BK,'Gider Miktar'!$B:$B,'Emanet Miktar Dağılım'!$D21,'Gider Miktar'!$F:$F,1003)+SUMIFS('Gider Miktar'!BK:BK,'Gider Miktar'!$B:$B,'Emanet Miktar Dağılım'!$D21,'Gider Miktar'!$F:$F,1004)</f>
        <v>0</v>
      </c>
      <c r="BC21" s="9">
        <f>+SUMIFS('Gider Miktar'!BL:BL,'Gider Miktar'!$B:$B,'Emanet Miktar Dağılım'!$D21,'Gider Miktar'!$F:$F,1001)+SUMIFS('Gider Miktar'!BL:BL,'Gider Miktar'!$B:$B,'Emanet Miktar Dağılım'!$D21,'Gider Miktar'!$F:$F,1002)+SUMIFS('Gider Miktar'!BL:BL,'Gider Miktar'!$B:$B,'Emanet Miktar Dağılım'!$D21,'Gider Miktar'!$F:$F,1003)+SUMIFS('Gider Miktar'!BL:BL,'Gider Miktar'!$B:$B,'Emanet Miktar Dağılım'!$D21,'Gider Miktar'!$F:$F,1004)</f>
        <v>0</v>
      </c>
      <c r="BD21" s="9">
        <f>+SUMIFS('Gider Miktar'!BM:BM,'Gider Miktar'!$B:$B,'Emanet Miktar Dağılım'!$D21,'Gider Miktar'!$F:$F,1001)+SUMIFS('Gider Miktar'!BM:BM,'Gider Miktar'!$B:$B,'Emanet Miktar Dağılım'!$D21,'Gider Miktar'!$F:$F,1002)+SUMIFS('Gider Miktar'!BM:BM,'Gider Miktar'!$B:$B,'Emanet Miktar Dağılım'!$D21,'Gider Miktar'!$F:$F,1003)+SUMIFS('Gider Miktar'!BM:BM,'Gider Miktar'!$B:$B,'Emanet Miktar Dağılım'!$D21,'Gider Miktar'!$F:$F,1004)</f>
        <v>0</v>
      </c>
      <c r="BE21" s="9">
        <f>+SUMIFS('Gider Miktar'!BN:BN,'Gider Miktar'!$B:$B,'Emanet Miktar Dağılım'!$D21,'Gider Miktar'!$F:$F,1001)+SUMIFS('Gider Miktar'!BN:BN,'Gider Miktar'!$B:$B,'Emanet Miktar Dağılım'!$D21,'Gider Miktar'!$F:$F,1002)+SUMIFS('Gider Miktar'!BN:BN,'Gider Miktar'!$B:$B,'Emanet Miktar Dağılım'!$D21,'Gider Miktar'!$F:$F,1003)+SUMIFS('Gider Miktar'!BN:BN,'Gider Miktar'!$B:$B,'Emanet Miktar Dağılım'!$D21,'Gider Miktar'!$F:$F,1004)</f>
        <v>0</v>
      </c>
      <c r="BF21" s="9">
        <f>+SUMIFS('Gider Miktar'!BO:BO,'Gider Miktar'!$B:$B,'Emanet Miktar Dağılım'!$D21,'Gider Miktar'!$F:$F,1001)+SUMIFS('Gider Miktar'!BO:BO,'Gider Miktar'!$B:$B,'Emanet Miktar Dağılım'!$D21,'Gider Miktar'!$F:$F,1002)+SUMIFS('Gider Miktar'!BO:BO,'Gider Miktar'!$B:$B,'Emanet Miktar Dağılım'!$D21,'Gider Miktar'!$F:$F,1003)+SUMIFS('Gider Miktar'!BO:BO,'Gider Miktar'!$B:$B,'Emanet Miktar Dağılım'!$D21,'Gider Miktar'!$F:$F,1004)</f>
        <v>0</v>
      </c>
      <c r="BG21" s="9">
        <f>+SUMIFS('Gider Miktar'!BP:BP,'Gider Miktar'!$B:$B,'Emanet Miktar Dağılım'!$D21,'Gider Miktar'!$F:$F,1001)+SUMIFS('Gider Miktar'!BP:BP,'Gider Miktar'!$B:$B,'Emanet Miktar Dağılım'!$D21,'Gider Miktar'!$F:$F,1002)+SUMIFS('Gider Miktar'!BP:BP,'Gider Miktar'!$B:$B,'Emanet Miktar Dağılım'!$D21,'Gider Miktar'!$F:$F,1003)+SUMIFS('Gider Miktar'!BP:BP,'Gider Miktar'!$B:$B,'Emanet Miktar Dağılım'!$D21,'Gider Miktar'!$F:$F,1004)</f>
        <v>0</v>
      </c>
      <c r="BH21" s="9">
        <f>+SUMIFS('Gider Miktar'!BQ:BQ,'Gider Miktar'!$B:$B,'Emanet Miktar Dağılım'!$D21,'Gider Miktar'!$F:$F,1001)+SUMIFS('Gider Miktar'!BQ:BQ,'Gider Miktar'!$B:$B,'Emanet Miktar Dağılım'!$D21,'Gider Miktar'!$F:$F,1002)+SUMIFS('Gider Miktar'!BQ:BQ,'Gider Miktar'!$B:$B,'Emanet Miktar Dağılım'!$D21,'Gider Miktar'!$F:$F,1003)+SUMIFS('Gider Miktar'!BQ:BQ,'Gider Miktar'!$B:$B,'Emanet Miktar Dağılım'!$D21,'Gider Miktar'!$F:$F,1004)</f>
        <v>0</v>
      </c>
      <c r="BI21" s="9">
        <f>+SUMIFS('Gider Miktar'!BR:BR,'Gider Miktar'!$B:$B,'Emanet Miktar Dağılım'!$D21,'Gider Miktar'!$F:$F,1001)+SUMIFS('Gider Miktar'!BR:BR,'Gider Miktar'!$B:$B,'Emanet Miktar Dağılım'!$D21,'Gider Miktar'!$F:$F,1002)+SUMIFS('Gider Miktar'!BR:BR,'Gider Miktar'!$B:$B,'Emanet Miktar Dağılım'!$D21,'Gider Miktar'!$F:$F,1003)+SUMIFS('Gider Miktar'!BR:BR,'Gider Miktar'!$B:$B,'Emanet Miktar Dağılım'!$D21,'Gider Miktar'!$F:$F,1004)</f>
        <v>0</v>
      </c>
      <c r="BJ21" s="9">
        <f>+SUMIFS('Gider Miktar'!BS:BS,'Gider Miktar'!$B:$B,'Emanet Miktar Dağılım'!$D21,'Gider Miktar'!$F:$F,1001)+SUMIFS('Gider Miktar'!BS:BS,'Gider Miktar'!$B:$B,'Emanet Miktar Dağılım'!$D21,'Gider Miktar'!$F:$F,1002)+SUMIFS('Gider Miktar'!BS:BS,'Gider Miktar'!$B:$B,'Emanet Miktar Dağılım'!$D21,'Gider Miktar'!$F:$F,1003)+SUMIFS('Gider Miktar'!BS:BS,'Gider Miktar'!$B:$B,'Emanet Miktar Dağılım'!$D21,'Gider Miktar'!$F:$F,1004)</f>
        <v>0</v>
      </c>
      <c r="BK21" s="9">
        <f>+SUMIFS('Gider Miktar'!BT:BT,'Gider Miktar'!$B:$B,'Emanet Miktar Dağılım'!$D21,'Gider Miktar'!$F:$F,1001)+SUMIFS('Gider Miktar'!BT:BT,'Gider Miktar'!$B:$B,'Emanet Miktar Dağılım'!$D21,'Gider Miktar'!$F:$F,1002)+SUMIFS('Gider Miktar'!BT:BT,'Gider Miktar'!$B:$B,'Emanet Miktar Dağılım'!$D21,'Gider Miktar'!$F:$F,1003)+SUMIFS('Gider Miktar'!BT:BT,'Gider Miktar'!$B:$B,'Emanet Miktar Dağılım'!$D21,'Gider Miktar'!$F:$F,1004)</f>
        <v>0</v>
      </c>
      <c r="BL21" s="9">
        <f>+SUMIFS('Gider Miktar'!BU:BU,'Gider Miktar'!$B:$B,'Emanet Miktar Dağılım'!$D21,'Gider Miktar'!$F:$F,1001)+SUMIFS('Gider Miktar'!BU:BU,'Gider Miktar'!$B:$B,'Emanet Miktar Dağılım'!$D21,'Gider Miktar'!$F:$F,1002)+SUMIFS('Gider Miktar'!BU:BU,'Gider Miktar'!$B:$B,'Emanet Miktar Dağılım'!$D21,'Gider Miktar'!$F:$F,1003)+SUMIFS('Gider Miktar'!BU:BU,'Gider Miktar'!$B:$B,'Emanet Miktar Dağılım'!$D21,'Gider Miktar'!$F:$F,1004)</f>
        <v>0</v>
      </c>
      <c r="BM21" s="9">
        <f>+SUMIFS('Gider Miktar'!BV:BV,'Gider Miktar'!$B:$B,'Emanet Miktar Dağılım'!$D21,'Gider Miktar'!$F:$F,1001)+SUMIFS('Gider Miktar'!BV:BV,'Gider Miktar'!$B:$B,'Emanet Miktar Dağılım'!$D21,'Gider Miktar'!$F:$F,1002)+SUMIFS('Gider Miktar'!BV:BV,'Gider Miktar'!$B:$B,'Emanet Miktar Dağılım'!$D21,'Gider Miktar'!$F:$F,1003)+SUMIFS('Gider Miktar'!BV:BV,'Gider Miktar'!$B:$B,'Emanet Miktar Dağılım'!$D21,'Gider Miktar'!$F:$F,1004)</f>
        <v>0</v>
      </c>
      <c r="BN21" s="9">
        <f>+SUMIFS('Gider Miktar'!BW:BW,'Gider Miktar'!$B:$B,'Emanet Miktar Dağılım'!$D21,'Gider Miktar'!$F:$F,1001)+SUMIFS('Gider Miktar'!BW:BW,'Gider Miktar'!$B:$B,'Emanet Miktar Dağılım'!$D21,'Gider Miktar'!$F:$F,1002)+SUMIFS('Gider Miktar'!BW:BW,'Gider Miktar'!$B:$B,'Emanet Miktar Dağılım'!$D21,'Gider Miktar'!$F:$F,1003)+SUMIFS('Gider Miktar'!BW:BW,'Gider Miktar'!$B:$B,'Emanet Miktar Dağılım'!$D21,'Gider Miktar'!$F:$F,1004)</f>
        <v>0</v>
      </c>
      <c r="BO21" s="9">
        <f>+SUMIFS('Gider Miktar'!BX:BX,'Gider Miktar'!$B:$B,'Emanet Miktar Dağılım'!$D21,'Gider Miktar'!$F:$F,1001)+SUMIFS('Gider Miktar'!BX:BX,'Gider Miktar'!$B:$B,'Emanet Miktar Dağılım'!$D21,'Gider Miktar'!$F:$F,1002)+SUMIFS('Gider Miktar'!BX:BX,'Gider Miktar'!$B:$B,'Emanet Miktar Dağılım'!$D21,'Gider Miktar'!$F:$F,1003)+SUMIFS('Gider Miktar'!BX:BX,'Gider Miktar'!$B:$B,'Emanet Miktar Dağılım'!$D21,'Gider Miktar'!$F:$F,1004)</f>
        <v>0</v>
      </c>
    </row>
    <row r="22" spans="2:67">
      <c r="D22" t="s">
        <v>24</v>
      </c>
      <c r="E22" s="9">
        <f>+SUMIFS('Gider Miktar'!N:N,'Gider Miktar'!$B:$B,'Emanet Miktar Dağılım'!$D22,'Gider Miktar'!$F:$F,1001)+SUMIFS('Gider Miktar'!N:N,'Gider Miktar'!$B:$B,'Emanet Miktar Dağılım'!$D22,'Gider Miktar'!$F:$F,1002)+SUMIFS('Gider Miktar'!N:N,'Gider Miktar'!$B:$B,'Emanet Miktar Dağılım'!$D22,'Gider Miktar'!$F:$F,1003)+SUMIFS('Gider Miktar'!N:N,'Gider Miktar'!$B:$B,'Emanet Miktar Dağılım'!$D22,'Gider Miktar'!$F:$F,1004)</f>
        <v>0</v>
      </c>
      <c r="F22" s="9">
        <f>+SUMIFS('Gider Miktar'!O:O,'Gider Miktar'!$B:$B,'Emanet Miktar Dağılım'!$D22,'Gider Miktar'!$F:$F,1001)+SUMIFS('Gider Miktar'!O:O,'Gider Miktar'!$B:$B,'Emanet Miktar Dağılım'!$D22,'Gider Miktar'!$F:$F,1002)+SUMIFS('Gider Miktar'!O:O,'Gider Miktar'!$B:$B,'Emanet Miktar Dağılım'!$D22,'Gider Miktar'!$F:$F,1003)+SUMIFS('Gider Miktar'!O:O,'Gider Miktar'!$B:$B,'Emanet Miktar Dağılım'!$D22,'Gider Miktar'!$F:$F,1004)</f>
        <v>0</v>
      </c>
      <c r="G22" s="9">
        <f>+SUMIFS('Gider Miktar'!P:P,'Gider Miktar'!$B:$B,'Emanet Miktar Dağılım'!$D22,'Gider Miktar'!$F:$F,1001)+SUMIFS('Gider Miktar'!P:P,'Gider Miktar'!$B:$B,'Emanet Miktar Dağılım'!$D22,'Gider Miktar'!$F:$F,1002)+SUMIFS('Gider Miktar'!P:P,'Gider Miktar'!$B:$B,'Emanet Miktar Dağılım'!$D22,'Gider Miktar'!$F:$F,1003)+SUMIFS('Gider Miktar'!P:P,'Gider Miktar'!$B:$B,'Emanet Miktar Dağılım'!$D22,'Gider Miktar'!$F:$F,1004)</f>
        <v>0</v>
      </c>
      <c r="H22" s="9">
        <f>+SUMIFS('Gider Miktar'!Q:Q,'Gider Miktar'!$B:$B,'Emanet Miktar Dağılım'!$D22,'Gider Miktar'!$F:$F,1001)+SUMIFS('Gider Miktar'!Q:Q,'Gider Miktar'!$B:$B,'Emanet Miktar Dağılım'!$D22,'Gider Miktar'!$F:$F,1002)+SUMIFS('Gider Miktar'!Q:Q,'Gider Miktar'!$B:$B,'Emanet Miktar Dağılım'!$D22,'Gider Miktar'!$F:$F,1003)+SUMIFS('Gider Miktar'!Q:Q,'Gider Miktar'!$B:$B,'Emanet Miktar Dağılım'!$D22,'Gider Miktar'!$F:$F,1004)</f>
        <v>0</v>
      </c>
      <c r="I22" s="9">
        <f>+SUMIFS('Gider Miktar'!R:R,'Gider Miktar'!$B:$B,'Emanet Miktar Dağılım'!$D22,'Gider Miktar'!$F:$F,1001)+SUMIFS('Gider Miktar'!R:R,'Gider Miktar'!$B:$B,'Emanet Miktar Dağılım'!$D22,'Gider Miktar'!$F:$F,1002)+SUMIFS('Gider Miktar'!R:R,'Gider Miktar'!$B:$B,'Emanet Miktar Dağılım'!$D22,'Gider Miktar'!$F:$F,1003)+SUMIFS('Gider Miktar'!R:R,'Gider Miktar'!$B:$B,'Emanet Miktar Dağılım'!$D22,'Gider Miktar'!$F:$F,1004)</f>
        <v>0</v>
      </c>
      <c r="J22" s="9">
        <f>+SUMIFS('Gider Miktar'!S:S,'Gider Miktar'!$B:$B,'Emanet Miktar Dağılım'!$D22,'Gider Miktar'!$F:$F,1001)+SUMIFS('Gider Miktar'!S:S,'Gider Miktar'!$B:$B,'Emanet Miktar Dağılım'!$D22,'Gider Miktar'!$F:$F,1002)+SUMIFS('Gider Miktar'!S:S,'Gider Miktar'!$B:$B,'Emanet Miktar Dağılım'!$D22,'Gider Miktar'!$F:$F,1003)+SUMIFS('Gider Miktar'!S:S,'Gider Miktar'!$B:$B,'Emanet Miktar Dağılım'!$D22,'Gider Miktar'!$F:$F,1004)</f>
        <v>0</v>
      </c>
      <c r="K22" s="9">
        <f>+SUMIFS('Gider Miktar'!T:T,'Gider Miktar'!$B:$B,'Emanet Miktar Dağılım'!$D22,'Gider Miktar'!$F:$F,1001)+SUMIFS('Gider Miktar'!T:T,'Gider Miktar'!$B:$B,'Emanet Miktar Dağılım'!$D22,'Gider Miktar'!$F:$F,1002)+SUMIFS('Gider Miktar'!T:T,'Gider Miktar'!$B:$B,'Emanet Miktar Dağılım'!$D22,'Gider Miktar'!$F:$F,1003)+SUMIFS('Gider Miktar'!T:T,'Gider Miktar'!$B:$B,'Emanet Miktar Dağılım'!$D22,'Gider Miktar'!$F:$F,1004)</f>
        <v>0</v>
      </c>
      <c r="L22" s="9">
        <f>+SUMIFS('Gider Miktar'!U:U,'Gider Miktar'!$B:$B,'Emanet Miktar Dağılım'!$D22,'Gider Miktar'!$F:$F,1001)+SUMIFS('Gider Miktar'!U:U,'Gider Miktar'!$B:$B,'Emanet Miktar Dağılım'!$D22,'Gider Miktar'!$F:$F,1002)+SUMIFS('Gider Miktar'!U:U,'Gider Miktar'!$B:$B,'Emanet Miktar Dağılım'!$D22,'Gider Miktar'!$F:$F,1003)+SUMIFS('Gider Miktar'!U:U,'Gider Miktar'!$B:$B,'Emanet Miktar Dağılım'!$D22,'Gider Miktar'!$F:$F,1004)</f>
        <v>0</v>
      </c>
      <c r="M22" s="9">
        <f>+SUMIFS('Gider Miktar'!V:V,'Gider Miktar'!$B:$B,'Emanet Miktar Dağılım'!$D22,'Gider Miktar'!$F:$F,1001)+SUMIFS('Gider Miktar'!V:V,'Gider Miktar'!$B:$B,'Emanet Miktar Dağılım'!$D22,'Gider Miktar'!$F:$F,1002)+SUMIFS('Gider Miktar'!V:V,'Gider Miktar'!$B:$B,'Emanet Miktar Dağılım'!$D22,'Gider Miktar'!$F:$F,1003)+SUMIFS('Gider Miktar'!V:V,'Gider Miktar'!$B:$B,'Emanet Miktar Dağılım'!$D22,'Gider Miktar'!$F:$F,1004)</f>
        <v>0</v>
      </c>
      <c r="N22" s="11">
        <f>+SUMIFS('Gider Miktar'!W:W,'Gider Miktar'!$B:$B,'Emanet Miktar Dağılım'!$D22,'Gider Miktar'!$F:$F,1001)+SUMIFS('Gider Miktar'!W:W,'Gider Miktar'!$B:$B,'Emanet Miktar Dağılım'!$D22,'Gider Miktar'!$F:$F,1002)+SUMIFS('Gider Miktar'!W:W,'Gider Miktar'!$B:$B,'Emanet Miktar Dağılım'!$D22,'Gider Miktar'!$F:$F,1003)+SUMIFS('Gider Miktar'!W:W,'Gider Miktar'!$B:$B,'Emanet Miktar Dağılım'!$D22,'Gider Miktar'!$F:$F,1004)</f>
        <v>0</v>
      </c>
      <c r="O22" s="9">
        <f>+SUMIFS('Gider Miktar'!X:X,'Gider Miktar'!$B:$B,'Emanet Miktar Dağılım'!$D22,'Gider Miktar'!$F:$F,1001)+SUMIFS('Gider Miktar'!X:X,'Gider Miktar'!$B:$B,'Emanet Miktar Dağılım'!$D22,'Gider Miktar'!$F:$F,1002)+SUMIFS('Gider Miktar'!X:X,'Gider Miktar'!$B:$B,'Emanet Miktar Dağılım'!$D22,'Gider Miktar'!$F:$F,1003)+SUMIFS('Gider Miktar'!X:X,'Gider Miktar'!$B:$B,'Emanet Miktar Dağılım'!$D22,'Gider Miktar'!$F:$F,1004)</f>
        <v>0</v>
      </c>
      <c r="P22" s="9">
        <f>+SUMIFS('Gider Miktar'!Y:Y,'Gider Miktar'!$B:$B,'Emanet Miktar Dağılım'!$D22,'Gider Miktar'!$F:$F,1001)+SUMIFS('Gider Miktar'!Y:Y,'Gider Miktar'!$B:$B,'Emanet Miktar Dağılım'!$D22,'Gider Miktar'!$F:$F,1002)+SUMIFS('Gider Miktar'!Y:Y,'Gider Miktar'!$B:$B,'Emanet Miktar Dağılım'!$D22,'Gider Miktar'!$F:$F,1003)+SUMIFS('Gider Miktar'!Y:Y,'Gider Miktar'!$B:$B,'Emanet Miktar Dağılım'!$D22,'Gider Miktar'!$F:$F,1004)</f>
        <v>0</v>
      </c>
      <c r="Q22" s="9">
        <f>+SUMIFS('Gider Miktar'!Z:Z,'Gider Miktar'!$B:$B,'Emanet Miktar Dağılım'!$D22,'Gider Miktar'!$F:$F,1001)+SUMIFS('Gider Miktar'!Z:Z,'Gider Miktar'!$B:$B,'Emanet Miktar Dağılım'!$D22,'Gider Miktar'!$F:$F,1002)+SUMIFS('Gider Miktar'!Z:Z,'Gider Miktar'!$B:$B,'Emanet Miktar Dağılım'!$D22,'Gider Miktar'!$F:$F,1003)+SUMIFS('Gider Miktar'!Z:Z,'Gider Miktar'!$B:$B,'Emanet Miktar Dağılım'!$D22,'Gider Miktar'!$F:$F,1004)</f>
        <v>0</v>
      </c>
      <c r="R22" s="9">
        <f>+SUMIFS('Gider Miktar'!AA:AA,'Gider Miktar'!$B:$B,'Emanet Miktar Dağılım'!$D22,'Gider Miktar'!$F:$F,1001)+SUMIFS('Gider Miktar'!AA:AA,'Gider Miktar'!$B:$B,'Emanet Miktar Dağılım'!$D22,'Gider Miktar'!$F:$F,1002)+SUMIFS('Gider Miktar'!AA:AA,'Gider Miktar'!$B:$B,'Emanet Miktar Dağılım'!$D22,'Gider Miktar'!$F:$F,1003)+SUMIFS('Gider Miktar'!AA:AA,'Gider Miktar'!$B:$B,'Emanet Miktar Dağılım'!$D22,'Gider Miktar'!$F:$F,1004)</f>
        <v>2344.7498054474722</v>
      </c>
      <c r="S22" s="9">
        <f>+SUMIFS('Gider Miktar'!AB:AB,'Gider Miktar'!$B:$B,'Emanet Miktar Dağılım'!$D22,'Gider Miktar'!$F:$F,1001)+SUMIFS('Gider Miktar'!AB:AB,'Gider Miktar'!$B:$B,'Emanet Miktar Dağılım'!$D22,'Gider Miktar'!$F:$F,1002)+SUMIFS('Gider Miktar'!AB:AB,'Gider Miktar'!$B:$B,'Emanet Miktar Dağılım'!$D22,'Gider Miktar'!$F:$F,1003)+SUMIFS('Gider Miktar'!AB:AB,'Gider Miktar'!$B:$B,'Emanet Miktar Dağılım'!$D22,'Gider Miktar'!$F:$F,1004)</f>
        <v>4220.549649805449</v>
      </c>
      <c r="T22" s="9">
        <f>+SUMIFS('Gider Miktar'!AC:AC,'Gider Miktar'!$B:$B,'Emanet Miktar Dağılım'!$D22,'Gider Miktar'!$F:$F,1001)+SUMIFS('Gider Miktar'!AC:AC,'Gider Miktar'!$B:$B,'Emanet Miktar Dağılım'!$D22,'Gider Miktar'!$F:$F,1002)+SUMIFS('Gider Miktar'!AC:AC,'Gider Miktar'!$B:$B,'Emanet Miktar Dağılım'!$D22,'Gider Miktar'!$F:$F,1003)+SUMIFS('Gider Miktar'!AC:AC,'Gider Miktar'!$B:$B,'Emanet Miktar Dağılım'!$D22,'Gider Miktar'!$F:$F,1004)</f>
        <v>6839.450750723734</v>
      </c>
      <c r="U22" s="9">
        <f>+SUMIFS('Gider Miktar'!AD:AD,'Gider Miktar'!$B:$B,'Emanet Miktar Dağılım'!$D22,'Gider Miktar'!$F:$F,1001)+SUMIFS('Gider Miktar'!AD:AD,'Gider Miktar'!$B:$B,'Emanet Miktar Dağılım'!$D22,'Gider Miktar'!$F:$F,1002)+SUMIFS('Gider Miktar'!AD:AD,'Gider Miktar'!$B:$B,'Emanet Miktar Dağılım'!$D22,'Gider Miktar'!$F:$F,1003)+SUMIFS('Gider Miktar'!AD:AD,'Gider Miktar'!$B:$B,'Emanet Miktar Dağılım'!$D22,'Gider Miktar'!$F:$F,1004)</f>
        <v>5460.0593786666795</v>
      </c>
      <c r="V22" s="9">
        <f>+SUMIFS('Gider Miktar'!AE:AE,'Gider Miktar'!$B:$B,'Emanet Miktar Dağılım'!$D22,'Gider Miktar'!$F:$F,1001)+SUMIFS('Gider Miktar'!AE:AE,'Gider Miktar'!$B:$B,'Emanet Miktar Dağılım'!$D22,'Gider Miktar'!$F:$F,1002)+SUMIFS('Gider Miktar'!AE:AE,'Gider Miktar'!$B:$B,'Emanet Miktar Dağılım'!$D22,'Gider Miktar'!$F:$F,1003)+SUMIFS('Gider Miktar'!AE:AE,'Gider Miktar'!$B:$B,'Emanet Miktar Dağılım'!$D22,'Gider Miktar'!$F:$F,1004)</f>
        <v>5434.1823200000008</v>
      </c>
      <c r="W22" s="9">
        <f>+SUMIFS('Gider Miktar'!AF:AF,'Gider Miktar'!$B:$B,'Emanet Miktar Dağılım'!$D22,'Gider Miktar'!$F:$F,1001)+SUMIFS('Gider Miktar'!AF:AF,'Gider Miktar'!$B:$B,'Emanet Miktar Dağılım'!$D22,'Gider Miktar'!$F:$F,1002)+SUMIFS('Gider Miktar'!AF:AF,'Gider Miktar'!$B:$B,'Emanet Miktar Dağılım'!$D22,'Gider Miktar'!$F:$F,1003)+SUMIFS('Gider Miktar'!AF:AF,'Gider Miktar'!$B:$B,'Emanet Miktar Dağılım'!$D22,'Gider Miktar'!$F:$F,1004)</f>
        <v>6624.5270186666803</v>
      </c>
      <c r="X22" s="9">
        <f>+SUMIFS('Gider Miktar'!AG:AG,'Gider Miktar'!$B:$B,'Emanet Miktar Dağılım'!$D22,'Gider Miktar'!$F:$F,1001)+SUMIFS('Gider Miktar'!AG:AG,'Gider Miktar'!$B:$B,'Emanet Miktar Dağılım'!$D22,'Gider Miktar'!$F:$F,1002)+SUMIFS('Gider Miktar'!AG:AG,'Gider Miktar'!$B:$B,'Emanet Miktar Dağılım'!$D22,'Gider Miktar'!$F:$F,1003)+SUMIFS('Gider Miktar'!AG:AG,'Gider Miktar'!$B:$B,'Emanet Miktar Dağılım'!$D22,'Gider Miktar'!$F:$F,1004)</f>
        <v>7788.9946586666802</v>
      </c>
      <c r="Y22" s="9">
        <f>+SUMIFS('Gider Miktar'!AH:AH,'Gider Miktar'!$B:$B,'Emanet Miktar Dağılım'!$D22,'Gider Miktar'!$F:$F,1001)+SUMIFS('Gider Miktar'!AH:AH,'Gider Miktar'!$B:$B,'Emanet Miktar Dağılım'!$D22,'Gider Miktar'!$F:$F,1002)+SUMIFS('Gider Miktar'!AH:AH,'Gider Miktar'!$B:$B,'Emanet Miktar Dağılım'!$D22,'Gider Miktar'!$F:$F,1003)+SUMIFS('Gider Miktar'!AH:AH,'Gider Miktar'!$B:$B,'Emanet Miktar Dağılım'!$D22,'Gider Miktar'!$F:$F,1004)</f>
        <v>6676.2811359999996</v>
      </c>
      <c r="Z22" s="9">
        <f>+SUMIFS('Gider Miktar'!AI:AI,'Gider Miktar'!$B:$B,'Emanet Miktar Dağılım'!$D22,'Gider Miktar'!$F:$F,1001)+SUMIFS('Gider Miktar'!AI:AI,'Gider Miktar'!$B:$B,'Emanet Miktar Dağılım'!$D22,'Gider Miktar'!$F:$F,1002)+SUMIFS('Gider Miktar'!AI:AI,'Gider Miktar'!$B:$B,'Emanet Miktar Dağılım'!$D22,'Gider Miktar'!$F:$F,1003)+SUMIFS('Gider Miktar'!AI:AI,'Gider Miktar'!$B:$B,'Emanet Miktar Dağılım'!$D22,'Gider Miktar'!$F:$F,1004)</f>
        <v>1164.4676400000001</v>
      </c>
      <c r="AA22" s="9">
        <f>+SUMIFS('Gider Miktar'!AJ:AJ,'Gider Miktar'!$B:$B,'Emanet Miktar Dağılım'!$D22,'Gider Miktar'!$F:$F,1001)+SUMIFS('Gider Miktar'!AJ:AJ,'Gider Miktar'!$B:$B,'Emanet Miktar Dağılım'!$D22,'Gider Miktar'!$F:$F,1002)+SUMIFS('Gider Miktar'!AJ:AJ,'Gider Miktar'!$B:$B,'Emanet Miktar Dağılım'!$D22,'Gider Miktar'!$F:$F,1003)+SUMIFS('Gider Miktar'!AJ:AJ,'Gider Miktar'!$B:$B,'Emanet Miktar Dağılım'!$D22,'Gider Miktar'!$F:$F,1004)</f>
        <v>0</v>
      </c>
      <c r="AB22" s="9">
        <f>+SUMIFS('Gider Miktar'!AK:AK,'Gider Miktar'!$B:$B,'Emanet Miktar Dağılım'!$D22,'Gider Miktar'!$F:$F,1001)+SUMIFS('Gider Miktar'!AK:AK,'Gider Miktar'!$B:$B,'Emanet Miktar Dağılım'!$D22,'Gider Miktar'!$F:$F,1002)+SUMIFS('Gider Miktar'!AK:AK,'Gider Miktar'!$B:$B,'Emanet Miktar Dağılım'!$D22,'Gider Miktar'!$F:$F,1003)+SUMIFS('Gider Miktar'!AK:AK,'Gider Miktar'!$B:$B,'Emanet Miktar Dağılım'!$D22,'Gider Miktar'!$F:$F,1004)</f>
        <v>0</v>
      </c>
      <c r="AC22" s="9">
        <f>+SUMIFS('Gider Miktar'!AL:AL,'Gider Miktar'!$B:$B,'Emanet Miktar Dağılım'!$D22,'Gider Miktar'!$F:$F,1001)+SUMIFS('Gider Miktar'!AL:AL,'Gider Miktar'!$B:$B,'Emanet Miktar Dağılım'!$D22,'Gider Miktar'!$F:$F,1002)+SUMIFS('Gider Miktar'!AL:AL,'Gider Miktar'!$B:$B,'Emanet Miktar Dağılım'!$D22,'Gider Miktar'!$F:$F,1003)+SUMIFS('Gider Miktar'!AL:AL,'Gider Miktar'!$B:$B,'Emanet Miktar Dağılım'!$D22,'Gider Miktar'!$F:$F,1004)</f>
        <v>10340.94423529411</v>
      </c>
      <c r="AD22" s="9">
        <f>+SUMIFS('Gider Miktar'!AM:AM,'Gider Miktar'!$B:$B,'Emanet Miktar Dağılım'!$D22,'Gider Miktar'!$F:$F,1001)+SUMIFS('Gider Miktar'!AM:AM,'Gider Miktar'!$B:$B,'Emanet Miktar Dağılım'!$D22,'Gider Miktar'!$F:$F,1002)+SUMIFS('Gider Miktar'!AM:AM,'Gider Miktar'!$B:$B,'Emanet Miktar Dağılım'!$D22,'Gider Miktar'!$F:$F,1003)+SUMIFS('Gider Miktar'!AM:AM,'Gider Miktar'!$B:$B,'Emanet Miktar Dağılım'!$D22,'Gider Miktar'!$F:$F,1004)</f>
        <v>10340.94423529411</v>
      </c>
      <c r="AE22" s="9">
        <f>+SUMIFS('Gider Miktar'!AN:AN,'Gider Miktar'!$B:$B,'Emanet Miktar Dağılım'!$D22,'Gider Miktar'!$F:$F,1001)+SUMIFS('Gider Miktar'!AN:AN,'Gider Miktar'!$B:$B,'Emanet Miktar Dağılım'!$D22,'Gider Miktar'!$F:$F,1002)+SUMIFS('Gider Miktar'!AN:AN,'Gider Miktar'!$B:$B,'Emanet Miktar Dağılım'!$D22,'Gider Miktar'!$F:$F,1003)+SUMIFS('Gider Miktar'!AN:AN,'Gider Miktar'!$B:$B,'Emanet Miktar Dağılım'!$D22,'Gider Miktar'!$F:$F,1004)</f>
        <v>8617.4535294117777</v>
      </c>
      <c r="AF22" s="9">
        <f>+SUMIFS('Gider Miktar'!AO:AO,'Gider Miktar'!$B:$B,'Emanet Miktar Dağılım'!$D22,'Gider Miktar'!$F:$F,1001)+SUMIFS('Gider Miktar'!AO:AO,'Gider Miktar'!$B:$B,'Emanet Miktar Dağılım'!$D22,'Gider Miktar'!$F:$F,1002)+SUMIFS('Gider Miktar'!AO:AO,'Gider Miktar'!$B:$B,'Emanet Miktar Dağılım'!$D22,'Gider Miktar'!$F:$F,1003)+SUMIFS('Gider Miktar'!AO:AO,'Gider Miktar'!$B:$B,'Emanet Miktar Dağılım'!$D22,'Gider Miktar'!$F:$F,1004)</f>
        <v>0</v>
      </c>
      <c r="AG22" s="9">
        <f>+SUMIFS('Gider Miktar'!AP:AP,'Gider Miktar'!$B:$B,'Emanet Miktar Dağılım'!$D22,'Gider Miktar'!$F:$F,1001)+SUMIFS('Gider Miktar'!AP:AP,'Gider Miktar'!$B:$B,'Emanet Miktar Dağılım'!$D22,'Gider Miktar'!$F:$F,1002)+SUMIFS('Gider Miktar'!AP:AP,'Gider Miktar'!$B:$B,'Emanet Miktar Dağılım'!$D22,'Gider Miktar'!$F:$F,1003)+SUMIFS('Gider Miktar'!AP:AP,'Gider Miktar'!$B:$B,'Emanet Miktar Dağılım'!$D22,'Gider Miktar'!$F:$F,1004)</f>
        <v>0</v>
      </c>
      <c r="AH22" s="9">
        <f>+SUMIFS('Gider Miktar'!AQ:AQ,'Gider Miktar'!$B:$B,'Emanet Miktar Dağılım'!$D22,'Gider Miktar'!$F:$F,1001)+SUMIFS('Gider Miktar'!AQ:AQ,'Gider Miktar'!$B:$B,'Emanet Miktar Dağılım'!$D22,'Gider Miktar'!$F:$F,1002)+SUMIFS('Gider Miktar'!AQ:AQ,'Gider Miktar'!$B:$B,'Emanet Miktar Dağılım'!$D22,'Gider Miktar'!$F:$F,1003)+SUMIFS('Gider Miktar'!AQ:AQ,'Gider Miktar'!$B:$B,'Emanet Miktar Dağılım'!$D22,'Gider Miktar'!$F:$F,1004)</f>
        <v>0</v>
      </c>
      <c r="AI22" s="9">
        <f>+SUMIFS('Gider Miktar'!AR:AR,'Gider Miktar'!$B:$B,'Emanet Miktar Dağılım'!$D22,'Gider Miktar'!$F:$F,1001)+SUMIFS('Gider Miktar'!AR:AR,'Gider Miktar'!$B:$B,'Emanet Miktar Dağılım'!$D22,'Gider Miktar'!$F:$F,1002)+SUMIFS('Gider Miktar'!AR:AR,'Gider Miktar'!$B:$B,'Emanet Miktar Dağılım'!$D22,'Gider Miktar'!$F:$F,1003)+SUMIFS('Gider Miktar'!AR:AR,'Gider Miktar'!$B:$B,'Emanet Miktar Dağılım'!$D22,'Gider Miktar'!$F:$F,1004)</f>
        <v>0</v>
      </c>
      <c r="AJ22" s="9">
        <f>+SUMIFS('Gider Miktar'!AS:AS,'Gider Miktar'!$B:$B,'Emanet Miktar Dağılım'!$D22,'Gider Miktar'!$F:$F,1001)+SUMIFS('Gider Miktar'!AS:AS,'Gider Miktar'!$B:$B,'Emanet Miktar Dağılım'!$D22,'Gider Miktar'!$F:$F,1002)+SUMIFS('Gider Miktar'!AS:AS,'Gider Miktar'!$B:$B,'Emanet Miktar Dağılım'!$D22,'Gider Miktar'!$F:$F,1003)+SUMIFS('Gider Miktar'!AS:AS,'Gider Miktar'!$B:$B,'Emanet Miktar Dağılım'!$D22,'Gider Miktar'!$F:$F,1004)</f>
        <v>2813.6997665369681</v>
      </c>
      <c r="AK22" s="9">
        <f>+SUMIFS('Gider Miktar'!AT:AT,'Gider Miktar'!$B:$B,'Emanet Miktar Dağılım'!$D22,'Gider Miktar'!$F:$F,1001)+SUMIFS('Gider Miktar'!AT:AT,'Gider Miktar'!$B:$B,'Emanet Miktar Dağılım'!$D22,'Gider Miktar'!$F:$F,1002)+SUMIFS('Gider Miktar'!AT:AT,'Gider Miktar'!$B:$B,'Emanet Miktar Dağılım'!$D22,'Gider Miktar'!$F:$F,1003)+SUMIFS('Gider Miktar'!AT:AT,'Gider Miktar'!$B:$B,'Emanet Miktar Dağılım'!$D22,'Gider Miktar'!$F:$F,1004)</f>
        <v>3915.7321750972756</v>
      </c>
      <c r="AL22" s="9">
        <f>+SUMIFS('Gider Miktar'!AU:AU,'Gider Miktar'!$B:$B,'Emanet Miktar Dağılım'!$D22,'Gider Miktar'!$F:$F,1001)+SUMIFS('Gider Miktar'!AU:AU,'Gider Miktar'!$B:$B,'Emanet Miktar Dağılım'!$D22,'Gider Miktar'!$F:$F,1002)+SUMIFS('Gider Miktar'!AU:AU,'Gider Miktar'!$B:$B,'Emanet Miktar Dağılım'!$D22,'Gider Miktar'!$F:$F,1003)+SUMIFS('Gider Miktar'!AU:AU,'Gider Miktar'!$B:$B,'Emanet Miktar Dağılım'!$D22,'Gider Miktar'!$F:$F,1004)</f>
        <v>8487.9942957198637</v>
      </c>
      <c r="AM22" s="9">
        <f>+SUMIFS('Gider Miktar'!AV:AV,'Gider Miktar'!$B:$B,'Emanet Miktar Dağılım'!$D22,'Gider Miktar'!$F:$F,1001)+SUMIFS('Gider Miktar'!AV:AV,'Gider Miktar'!$B:$B,'Emanet Miktar Dağılım'!$D22,'Gider Miktar'!$F:$F,1002)+SUMIFS('Gider Miktar'!AV:AV,'Gider Miktar'!$B:$B,'Emanet Miktar Dağılım'!$D22,'Gider Miktar'!$F:$F,1003)+SUMIFS('Gider Miktar'!AV:AV,'Gider Miktar'!$B:$B,'Emanet Miktar Dağılım'!$D22,'Gider Miktar'!$F:$F,1004)</f>
        <v>8487.9942957198637</v>
      </c>
      <c r="AN22" s="9">
        <f>+SUMIFS('Gider Miktar'!AW:AW,'Gider Miktar'!$B:$B,'Emanet Miktar Dağılım'!$D22,'Gider Miktar'!$F:$F,1001)+SUMIFS('Gider Miktar'!AW:AW,'Gider Miktar'!$B:$B,'Emanet Miktar Dağılım'!$D22,'Gider Miktar'!$F:$F,1002)+SUMIFS('Gider Miktar'!AW:AW,'Gider Miktar'!$B:$B,'Emanet Miktar Dağılım'!$D22,'Gider Miktar'!$F:$F,1003)+SUMIFS('Gider Miktar'!AW:AW,'Gider Miktar'!$B:$B,'Emanet Miktar Dağılım'!$D22,'Gider Miktar'!$F:$F,1004)</f>
        <v>8487.9942957198637</v>
      </c>
      <c r="AO22" s="9">
        <f>+SUMIFS('Gider Miktar'!AX:AX,'Gider Miktar'!$B:$B,'Emanet Miktar Dağılım'!$D22,'Gider Miktar'!$F:$F,1001)+SUMIFS('Gider Miktar'!AX:AX,'Gider Miktar'!$B:$B,'Emanet Miktar Dağılım'!$D22,'Gider Miktar'!$F:$F,1002)+SUMIFS('Gider Miktar'!AX:AX,'Gider Miktar'!$B:$B,'Emanet Miktar Dağılım'!$D22,'Gider Miktar'!$F:$F,1003)+SUMIFS('Gider Miktar'!AX:AX,'Gider Miktar'!$B:$B,'Emanet Miktar Dağılım'!$D22,'Gider Miktar'!$F:$F,1004)</f>
        <v>8487.9942957198637</v>
      </c>
      <c r="AP22" s="9">
        <f>+SUMIFS('Gider Miktar'!AY:AY,'Gider Miktar'!$B:$B,'Emanet Miktar Dağılım'!$D22,'Gider Miktar'!$F:$F,1001)+SUMIFS('Gider Miktar'!AY:AY,'Gider Miktar'!$B:$B,'Emanet Miktar Dağılım'!$D22,'Gider Miktar'!$F:$F,1002)+SUMIFS('Gider Miktar'!AY:AY,'Gider Miktar'!$B:$B,'Emanet Miktar Dağılım'!$D22,'Gider Miktar'!$F:$F,1003)+SUMIFS('Gider Miktar'!AY:AY,'Gider Miktar'!$B:$B,'Emanet Miktar Dağılım'!$D22,'Gider Miktar'!$F:$F,1004)</f>
        <v>8487.9942957198637</v>
      </c>
      <c r="AQ22" s="9">
        <f>+SUMIFS('Gider Miktar'!AZ:AZ,'Gider Miktar'!$B:$B,'Emanet Miktar Dağılım'!$D22,'Gider Miktar'!$F:$F,1001)+SUMIFS('Gider Miktar'!AZ:AZ,'Gider Miktar'!$B:$B,'Emanet Miktar Dağılım'!$D22,'Gider Miktar'!$F:$F,1002)+SUMIFS('Gider Miktar'!AZ:AZ,'Gider Miktar'!$B:$B,'Emanet Miktar Dağılım'!$D22,'Gider Miktar'!$F:$F,1003)+SUMIFS('Gider Miktar'!AZ:AZ,'Gider Miktar'!$B:$B,'Emanet Miktar Dağılım'!$D22,'Gider Miktar'!$F:$F,1004)</f>
        <v>3352.9922217898829</v>
      </c>
      <c r="AR22" s="9">
        <f>+SUMIFS('Gider Miktar'!BA:BA,'Gider Miktar'!$B:$B,'Emanet Miktar Dağılım'!$D22,'Gider Miktar'!$F:$F,1001)+SUMIFS('Gider Miktar'!BA:BA,'Gider Miktar'!$B:$B,'Emanet Miktar Dağılım'!$D22,'Gider Miktar'!$F:$F,1002)+SUMIFS('Gider Miktar'!BA:BA,'Gider Miktar'!$B:$B,'Emanet Miktar Dağılım'!$D22,'Gider Miktar'!$F:$F,1003)+SUMIFS('Gider Miktar'!BA:BA,'Gider Miktar'!$B:$B,'Emanet Miktar Dağılım'!$D22,'Gider Miktar'!$F:$F,1004)</f>
        <v>0</v>
      </c>
      <c r="AS22" s="9">
        <f>+SUMIFS('Gider Miktar'!BB:BB,'Gider Miktar'!$B:$B,'Emanet Miktar Dağılım'!$D22,'Gider Miktar'!$F:$F,1001)+SUMIFS('Gider Miktar'!BB:BB,'Gider Miktar'!$B:$B,'Emanet Miktar Dağılım'!$D22,'Gider Miktar'!$F:$F,1002)+SUMIFS('Gider Miktar'!BB:BB,'Gider Miktar'!$B:$B,'Emanet Miktar Dağılım'!$D22,'Gider Miktar'!$F:$F,1003)+SUMIFS('Gider Miktar'!BB:BB,'Gider Miktar'!$B:$B,'Emanet Miktar Dağılım'!$D22,'Gider Miktar'!$F:$F,1004)</f>
        <v>0</v>
      </c>
      <c r="AT22" s="9">
        <f>+SUMIFS('Gider Miktar'!BC:BC,'Gider Miktar'!$B:$B,'Emanet Miktar Dağılım'!$D22,'Gider Miktar'!$F:$F,1001)+SUMIFS('Gider Miktar'!BC:BC,'Gider Miktar'!$B:$B,'Emanet Miktar Dağılım'!$D22,'Gider Miktar'!$F:$F,1002)+SUMIFS('Gider Miktar'!BC:BC,'Gider Miktar'!$B:$B,'Emanet Miktar Dağılım'!$D22,'Gider Miktar'!$F:$F,1003)+SUMIFS('Gider Miktar'!BC:BC,'Gider Miktar'!$B:$B,'Emanet Miktar Dağılım'!$D22,'Gider Miktar'!$F:$F,1004)</f>
        <v>0</v>
      </c>
      <c r="AU22" s="9">
        <f>+SUMIFS('Gider Miktar'!BD:BD,'Gider Miktar'!$B:$B,'Emanet Miktar Dağılım'!$D22,'Gider Miktar'!$F:$F,1001)+SUMIFS('Gider Miktar'!BD:BD,'Gider Miktar'!$B:$B,'Emanet Miktar Dağılım'!$D22,'Gider Miktar'!$F:$F,1002)+SUMIFS('Gider Miktar'!BD:BD,'Gider Miktar'!$B:$B,'Emanet Miktar Dağılım'!$D22,'Gider Miktar'!$F:$F,1003)+SUMIFS('Gider Miktar'!BD:BD,'Gider Miktar'!$B:$B,'Emanet Miktar Dağılım'!$D22,'Gider Miktar'!$F:$F,1004)</f>
        <v>0</v>
      </c>
      <c r="AV22" s="9">
        <f>+SUMIFS('Gider Miktar'!BE:BE,'Gider Miktar'!$B:$B,'Emanet Miktar Dağılım'!$D22,'Gider Miktar'!$F:$F,1001)+SUMIFS('Gider Miktar'!BE:BE,'Gider Miktar'!$B:$B,'Emanet Miktar Dağılım'!$D22,'Gider Miktar'!$F:$F,1002)+SUMIFS('Gider Miktar'!BE:BE,'Gider Miktar'!$B:$B,'Emanet Miktar Dağılım'!$D22,'Gider Miktar'!$F:$F,1003)+SUMIFS('Gider Miktar'!BE:BE,'Gider Miktar'!$B:$B,'Emanet Miktar Dağılım'!$D22,'Gider Miktar'!$F:$F,1004)</f>
        <v>0</v>
      </c>
      <c r="AW22" s="9">
        <f>+SUMIFS('Gider Miktar'!BF:BF,'Gider Miktar'!$B:$B,'Emanet Miktar Dağılım'!$D22,'Gider Miktar'!$F:$F,1001)+SUMIFS('Gider Miktar'!BF:BF,'Gider Miktar'!$B:$B,'Emanet Miktar Dağılım'!$D22,'Gider Miktar'!$F:$F,1002)+SUMIFS('Gider Miktar'!BF:BF,'Gider Miktar'!$B:$B,'Emanet Miktar Dağılım'!$D22,'Gider Miktar'!$F:$F,1003)+SUMIFS('Gider Miktar'!BF:BF,'Gider Miktar'!$B:$B,'Emanet Miktar Dağılım'!$D22,'Gider Miktar'!$F:$F,1004)</f>
        <v>0</v>
      </c>
      <c r="AX22" s="9">
        <f>+SUMIFS('Gider Miktar'!BG:BG,'Gider Miktar'!$B:$B,'Emanet Miktar Dağılım'!$D22,'Gider Miktar'!$F:$F,1001)+SUMIFS('Gider Miktar'!BG:BG,'Gider Miktar'!$B:$B,'Emanet Miktar Dağılım'!$D22,'Gider Miktar'!$F:$F,1002)+SUMIFS('Gider Miktar'!BG:BG,'Gider Miktar'!$B:$B,'Emanet Miktar Dağılım'!$D22,'Gider Miktar'!$F:$F,1003)+SUMIFS('Gider Miktar'!BG:BG,'Gider Miktar'!$B:$B,'Emanet Miktar Dağılım'!$D22,'Gider Miktar'!$F:$F,1004)</f>
        <v>0</v>
      </c>
      <c r="AY22" s="9">
        <f>+SUMIFS('Gider Miktar'!BH:BH,'Gider Miktar'!$B:$B,'Emanet Miktar Dağılım'!$D22,'Gider Miktar'!$F:$F,1001)+SUMIFS('Gider Miktar'!BH:BH,'Gider Miktar'!$B:$B,'Emanet Miktar Dağılım'!$D22,'Gider Miktar'!$F:$F,1002)+SUMIFS('Gider Miktar'!BH:BH,'Gider Miktar'!$B:$B,'Emanet Miktar Dağılım'!$D22,'Gider Miktar'!$F:$F,1003)+SUMIFS('Gider Miktar'!BH:BH,'Gider Miktar'!$B:$B,'Emanet Miktar Dağılım'!$D22,'Gider Miktar'!$F:$F,1004)</f>
        <v>0</v>
      </c>
      <c r="AZ22" s="9">
        <f>+SUMIFS('Gider Miktar'!BI:BI,'Gider Miktar'!$B:$B,'Emanet Miktar Dağılım'!$D22,'Gider Miktar'!$F:$F,1001)+SUMIFS('Gider Miktar'!BI:BI,'Gider Miktar'!$B:$B,'Emanet Miktar Dağılım'!$D22,'Gider Miktar'!$F:$F,1002)+SUMIFS('Gider Miktar'!BI:BI,'Gider Miktar'!$B:$B,'Emanet Miktar Dağılım'!$D22,'Gider Miktar'!$F:$F,1003)+SUMIFS('Gider Miktar'!BI:BI,'Gider Miktar'!$B:$B,'Emanet Miktar Dağılım'!$D22,'Gider Miktar'!$F:$F,1004)</f>
        <v>0</v>
      </c>
      <c r="BA22" s="9">
        <f>+SUMIFS('Gider Miktar'!BJ:BJ,'Gider Miktar'!$B:$B,'Emanet Miktar Dağılım'!$D22,'Gider Miktar'!$F:$F,1001)+SUMIFS('Gider Miktar'!BJ:BJ,'Gider Miktar'!$B:$B,'Emanet Miktar Dağılım'!$D22,'Gider Miktar'!$F:$F,1002)+SUMIFS('Gider Miktar'!BJ:BJ,'Gider Miktar'!$B:$B,'Emanet Miktar Dağılım'!$D22,'Gider Miktar'!$F:$F,1003)+SUMIFS('Gider Miktar'!BJ:BJ,'Gider Miktar'!$B:$B,'Emanet Miktar Dağılım'!$D22,'Gider Miktar'!$F:$F,1004)</f>
        <v>0</v>
      </c>
      <c r="BB22" s="9">
        <f>+SUMIFS('Gider Miktar'!BK:BK,'Gider Miktar'!$B:$B,'Emanet Miktar Dağılım'!$D22,'Gider Miktar'!$F:$F,1001)+SUMIFS('Gider Miktar'!BK:BK,'Gider Miktar'!$B:$B,'Emanet Miktar Dağılım'!$D22,'Gider Miktar'!$F:$F,1002)+SUMIFS('Gider Miktar'!BK:BK,'Gider Miktar'!$B:$B,'Emanet Miktar Dağılım'!$D22,'Gider Miktar'!$F:$F,1003)+SUMIFS('Gider Miktar'!BK:BK,'Gider Miktar'!$B:$B,'Emanet Miktar Dağılım'!$D22,'Gider Miktar'!$F:$F,1004)</f>
        <v>0</v>
      </c>
      <c r="BC22" s="9">
        <f>+SUMIFS('Gider Miktar'!BL:BL,'Gider Miktar'!$B:$B,'Emanet Miktar Dağılım'!$D22,'Gider Miktar'!$F:$F,1001)+SUMIFS('Gider Miktar'!BL:BL,'Gider Miktar'!$B:$B,'Emanet Miktar Dağılım'!$D22,'Gider Miktar'!$F:$F,1002)+SUMIFS('Gider Miktar'!BL:BL,'Gider Miktar'!$B:$B,'Emanet Miktar Dağılım'!$D22,'Gider Miktar'!$F:$F,1003)+SUMIFS('Gider Miktar'!BL:BL,'Gider Miktar'!$B:$B,'Emanet Miktar Dağılım'!$D22,'Gider Miktar'!$F:$F,1004)</f>
        <v>0</v>
      </c>
      <c r="BD22" s="9">
        <f>+SUMIFS('Gider Miktar'!BM:BM,'Gider Miktar'!$B:$B,'Emanet Miktar Dağılım'!$D22,'Gider Miktar'!$F:$F,1001)+SUMIFS('Gider Miktar'!BM:BM,'Gider Miktar'!$B:$B,'Emanet Miktar Dağılım'!$D22,'Gider Miktar'!$F:$F,1002)+SUMIFS('Gider Miktar'!BM:BM,'Gider Miktar'!$B:$B,'Emanet Miktar Dağılım'!$D22,'Gider Miktar'!$F:$F,1003)+SUMIFS('Gider Miktar'!BM:BM,'Gider Miktar'!$B:$B,'Emanet Miktar Dağılım'!$D22,'Gider Miktar'!$F:$F,1004)</f>
        <v>0</v>
      </c>
      <c r="BE22" s="9">
        <f>+SUMIFS('Gider Miktar'!BN:BN,'Gider Miktar'!$B:$B,'Emanet Miktar Dağılım'!$D22,'Gider Miktar'!$F:$F,1001)+SUMIFS('Gider Miktar'!BN:BN,'Gider Miktar'!$B:$B,'Emanet Miktar Dağılım'!$D22,'Gider Miktar'!$F:$F,1002)+SUMIFS('Gider Miktar'!BN:BN,'Gider Miktar'!$B:$B,'Emanet Miktar Dağılım'!$D22,'Gider Miktar'!$F:$F,1003)+SUMIFS('Gider Miktar'!BN:BN,'Gider Miktar'!$B:$B,'Emanet Miktar Dağılım'!$D22,'Gider Miktar'!$F:$F,1004)</f>
        <v>0</v>
      </c>
      <c r="BF22" s="9">
        <f>+SUMIFS('Gider Miktar'!BO:BO,'Gider Miktar'!$B:$B,'Emanet Miktar Dağılım'!$D22,'Gider Miktar'!$F:$F,1001)+SUMIFS('Gider Miktar'!BO:BO,'Gider Miktar'!$B:$B,'Emanet Miktar Dağılım'!$D22,'Gider Miktar'!$F:$F,1002)+SUMIFS('Gider Miktar'!BO:BO,'Gider Miktar'!$B:$B,'Emanet Miktar Dağılım'!$D22,'Gider Miktar'!$F:$F,1003)+SUMIFS('Gider Miktar'!BO:BO,'Gider Miktar'!$B:$B,'Emanet Miktar Dağılım'!$D22,'Gider Miktar'!$F:$F,1004)</f>
        <v>0</v>
      </c>
      <c r="BG22" s="9">
        <f>+SUMIFS('Gider Miktar'!BP:BP,'Gider Miktar'!$B:$B,'Emanet Miktar Dağılım'!$D22,'Gider Miktar'!$F:$F,1001)+SUMIFS('Gider Miktar'!BP:BP,'Gider Miktar'!$B:$B,'Emanet Miktar Dağılım'!$D22,'Gider Miktar'!$F:$F,1002)+SUMIFS('Gider Miktar'!BP:BP,'Gider Miktar'!$B:$B,'Emanet Miktar Dağılım'!$D22,'Gider Miktar'!$F:$F,1003)+SUMIFS('Gider Miktar'!BP:BP,'Gider Miktar'!$B:$B,'Emanet Miktar Dağılım'!$D22,'Gider Miktar'!$F:$F,1004)</f>
        <v>0</v>
      </c>
      <c r="BH22" s="9">
        <f>+SUMIFS('Gider Miktar'!BQ:BQ,'Gider Miktar'!$B:$B,'Emanet Miktar Dağılım'!$D22,'Gider Miktar'!$F:$F,1001)+SUMIFS('Gider Miktar'!BQ:BQ,'Gider Miktar'!$B:$B,'Emanet Miktar Dağılım'!$D22,'Gider Miktar'!$F:$F,1002)+SUMIFS('Gider Miktar'!BQ:BQ,'Gider Miktar'!$B:$B,'Emanet Miktar Dağılım'!$D22,'Gider Miktar'!$F:$F,1003)+SUMIFS('Gider Miktar'!BQ:BQ,'Gider Miktar'!$B:$B,'Emanet Miktar Dağılım'!$D22,'Gider Miktar'!$F:$F,1004)</f>
        <v>0</v>
      </c>
      <c r="BI22" s="9">
        <f>+SUMIFS('Gider Miktar'!BR:BR,'Gider Miktar'!$B:$B,'Emanet Miktar Dağılım'!$D22,'Gider Miktar'!$F:$F,1001)+SUMIFS('Gider Miktar'!BR:BR,'Gider Miktar'!$B:$B,'Emanet Miktar Dağılım'!$D22,'Gider Miktar'!$F:$F,1002)+SUMIFS('Gider Miktar'!BR:BR,'Gider Miktar'!$B:$B,'Emanet Miktar Dağılım'!$D22,'Gider Miktar'!$F:$F,1003)+SUMIFS('Gider Miktar'!BR:BR,'Gider Miktar'!$B:$B,'Emanet Miktar Dağılım'!$D22,'Gider Miktar'!$F:$F,1004)</f>
        <v>0</v>
      </c>
      <c r="BJ22" s="9">
        <f>+SUMIFS('Gider Miktar'!BS:BS,'Gider Miktar'!$B:$B,'Emanet Miktar Dağılım'!$D22,'Gider Miktar'!$F:$F,1001)+SUMIFS('Gider Miktar'!BS:BS,'Gider Miktar'!$B:$B,'Emanet Miktar Dağılım'!$D22,'Gider Miktar'!$F:$F,1002)+SUMIFS('Gider Miktar'!BS:BS,'Gider Miktar'!$B:$B,'Emanet Miktar Dağılım'!$D22,'Gider Miktar'!$F:$F,1003)+SUMIFS('Gider Miktar'!BS:BS,'Gider Miktar'!$B:$B,'Emanet Miktar Dağılım'!$D22,'Gider Miktar'!$F:$F,1004)</f>
        <v>0</v>
      </c>
      <c r="BK22" s="9">
        <f>+SUMIFS('Gider Miktar'!BT:BT,'Gider Miktar'!$B:$B,'Emanet Miktar Dağılım'!$D22,'Gider Miktar'!$F:$F,1001)+SUMIFS('Gider Miktar'!BT:BT,'Gider Miktar'!$B:$B,'Emanet Miktar Dağılım'!$D22,'Gider Miktar'!$F:$F,1002)+SUMIFS('Gider Miktar'!BT:BT,'Gider Miktar'!$B:$B,'Emanet Miktar Dağılım'!$D22,'Gider Miktar'!$F:$F,1003)+SUMIFS('Gider Miktar'!BT:BT,'Gider Miktar'!$B:$B,'Emanet Miktar Dağılım'!$D22,'Gider Miktar'!$F:$F,1004)</f>
        <v>0</v>
      </c>
      <c r="BL22" s="9">
        <f>+SUMIFS('Gider Miktar'!BU:BU,'Gider Miktar'!$B:$B,'Emanet Miktar Dağılım'!$D22,'Gider Miktar'!$F:$F,1001)+SUMIFS('Gider Miktar'!BU:BU,'Gider Miktar'!$B:$B,'Emanet Miktar Dağılım'!$D22,'Gider Miktar'!$F:$F,1002)+SUMIFS('Gider Miktar'!BU:BU,'Gider Miktar'!$B:$B,'Emanet Miktar Dağılım'!$D22,'Gider Miktar'!$F:$F,1003)+SUMIFS('Gider Miktar'!BU:BU,'Gider Miktar'!$B:$B,'Emanet Miktar Dağılım'!$D22,'Gider Miktar'!$F:$F,1004)</f>
        <v>0</v>
      </c>
      <c r="BM22" s="9">
        <f>+SUMIFS('Gider Miktar'!BV:BV,'Gider Miktar'!$B:$B,'Emanet Miktar Dağılım'!$D22,'Gider Miktar'!$F:$F,1001)+SUMIFS('Gider Miktar'!BV:BV,'Gider Miktar'!$B:$B,'Emanet Miktar Dağılım'!$D22,'Gider Miktar'!$F:$F,1002)+SUMIFS('Gider Miktar'!BV:BV,'Gider Miktar'!$B:$B,'Emanet Miktar Dağılım'!$D22,'Gider Miktar'!$F:$F,1003)+SUMIFS('Gider Miktar'!BV:BV,'Gider Miktar'!$B:$B,'Emanet Miktar Dağılım'!$D22,'Gider Miktar'!$F:$F,1004)</f>
        <v>0</v>
      </c>
      <c r="BN22" s="9">
        <f>+SUMIFS('Gider Miktar'!BW:BW,'Gider Miktar'!$B:$B,'Emanet Miktar Dağılım'!$D22,'Gider Miktar'!$F:$F,1001)+SUMIFS('Gider Miktar'!BW:BW,'Gider Miktar'!$B:$B,'Emanet Miktar Dağılım'!$D22,'Gider Miktar'!$F:$F,1002)+SUMIFS('Gider Miktar'!BW:BW,'Gider Miktar'!$B:$B,'Emanet Miktar Dağılım'!$D22,'Gider Miktar'!$F:$F,1003)+SUMIFS('Gider Miktar'!BW:BW,'Gider Miktar'!$B:$B,'Emanet Miktar Dağılım'!$D22,'Gider Miktar'!$F:$F,1004)</f>
        <v>0</v>
      </c>
      <c r="BO22" s="9">
        <f>+SUMIFS('Gider Miktar'!BX:BX,'Gider Miktar'!$B:$B,'Emanet Miktar Dağılım'!$D22,'Gider Miktar'!$F:$F,1001)+SUMIFS('Gider Miktar'!BX:BX,'Gider Miktar'!$B:$B,'Emanet Miktar Dağılım'!$D22,'Gider Miktar'!$F:$F,1002)+SUMIFS('Gider Miktar'!BX:BX,'Gider Miktar'!$B:$B,'Emanet Miktar Dağılım'!$D22,'Gider Miktar'!$F:$F,1003)+SUMIFS('Gider Miktar'!BX:BX,'Gider Miktar'!$B:$B,'Emanet Miktar Dağılım'!$D22,'Gider Miktar'!$F:$F,1004)</f>
        <v>0</v>
      </c>
    </row>
    <row r="23" spans="2:67">
      <c r="D23" t="s">
        <v>25</v>
      </c>
      <c r="E23" s="9">
        <f>+SUMIFS('Gider Miktar'!N:N,'Gider Miktar'!$B:$B,'Emanet Miktar Dağılım'!$D23,'Gider Miktar'!$F:$F,1001)+SUMIFS('Gider Miktar'!N:N,'Gider Miktar'!$B:$B,'Emanet Miktar Dağılım'!$D23,'Gider Miktar'!$F:$F,1002)+SUMIFS('Gider Miktar'!N:N,'Gider Miktar'!$B:$B,'Emanet Miktar Dağılım'!$D23,'Gider Miktar'!$F:$F,1003)+SUMIFS('Gider Miktar'!N:N,'Gider Miktar'!$B:$B,'Emanet Miktar Dağılım'!$D23,'Gider Miktar'!$F:$F,1004)</f>
        <v>0</v>
      </c>
      <c r="F23" s="9">
        <f>+SUMIFS('Gider Miktar'!O:O,'Gider Miktar'!$B:$B,'Emanet Miktar Dağılım'!$D23,'Gider Miktar'!$F:$F,1001)+SUMIFS('Gider Miktar'!O:O,'Gider Miktar'!$B:$B,'Emanet Miktar Dağılım'!$D23,'Gider Miktar'!$F:$F,1002)+SUMIFS('Gider Miktar'!O:O,'Gider Miktar'!$B:$B,'Emanet Miktar Dağılım'!$D23,'Gider Miktar'!$F:$F,1003)+SUMIFS('Gider Miktar'!O:O,'Gider Miktar'!$B:$B,'Emanet Miktar Dağılım'!$D23,'Gider Miktar'!$F:$F,1004)</f>
        <v>0</v>
      </c>
      <c r="G23" s="9">
        <f>+SUMIFS('Gider Miktar'!P:P,'Gider Miktar'!$B:$B,'Emanet Miktar Dağılım'!$D23,'Gider Miktar'!$F:$F,1001)+SUMIFS('Gider Miktar'!P:P,'Gider Miktar'!$B:$B,'Emanet Miktar Dağılım'!$D23,'Gider Miktar'!$F:$F,1002)+SUMIFS('Gider Miktar'!P:P,'Gider Miktar'!$B:$B,'Emanet Miktar Dağılım'!$D23,'Gider Miktar'!$F:$F,1003)+SUMIFS('Gider Miktar'!P:P,'Gider Miktar'!$B:$B,'Emanet Miktar Dağılım'!$D23,'Gider Miktar'!$F:$F,1004)</f>
        <v>0</v>
      </c>
      <c r="H23" s="9">
        <f>+SUMIFS('Gider Miktar'!Q:Q,'Gider Miktar'!$B:$B,'Emanet Miktar Dağılım'!$D23,'Gider Miktar'!$F:$F,1001)+SUMIFS('Gider Miktar'!Q:Q,'Gider Miktar'!$B:$B,'Emanet Miktar Dağılım'!$D23,'Gider Miktar'!$F:$F,1002)+SUMIFS('Gider Miktar'!Q:Q,'Gider Miktar'!$B:$B,'Emanet Miktar Dağılım'!$D23,'Gider Miktar'!$F:$F,1003)+SUMIFS('Gider Miktar'!Q:Q,'Gider Miktar'!$B:$B,'Emanet Miktar Dağılım'!$D23,'Gider Miktar'!$F:$F,1004)</f>
        <v>0</v>
      </c>
      <c r="I23" s="9">
        <f>+SUMIFS('Gider Miktar'!R:R,'Gider Miktar'!$B:$B,'Emanet Miktar Dağılım'!$D23,'Gider Miktar'!$F:$F,1001)+SUMIFS('Gider Miktar'!R:R,'Gider Miktar'!$B:$B,'Emanet Miktar Dağılım'!$D23,'Gider Miktar'!$F:$F,1002)+SUMIFS('Gider Miktar'!R:R,'Gider Miktar'!$B:$B,'Emanet Miktar Dağılım'!$D23,'Gider Miktar'!$F:$F,1003)+SUMIFS('Gider Miktar'!R:R,'Gider Miktar'!$B:$B,'Emanet Miktar Dağılım'!$D23,'Gider Miktar'!$F:$F,1004)</f>
        <v>0</v>
      </c>
      <c r="J23" s="9">
        <f>+SUMIFS('Gider Miktar'!S:S,'Gider Miktar'!$B:$B,'Emanet Miktar Dağılım'!$D23,'Gider Miktar'!$F:$F,1001)+SUMIFS('Gider Miktar'!S:S,'Gider Miktar'!$B:$B,'Emanet Miktar Dağılım'!$D23,'Gider Miktar'!$F:$F,1002)+SUMIFS('Gider Miktar'!S:S,'Gider Miktar'!$B:$B,'Emanet Miktar Dağılım'!$D23,'Gider Miktar'!$F:$F,1003)+SUMIFS('Gider Miktar'!S:S,'Gider Miktar'!$B:$B,'Emanet Miktar Dağılım'!$D23,'Gider Miktar'!$F:$F,1004)</f>
        <v>0</v>
      </c>
      <c r="K23" s="9">
        <f>+SUMIFS('Gider Miktar'!T:T,'Gider Miktar'!$B:$B,'Emanet Miktar Dağılım'!$D23,'Gider Miktar'!$F:$F,1001)+SUMIFS('Gider Miktar'!T:T,'Gider Miktar'!$B:$B,'Emanet Miktar Dağılım'!$D23,'Gider Miktar'!$F:$F,1002)+SUMIFS('Gider Miktar'!T:T,'Gider Miktar'!$B:$B,'Emanet Miktar Dağılım'!$D23,'Gider Miktar'!$F:$F,1003)+SUMIFS('Gider Miktar'!T:T,'Gider Miktar'!$B:$B,'Emanet Miktar Dağılım'!$D23,'Gider Miktar'!$F:$F,1004)</f>
        <v>0</v>
      </c>
      <c r="L23" s="9">
        <f>+SUMIFS('Gider Miktar'!U:U,'Gider Miktar'!$B:$B,'Emanet Miktar Dağılım'!$D23,'Gider Miktar'!$F:$F,1001)+SUMIFS('Gider Miktar'!U:U,'Gider Miktar'!$B:$B,'Emanet Miktar Dağılım'!$D23,'Gider Miktar'!$F:$F,1002)+SUMIFS('Gider Miktar'!U:U,'Gider Miktar'!$B:$B,'Emanet Miktar Dağılım'!$D23,'Gider Miktar'!$F:$F,1003)+SUMIFS('Gider Miktar'!U:U,'Gider Miktar'!$B:$B,'Emanet Miktar Dağılım'!$D23,'Gider Miktar'!$F:$F,1004)</f>
        <v>0</v>
      </c>
      <c r="M23" s="9">
        <f>+SUMIFS('Gider Miktar'!V:V,'Gider Miktar'!$B:$B,'Emanet Miktar Dağılım'!$D23,'Gider Miktar'!$F:$F,1001)+SUMIFS('Gider Miktar'!V:V,'Gider Miktar'!$B:$B,'Emanet Miktar Dağılım'!$D23,'Gider Miktar'!$F:$F,1002)+SUMIFS('Gider Miktar'!V:V,'Gider Miktar'!$B:$B,'Emanet Miktar Dağılım'!$D23,'Gider Miktar'!$F:$F,1003)+SUMIFS('Gider Miktar'!V:V,'Gider Miktar'!$B:$B,'Emanet Miktar Dağılım'!$D23,'Gider Miktar'!$F:$F,1004)</f>
        <v>0</v>
      </c>
      <c r="N23" s="11">
        <f>+SUMIFS('Gider Miktar'!W:W,'Gider Miktar'!$B:$B,'Emanet Miktar Dağılım'!$D23,'Gider Miktar'!$F:$F,1001)+SUMIFS('Gider Miktar'!W:W,'Gider Miktar'!$B:$B,'Emanet Miktar Dağılım'!$D23,'Gider Miktar'!$F:$F,1002)+SUMIFS('Gider Miktar'!W:W,'Gider Miktar'!$B:$B,'Emanet Miktar Dağılım'!$D23,'Gider Miktar'!$F:$F,1003)+SUMIFS('Gider Miktar'!W:W,'Gider Miktar'!$B:$B,'Emanet Miktar Dağılım'!$D23,'Gider Miktar'!$F:$F,1004)</f>
        <v>0</v>
      </c>
      <c r="O23" s="9">
        <f>+SUMIFS('Gider Miktar'!X:X,'Gider Miktar'!$B:$B,'Emanet Miktar Dağılım'!$D23,'Gider Miktar'!$F:$F,1001)+SUMIFS('Gider Miktar'!X:X,'Gider Miktar'!$B:$B,'Emanet Miktar Dağılım'!$D23,'Gider Miktar'!$F:$F,1002)+SUMIFS('Gider Miktar'!X:X,'Gider Miktar'!$B:$B,'Emanet Miktar Dağılım'!$D23,'Gider Miktar'!$F:$F,1003)+SUMIFS('Gider Miktar'!X:X,'Gider Miktar'!$B:$B,'Emanet Miktar Dağılım'!$D23,'Gider Miktar'!$F:$F,1004)</f>
        <v>0</v>
      </c>
      <c r="P23" s="9">
        <f>+SUMIFS('Gider Miktar'!Y:Y,'Gider Miktar'!$B:$B,'Emanet Miktar Dağılım'!$D23,'Gider Miktar'!$F:$F,1001)+SUMIFS('Gider Miktar'!Y:Y,'Gider Miktar'!$B:$B,'Emanet Miktar Dağılım'!$D23,'Gider Miktar'!$F:$F,1002)+SUMIFS('Gider Miktar'!Y:Y,'Gider Miktar'!$B:$B,'Emanet Miktar Dağılım'!$D23,'Gider Miktar'!$F:$F,1003)+SUMIFS('Gider Miktar'!Y:Y,'Gider Miktar'!$B:$B,'Emanet Miktar Dağılım'!$D23,'Gider Miktar'!$F:$F,1004)</f>
        <v>0</v>
      </c>
      <c r="Q23" s="9">
        <f>+SUMIFS('Gider Miktar'!Z:Z,'Gider Miktar'!$B:$B,'Emanet Miktar Dağılım'!$D23,'Gider Miktar'!$F:$F,1001)+SUMIFS('Gider Miktar'!Z:Z,'Gider Miktar'!$B:$B,'Emanet Miktar Dağılım'!$D23,'Gider Miktar'!$F:$F,1002)+SUMIFS('Gider Miktar'!Z:Z,'Gider Miktar'!$B:$B,'Emanet Miktar Dağılım'!$D23,'Gider Miktar'!$F:$F,1003)+SUMIFS('Gider Miktar'!Z:Z,'Gider Miktar'!$B:$B,'Emanet Miktar Dağılım'!$D23,'Gider Miktar'!$F:$F,1004)</f>
        <v>0</v>
      </c>
      <c r="R23" s="9">
        <f>+SUMIFS('Gider Miktar'!AA:AA,'Gider Miktar'!$B:$B,'Emanet Miktar Dağılım'!$D23,'Gider Miktar'!$F:$F,1001)+SUMIFS('Gider Miktar'!AA:AA,'Gider Miktar'!$B:$B,'Emanet Miktar Dağılım'!$D23,'Gider Miktar'!$F:$F,1002)+SUMIFS('Gider Miktar'!AA:AA,'Gider Miktar'!$B:$B,'Emanet Miktar Dağılım'!$D23,'Gider Miktar'!$F:$F,1003)+SUMIFS('Gider Miktar'!AA:AA,'Gider Miktar'!$B:$B,'Emanet Miktar Dağılım'!$D23,'Gider Miktar'!$F:$F,1004)</f>
        <v>1516.6217898832692</v>
      </c>
      <c r="S23" s="9">
        <f>+SUMIFS('Gider Miktar'!AB:AB,'Gider Miktar'!$B:$B,'Emanet Miktar Dağılım'!$D23,'Gider Miktar'!$F:$F,1001)+SUMIFS('Gider Miktar'!AB:AB,'Gider Miktar'!$B:$B,'Emanet Miktar Dağılım'!$D23,'Gider Miktar'!$F:$F,1002)+SUMIFS('Gider Miktar'!AB:AB,'Gider Miktar'!$B:$B,'Emanet Miktar Dağılım'!$D23,'Gider Miktar'!$F:$F,1003)+SUMIFS('Gider Miktar'!AB:AB,'Gider Miktar'!$B:$B,'Emanet Miktar Dağılım'!$D23,'Gider Miktar'!$F:$F,1004)</f>
        <v>2729.9192217898844</v>
      </c>
      <c r="T23" s="9">
        <f>+SUMIFS('Gider Miktar'!AC:AC,'Gider Miktar'!$B:$B,'Emanet Miktar Dağılım'!$D23,'Gider Miktar'!$F:$F,1001)+SUMIFS('Gider Miktar'!AC:AC,'Gider Miktar'!$B:$B,'Emanet Miktar Dağılım'!$D23,'Gider Miktar'!$F:$F,1002)+SUMIFS('Gider Miktar'!AC:AC,'Gider Miktar'!$B:$B,'Emanet Miktar Dağılım'!$D23,'Gider Miktar'!$F:$F,1003)+SUMIFS('Gider Miktar'!AC:AC,'Gider Miktar'!$B:$B,'Emanet Miktar Dağılım'!$D23,'Gider Miktar'!$F:$F,1004)</f>
        <v>4688.752658941632</v>
      </c>
      <c r="U23" s="9">
        <f>+SUMIFS('Gider Miktar'!AD:AD,'Gider Miktar'!$B:$B,'Emanet Miktar Dağılım'!$D23,'Gider Miktar'!$F:$F,1001)+SUMIFS('Gider Miktar'!AD:AD,'Gider Miktar'!$B:$B,'Emanet Miktar Dağılım'!$D23,'Gider Miktar'!$F:$F,1002)+SUMIFS('Gider Miktar'!AD:AD,'Gider Miktar'!$B:$B,'Emanet Miktar Dağılım'!$D23,'Gider Miktar'!$F:$F,1003)+SUMIFS('Gider Miktar'!AD:AD,'Gider Miktar'!$B:$B,'Emanet Miktar Dağılım'!$D23,'Gider Miktar'!$F:$F,1004)</f>
        <v>3786.8639826666754</v>
      </c>
      <c r="V23" s="9">
        <f>+SUMIFS('Gider Miktar'!AE:AE,'Gider Miktar'!$B:$B,'Emanet Miktar Dağılım'!$D23,'Gider Miktar'!$F:$F,1001)+SUMIFS('Gider Miktar'!AE:AE,'Gider Miktar'!$B:$B,'Emanet Miktar Dağılım'!$D23,'Gider Miktar'!$F:$F,1002)+SUMIFS('Gider Miktar'!AE:AE,'Gider Miktar'!$B:$B,'Emanet Miktar Dağılım'!$D23,'Gider Miktar'!$F:$F,1003)+SUMIFS('Gider Miktar'!AE:AE,'Gider Miktar'!$B:$B,'Emanet Miktar Dağılım'!$D23,'Gider Miktar'!$F:$F,1004)</f>
        <v>3768.9167600000001</v>
      </c>
      <c r="W23" s="9">
        <f>+SUMIFS('Gider Miktar'!AF:AF,'Gider Miktar'!$B:$B,'Emanet Miktar Dağılım'!$D23,'Gider Miktar'!$F:$F,1001)+SUMIFS('Gider Miktar'!AF:AF,'Gider Miktar'!$B:$B,'Emanet Miktar Dağılım'!$D23,'Gider Miktar'!$F:$F,1002)+SUMIFS('Gider Miktar'!AF:AF,'Gider Miktar'!$B:$B,'Emanet Miktar Dağılım'!$D23,'Gider Miktar'!$F:$F,1003)+SUMIFS('Gider Miktar'!AF:AF,'Gider Miktar'!$B:$B,'Emanet Miktar Dağılım'!$D23,'Gider Miktar'!$F:$F,1004)</f>
        <v>4594.4890026666753</v>
      </c>
      <c r="X23" s="9">
        <f>+SUMIFS('Gider Miktar'!AG:AG,'Gider Miktar'!$B:$B,'Emanet Miktar Dağılım'!$D23,'Gider Miktar'!$F:$F,1001)+SUMIFS('Gider Miktar'!AG:AG,'Gider Miktar'!$B:$B,'Emanet Miktar Dağılım'!$D23,'Gider Miktar'!$F:$F,1002)+SUMIFS('Gider Miktar'!AG:AG,'Gider Miktar'!$B:$B,'Emanet Miktar Dağılım'!$D23,'Gider Miktar'!$F:$F,1003)+SUMIFS('Gider Miktar'!AG:AG,'Gider Miktar'!$B:$B,'Emanet Miktar Dağılım'!$D23,'Gider Miktar'!$F:$F,1004)</f>
        <v>5402.1140226666748</v>
      </c>
      <c r="Y23" s="9">
        <f>+SUMIFS('Gider Miktar'!AH:AH,'Gider Miktar'!$B:$B,'Emanet Miktar Dağılım'!$D23,'Gider Miktar'!$F:$F,1001)+SUMIFS('Gider Miktar'!AH:AH,'Gider Miktar'!$B:$B,'Emanet Miktar Dağılım'!$D23,'Gider Miktar'!$F:$F,1002)+SUMIFS('Gider Miktar'!AH:AH,'Gider Miktar'!$B:$B,'Emanet Miktar Dağılım'!$D23,'Gider Miktar'!$F:$F,1003)+SUMIFS('Gider Miktar'!AH:AH,'Gider Miktar'!$B:$B,'Emanet Miktar Dağılım'!$D23,'Gider Miktar'!$F:$F,1004)</f>
        <v>4630.3834479999996</v>
      </c>
      <c r="Z23" s="9">
        <f>+SUMIFS('Gider Miktar'!AI:AI,'Gider Miktar'!$B:$B,'Emanet Miktar Dağılım'!$D23,'Gider Miktar'!$F:$F,1001)+SUMIFS('Gider Miktar'!AI:AI,'Gider Miktar'!$B:$B,'Emanet Miktar Dağılım'!$D23,'Gider Miktar'!$F:$F,1002)+SUMIFS('Gider Miktar'!AI:AI,'Gider Miktar'!$B:$B,'Emanet Miktar Dağılım'!$D23,'Gider Miktar'!$F:$F,1003)+SUMIFS('Gider Miktar'!AI:AI,'Gider Miktar'!$B:$B,'Emanet Miktar Dağılım'!$D23,'Gider Miktar'!$F:$F,1004)</f>
        <v>807.62501999999995</v>
      </c>
      <c r="AA23" s="9">
        <f>+SUMIFS('Gider Miktar'!AJ:AJ,'Gider Miktar'!$B:$B,'Emanet Miktar Dağılım'!$D23,'Gider Miktar'!$F:$F,1001)+SUMIFS('Gider Miktar'!AJ:AJ,'Gider Miktar'!$B:$B,'Emanet Miktar Dağılım'!$D23,'Gider Miktar'!$F:$F,1002)+SUMIFS('Gider Miktar'!AJ:AJ,'Gider Miktar'!$B:$B,'Emanet Miktar Dağılım'!$D23,'Gider Miktar'!$F:$F,1003)+SUMIFS('Gider Miktar'!AJ:AJ,'Gider Miktar'!$B:$B,'Emanet Miktar Dağılım'!$D23,'Gider Miktar'!$F:$F,1004)</f>
        <v>0</v>
      </c>
      <c r="AB23" s="9">
        <f>+SUMIFS('Gider Miktar'!AK:AK,'Gider Miktar'!$B:$B,'Emanet Miktar Dağılım'!$D23,'Gider Miktar'!$F:$F,1001)+SUMIFS('Gider Miktar'!AK:AK,'Gider Miktar'!$B:$B,'Emanet Miktar Dağılım'!$D23,'Gider Miktar'!$F:$F,1002)+SUMIFS('Gider Miktar'!AK:AK,'Gider Miktar'!$B:$B,'Emanet Miktar Dağılım'!$D23,'Gider Miktar'!$F:$F,1003)+SUMIFS('Gider Miktar'!AK:AK,'Gider Miktar'!$B:$B,'Emanet Miktar Dağılım'!$D23,'Gider Miktar'!$F:$F,1004)</f>
        <v>0</v>
      </c>
      <c r="AC23" s="9">
        <f>+SUMIFS('Gider Miktar'!AL:AL,'Gider Miktar'!$B:$B,'Emanet Miktar Dağılım'!$D23,'Gider Miktar'!$F:$F,1001)+SUMIFS('Gider Miktar'!AL:AL,'Gider Miktar'!$B:$B,'Emanet Miktar Dağılım'!$D23,'Gider Miktar'!$F:$F,1002)+SUMIFS('Gider Miktar'!AL:AL,'Gider Miktar'!$B:$B,'Emanet Miktar Dağılım'!$D23,'Gider Miktar'!$F:$F,1003)+SUMIFS('Gider Miktar'!AL:AL,'Gider Miktar'!$B:$B,'Emanet Miktar Dağılım'!$D23,'Gider Miktar'!$F:$F,1004)</f>
        <v>8241.5244705882287</v>
      </c>
      <c r="AD23" s="9">
        <f>+SUMIFS('Gider Miktar'!AM:AM,'Gider Miktar'!$B:$B,'Emanet Miktar Dağılım'!$D23,'Gider Miktar'!$F:$F,1001)+SUMIFS('Gider Miktar'!AM:AM,'Gider Miktar'!$B:$B,'Emanet Miktar Dağılım'!$D23,'Gider Miktar'!$F:$F,1002)+SUMIFS('Gider Miktar'!AM:AM,'Gider Miktar'!$B:$B,'Emanet Miktar Dağılım'!$D23,'Gider Miktar'!$F:$F,1003)+SUMIFS('Gider Miktar'!AM:AM,'Gider Miktar'!$B:$B,'Emanet Miktar Dağılım'!$D23,'Gider Miktar'!$F:$F,1004)</f>
        <v>8241.5244705882287</v>
      </c>
      <c r="AE23" s="9">
        <f>+SUMIFS('Gider Miktar'!AN:AN,'Gider Miktar'!$B:$B,'Emanet Miktar Dağılım'!$D23,'Gider Miktar'!$F:$F,1001)+SUMIFS('Gider Miktar'!AN:AN,'Gider Miktar'!$B:$B,'Emanet Miktar Dağılım'!$D23,'Gider Miktar'!$F:$F,1002)+SUMIFS('Gider Miktar'!AN:AN,'Gider Miktar'!$B:$B,'Emanet Miktar Dağılım'!$D23,'Gider Miktar'!$F:$F,1003)+SUMIFS('Gider Miktar'!AN:AN,'Gider Miktar'!$B:$B,'Emanet Miktar Dağılım'!$D23,'Gider Miktar'!$F:$F,1004)</f>
        <v>6867.9370588235406</v>
      </c>
      <c r="AF23" s="9">
        <f>+SUMIFS('Gider Miktar'!AO:AO,'Gider Miktar'!$B:$B,'Emanet Miktar Dağılım'!$D23,'Gider Miktar'!$F:$F,1001)+SUMIFS('Gider Miktar'!AO:AO,'Gider Miktar'!$B:$B,'Emanet Miktar Dağılım'!$D23,'Gider Miktar'!$F:$F,1002)+SUMIFS('Gider Miktar'!AO:AO,'Gider Miktar'!$B:$B,'Emanet Miktar Dağılım'!$D23,'Gider Miktar'!$F:$F,1003)+SUMIFS('Gider Miktar'!AO:AO,'Gider Miktar'!$B:$B,'Emanet Miktar Dağılım'!$D23,'Gider Miktar'!$F:$F,1004)</f>
        <v>0</v>
      </c>
      <c r="AG23" s="9">
        <f>+SUMIFS('Gider Miktar'!AP:AP,'Gider Miktar'!$B:$B,'Emanet Miktar Dağılım'!$D23,'Gider Miktar'!$F:$F,1001)+SUMIFS('Gider Miktar'!AP:AP,'Gider Miktar'!$B:$B,'Emanet Miktar Dağılım'!$D23,'Gider Miktar'!$F:$F,1002)+SUMIFS('Gider Miktar'!AP:AP,'Gider Miktar'!$B:$B,'Emanet Miktar Dağılım'!$D23,'Gider Miktar'!$F:$F,1003)+SUMIFS('Gider Miktar'!AP:AP,'Gider Miktar'!$B:$B,'Emanet Miktar Dağılım'!$D23,'Gider Miktar'!$F:$F,1004)</f>
        <v>0</v>
      </c>
      <c r="AH23" s="9">
        <f>+SUMIFS('Gider Miktar'!AQ:AQ,'Gider Miktar'!$B:$B,'Emanet Miktar Dağılım'!$D23,'Gider Miktar'!$F:$F,1001)+SUMIFS('Gider Miktar'!AQ:AQ,'Gider Miktar'!$B:$B,'Emanet Miktar Dağılım'!$D23,'Gider Miktar'!$F:$F,1002)+SUMIFS('Gider Miktar'!AQ:AQ,'Gider Miktar'!$B:$B,'Emanet Miktar Dağılım'!$D23,'Gider Miktar'!$F:$F,1003)+SUMIFS('Gider Miktar'!AQ:AQ,'Gider Miktar'!$B:$B,'Emanet Miktar Dağılım'!$D23,'Gider Miktar'!$F:$F,1004)</f>
        <v>0</v>
      </c>
      <c r="AI23" s="9">
        <f>+SUMIFS('Gider Miktar'!AR:AR,'Gider Miktar'!$B:$B,'Emanet Miktar Dağılım'!$D23,'Gider Miktar'!$F:$F,1001)+SUMIFS('Gider Miktar'!AR:AR,'Gider Miktar'!$B:$B,'Emanet Miktar Dağılım'!$D23,'Gider Miktar'!$F:$F,1002)+SUMIFS('Gider Miktar'!AR:AR,'Gider Miktar'!$B:$B,'Emanet Miktar Dağılım'!$D23,'Gider Miktar'!$F:$F,1003)+SUMIFS('Gider Miktar'!AR:AR,'Gider Miktar'!$B:$B,'Emanet Miktar Dağılım'!$D23,'Gider Miktar'!$F:$F,1004)</f>
        <v>0</v>
      </c>
      <c r="AJ23" s="9">
        <f>+SUMIFS('Gider Miktar'!AS:AS,'Gider Miktar'!$B:$B,'Emanet Miktar Dağılım'!$D23,'Gider Miktar'!$F:$F,1001)+SUMIFS('Gider Miktar'!AS:AS,'Gider Miktar'!$B:$B,'Emanet Miktar Dağılım'!$D23,'Gider Miktar'!$F:$F,1002)+SUMIFS('Gider Miktar'!AS:AS,'Gider Miktar'!$B:$B,'Emanet Miktar Dağılım'!$D23,'Gider Miktar'!$F:$F,1003)+SUMIFS('Gider Miktar'!AS:AS,'Gider Miktar'!$B:$B,'Emanet Miktar Dağılım'!$D23,'Gider Miktar'!$F:$F,1004)</f>
        <v>1819.9461478599242</v>
      </c>
      <c r="AK23" s="9">
        <f>+SUMIFS('Gider Miktar'!AT:AT,'Gider Miktar'!$B:$B,'Emanet Miktar Dağılım'!$D23,'Gider Miktar'!$F:$F,1001)+SUMIFS('Gider Miktar'!AT:AT,'Gider Miktar'!$B:$B,'Emanet Miktar Dağılım'!$D23,'Gider Miktar'!$F:$F,1002)+SUMIFS('Gider Miktar'!AT:AT,'Gider Miktar'!$B:$B,'Emanet Miktar Dağılım'!$D23,'Gider Miktar'!$F:$F,1003)+SUMIFS('Gider Miktar'!AT:AT,'Gider Miktar'!$B:$B,'Emanet Miktar Dağılım'!$D23,'Gider Miktar'!$F:$F,1004)</f>
        <v>2532.7583891050581</v>
      </c>
      <c r="AL23" s="9">
        <f>+SUMIFS('Gider Miktar'!AU:AU,'Gider Miktar'!$B:$B,'Emanet Miktar Dağılım'!$D23,'Gider Miktar'!$F:$F,1001)+SUMIFS('Gider Miktar'!AU:AU,'Gider Miktar'!$B:$B,'Emanet Miktar Dağılım'!$D23,'Gider Miktar'!$F:$F,1002)+SUMIFS('Gider Miktar'!AU:AU,'Gider Miktar'!$B:$B,'Emanet Miktar Dağılım'!$D23,'Gider Miktar'!$F:$F,1003)+SUMIFS('Gider Miktar'!AU:AU,'Gider Miktar'!$B:$B,'Emanet Miktar Dağılım'!$D23,'Gider Miktar'!$F:$F,1004)</f>
        <v>5490.1708793774451</v>
      </c>
      <c r="AM23" s="9">
        <f>+SUMIFS('Gider Miktar'!AV:AV,'Gider Miktar'!$B:$B,'Emanet Miktar Dağılım'!$D23,'Gider Miktar'!$F:$F,1001)+SUMIFS('Gider Miktar'!AV:AV,'Gider Miktar'!$B:$B,'Emanet Miktar Dağılım'!$D23,'Gider Miktar'!$F:$F,1002)+SUMIFS('Gider Miktar'!AV:AV,'Gider Miktar'!$B:$B,'Emanet Miktar Dağılım'!$D23,'Gider Miktar'!$F:$F,1003)+SUMIFS('Gider Miktar'!AV:AV,'Gider Miktar'!$B:$B,'Emanet Miktar Dağılım'!$D23,'Gider Miktar'!$F:$F,1004)</f>
        <v>5490.1708793774451</v>
      </c>
      <c r="AN23" s="9">
        <f>+SUMIFS('Gider Miktar'!AW:AW,'Gider Miktar'!$B:$B,'Emanet Miktar Dağılım'!$D23,'Gider Miktar'!$F:$F,1001)+SUMIFS('Gider Miktar'!AW:AW,'Gider Miktar'!$B:$B,'Emanet Miktar Dağılım'!$D23,'Gider Miktar'!$F:$F,1002)+SUMIFS('Gider Miktar'!AW:AW,'Gider Miktar'!$B:$B,'Emanet Miktar Dağılım'!$D23,'Gider Miktar'!$F:$F,1003)+SUMIFS('Gider Miktar'!AW:AW,'Gider Miktar'!$B:$B,'Emanet Miktar Dağılım'!$D23,'Gider Miktar'!$F:$F,1004)</f>
        <v>5490.1708793774451</v>
      </c>
      <c r="AO23" s="9">
        <f>+SUMIFS('Gider Miktar'!AX:AX,'Gider Miktar'!$B:$B,'Emanet Miktar Dağılım'!$D23,'Gider Miktar'!$F:$F,1001)+SUMIFS('Gider Miktar'!AX:AX,'Gider Miktar'!$B:$B,'Emanet Miktar Dağılım'!$D23,'Gider Miktar'!$F:$F,1002)+SUMIFS('Gider Miktar'!AX:AX,'Gider Miktar'!$B:$B,'Emanet Miktar Dağılım'!$D23,'Gider Miktar'!$F:$F,1003)+SUMIFS('Gider Miktar'!AX:AX,'Gider Miktar'!$B:$B,'Emanet Miktar Dağılım'!$D23,'Gider Miktar'!$F:$F,1004)</f>
        <v>5490.1708793774451</v>
      </c>
      <c r="AP23" s="9">
        <f>+SUMIFS('Gider Miktar'!AY:AY,'Gider Miktar'!$B:$B,'Emanet Miktar Dağılım'!$D23,'Gider Miktar'!$F:$F,1001)+SUMIFS('Gider Miktar'!AY:AY,'Gider Miktar'!$B:$B,'Emanet Miktar Dağılım'!$D23,'Gider Miktar'!$F:$F,1002)+SUMIFS('Gider Miktar'!AY:AY,'Gider Miktar'!$B:$B,'Emanet Miktar Dağılım'!$D23,'Gider Miktar'!$F:$F,1003)+SUMIFS('Gider Miktar'!AY:AY,'Gider Miktar'!$B:$B,'Emanet Miktar Dağılım'!$D23,'Gider Miktar'!$F:$F,1004)</f>
        <v>5490.1708793774451</v>
      </c>
      <c r="AQ23" s="9">
        <f>+SUMIFS('Gider Miktar'!AZ:AZ,'Gider Miktar'!$B:$B,'Emanet Miktar Dağılım'!$D23,'Gider Miktar'!$F:$F,1001)+SUMIFS('Gider Miktar'!AZ:AZ,'Gider Miktar'!$B:$B,'Emanet Miktar Dağılım'!$D23,'Gider Miktar'!$F:$F,1002)+SUMIFS('Gider Miktar'!AZ:AZ,'Gider Miktar'!$B:$B,'Emanet Miktar Dağılım'!$D23,'Gider Miktar'!$F:$F,1003)+SUMIFS('Gider Miktar'!AZ:AZ,'Gider Miktar'!$B:$B,'Emanet Miktar Dağılım'!$D23,'Gider Miktar'!$F:$F,1004)</f>
        <v>2168.7691595330739</v>
      </c>
      <c r="AR23" s="9">
        <f>+SUMIFS('Gider Miktar'!BA:BA,'Gider Miktar'!$B:$B,'Emanet Miktar Dağılım'!$D23,'Gider Miktar'!$F:$F,1001)+SUMIFS('Gider Miktar'!BA:BA,'Gider Miktar'!$B:$B,'Emanet Miktar Dağılım'!$D23,'Gider Miktar'!$F:$F,1002)+SUMIFS('Gider Miktar'!BA:BA,'Gider Miktar'!$B:$B,'Emanet Miktar Dağılım'!$D23,'Gider Miktar'!$F:$F,1003)+SUMIFS('Gider Miktar'!BA:BA,'Gider Miktar'!$B:$B,'Emanet Miktar Dağılım'!$D23,'Gider Miktar'!$F:$F,1004)</f>
        <v>0</v>
      </c>
      <c r="AS23" s="9">
        <f>+SUMIFS('Gider Miktar'!BB:BB,'Gider Miktar'!$B:$B,'Emanet Miktar Dağılım'!$D23,'Gider Miktar'!$F:$F,1001)+SUMIFS('Gider Miktar'!BB:BB,'Gider Miktar'!$B:$B,'Emanet Miktar Dağılım'!$D23,'Gider Miktar'!$F:$F,1002)+SUMIFS('Gider Miktar'!BB:BB,'Gider Miktar'!$B:$B,'Emanet Miktar Dağılım'!$D23,'Gider Miktar'!$F:$F,1003)+SUMIFS('Gider Miktar'!BB:BB,'Gider Miktar'!$B:$B,'Emanet Miktar Dağılım'!$D23,'Gider Miktar'!$F:$F,1004)</f>
        <v>0</v>
      </c>
      <c r="AT23" s="9">
        <f>+SUMIFS('Gider Miktar'!BC:BC,'Gider Miktar'!$B:$B,'Emanet Miktar Dağılım'!$D23,'Gider Miktar'!$F:$F,1001)+SUMIFS('Gider Miktar'!BC:BC,'Gider Miktar'!$B:$B,'Emanet Miktar Dağılım'!$D23,'Gider Miktar'!$F:$F,1002)+SUMIFS('Gider Miktar'!BC:BC,'Gider Miktar'!$B:$B,'Emanet Miktar Dağılım'!$D23,'Gider Miktar'!$F:$F,1003)+SUMIFS('Gider Miktar'!BC:BC,'Gider Miktar'!$B:$B,'Emanet Miktar Dağılım'!$D23,'Gider Miktar'!$F:$F,1004)</f>
        <v>0</v>
      </c>
      <c r="AU23" s="9">
        <f>+SUMIFS('Gider Miktar'!BD:BD,'Gider Miktar'!$B:$B,'Emanet Miktar Dağılım'!$D23,'Gider Miktar'!$F:$F,1001)+SUMIFS('Gider Miktar'!BD:BD,'Gider Miktar'!$B:$B,'Emanet Miktar Dağılım'!$D23,'Gider Miktar'!$F:$F,1002)+SUMIFS('Gider Miktar'!BD:BD,'Gider Miktar'!$B:$B,'Emanet Miktar Dağılım'!$D23,'Gider Miktar'!$F:$F,1003)+SUMIFS('Gider Miktar'!BD:BD,'Gider Miktar'!$B:$B,'Emanet Miktar Dağılım'!$D23,'Gider Miktar'!$F:$F,1004)</f>
        <v>0</v>
      </c>
      <c r="AV23" s="9">
        <f>+SUMIFS('Gider Miktar'!BE:BE,'Gider Miktar'!$B:$B,'Emanet Miktar Dağılım'!$D23,'Gider Miktar'!$F:$F,1001)+SUMIFS('Gider Miktar'!BE:BE,'Gider Miktar'!$B:$B,'Emanet Miktar Dağılım'!$D23,'Gider Miktar'!$F:$F,1002)+SUMIFS('Gider Miktar'!BE:BE,'Gider Miktar'!$B:$B,'Emanet Miktar Dağılım'!$D23,'Gider Miktar'!$F:$F,1003)+SUMIFS('Gider Miktar'!BE:BE,'Gider Miktar'!$B:$B,'Emanet Miktar Dağılım'!$D23,'Gider Miktar'!$F:$F,1004)</f>
        <v>0</v>
      </c>
      <c r="AW23" s="9">
        <f>+SUMIFS('Gider Miktar'!BF:BF,'Gider Miktar'!$B:$B,'Emanet Miktar Dağılım'!$D23,'Gider Miktar'!$F:$F,1001)+SUMIFS('Gider Miktar'!BF:BF,'Gider Miktar'!$B:$B,'Emanet Miktar Dağılım'!$D23,'Gider Miktar'!$F:$F,1002)+SUMIFS('Gider Miktar'!BF:BF,'Gider Miktar'!$B:$B,'Emanet Miktar Dağılım'!$D23,'Gider Miktar'!$F:$F,1003)+SUMIFS('Gider Miktar'!BF:BF,'Gider Miktar'!$B:$B,'Emanet Miktar Dağılım'!$D23,'Gider Miktar'!$F:$F,1004)</f>
        <v>0</v>
      </c>
      <c r="AX23" s="9">
        <f>+SUMIFS('Gider Miktar'!BG:BG,'Gider Miktar'!$B:$B,'Emanet Miktar Dağılım'!$D23,'Gider Miktar'!$F:$F,1001)+SUMIFS('Gider Miktar'!BG:BG,'Gider Miktar'!$B:$B,'Emanet Miktar Dağılım'!$D23,'Gider Miktar'!$F:$F,1002)+SUMIFS('Gider Miktar'!BG:BG,'Gider Miktar'!$B:$B,'Emanet Miktar Dağılım'!$D23,'Gider Miktar'!$F:$F,1003)+SUMIFS('Gider Miktar'!BG:BG,'Gider Miktar'!$B:$B,'Emanet Miktar Dağılım'!$D23,'Gider Miktar'!$F:$F,1004)</f>
        <v>0</v>
      </c>
      <c r="AY23" s="9">
        <f>+SUMIFS('Gider Miktar'!BH:BH,'Gider Miktar'!$B:$B,'Emanet Miktar Dağılım'!$D23,'Gider Miktar'!$F:$F,1001)+SUMIFS('Gider Miktar'!BH:BH,'Gider Miktar'!$B:$B,'Emanet Miktar Dağılım'!$D23,'Gider Miktar'!$F:$F,1002)+SUMIFS('Gider Miktar'!BH:BH,'Gider Miktar'!$B:$B,'Emanet Miktar Dağılım'!$D23,'Gider Miktar'!$F:$F,1003)+SUMIFS('Gider Miktar'!BH:BH,'Gider Miktar'!$B:$B,'Emanet Miktar Dağılım'!$D23,'Gider Miktar'!$F:$F,1004)</f>
        <v>0</v>
      </c>
      <c r="AZ23" s="9">
        <f>+SUMIFS('Gider Miktar'!BI:BI,'Gider Miktar'!$B:$B,'Emanet Miktar Dağılım'!$D23,'Gider Miktar'!$F:$F,1001)+SUMIFS('Gider Miktar'!BI:BI,'Gider Miktar'!$B:$B,'Emanet Miktar Dağılım'!$D23,'Gider Miktar'!$F:$F,1002)+SUMIFS('Gider Miktar'!BI:BI,'Gider Miktar'!$B:$B,'Emanet Miktar Dağılım'!$D23,'Gider Miktar'!$F:$F,1003)+SUMIFS('Gider Miktar'!BI:BI,'Gider Miktar'!$B:$B,'Emanet Miktar Dağılım'!$D23,'Gider Miktar'!$F:$F,1004)</f>
        <v>0</v>
      </c>
      <c r="BA23" s="9">
        <f>+SUMIFS('Gider Miktar'!BJ:BJ,'Gider Miktar'!$B:$B,'Emanet Miktar Dağılım'!$D23,'Gider Miktar'!$F:$F,1001)+SUMIFS('Gider Miktar'!BJ:BJ,'Gider Miktar'!$B:$B,'Emanet Miktar Dağılım'!$D23,'Gider Miktar'!$F:$F,1002)+SUMIFS('Gider Miktar'!BJ:BJ,'Gider Miktar'!$B:$B,'Emanet Miktar Dağılım'!$D23,'Gider Miktar'!$F:$F,1003)+SUMIFS('Gider Miktar'!BJ:BJ,'Gider Miktar'!$B:$B,'Emanet Miktar Dağılım'!$D23,'Gider Miktar'!$F:$F,1004)</f>
        <v>0</v>
      </c>
      <c r="BB23" s="9">
        <f>+SUMIFS('Gider Miktar'!BK:BK,'Gider Miktar'!$B:$B,'Emanet Miktar Dağılım'!$D23,'Gider Miktar'!$F:$F,1001)+SUMIFS('Gider Miktar'!BK:BK,'Gider Miktar'!$B:$B,'Emanet Miktar Dağılım'!$D23,'Gider Miktar'!$F:$F,1002)+SUMIFS('Gider Miktar'!BK:BK,'Gider Miktar'!$B:$B,'Emanet Miktar Dağılım'!$D23,'Gider Miktar'!$F:$F,1003)+SUMIFS('Gider Miktar'!BK:BK,'Gider Miktar'!$B:$B,'Emanet Miktar Dağılım'!$D23,'Gider Miktar'!$F:$F,1004)</f>
        <v>0</v>
      </c>
      <c r="BC23" s="9">
        <f>+SUMIFS('Gider Miktar'!BL:BL,'Gider Miktar'!$B:$B,'Emanet Miktar Dağılım'!$D23,'Gider Miktar'!$F:$F,1001)+SUMIFS('Gider Miktar'!BL:BL,'Gider Miktar'!$B:$B,'Emanet Miktar Dağılım'!$D23,'Gider Miktar'!$F:$F,1002)+SUMIFS('Gider Miktar'!BL:BL,'Gider Miktar'!$B:$B,'Emanet Miktar Dağılım'!$D23,'Gider Miktar'!$F:$F,1003)+SUMIFS('Gider Miktar'!BL:BL,'Gider Miktar'!$B:$B,'Emanet Miktar Dağılım'!$D23,'Gider Miktar'!$F:$F,1004)</f>
        <v>0</v>
      </c>
      <c r="BD23" s="9">
        <f>+SUMIFS('Gider Miktar'!BM:BM,'Gider Miktar'!$B:$B,'Emanet Miktar Dağılım'!$D23,'Gider Miktar'!$F:$F,1001)+SUMIFS('Gider Miktar'!BM:BM,'Gider Miktar'!$B:$B,'Emanet Miktar Dağılım'!$D23,'Gider Miktar'!$F:$F,1002)+SUMIFS('Gider Miktar'!BM:BM,'Gider Miktar'!$B:$B,'Emanet Miktar Dağılım'!$D23,'Gider Miktar'!$F:$F,1003)+SUMIFS('Gider Miktar'!BM:BM,'Gider Miktar'!$B:$B,'Emanet Miktar Dağılım'!$D23,'Gider Miktar'!$F:$F,1004)</f>
        <v>0</v>
      </c>
      <c r="BE23" s="9">
        <f>+SUMIFS('Gider Miktar'!BN:BN,'Gider Miktar'!$B:$B,'Emanet Miktar Dağılım'!$D23,'Gider Miktar'!$F:$F,1001)+SUMIFS('Gider Miktar'!BN:BN,'Gider Miktar'!$B:$B,'Emanet Miktar Dağılım'!$D23,'Gider Miktar'!$F:$F,1002)+SUMIFS('Gider Miktar'!BN:BN,'Gider Miktar'!$B:$B,'Emanet Miktar Dağılım'!$D23,'Gider Miktar'!$F:$F,1003)+SUMIFS('Gider Miktar'!BN:BN,'Gider Miktar'!$B:$B,'Emanet Miktar Dağılım'!$D23,'Gider Miktar'!$F:$F,1004)</f>
        <v>0</v>
      </c>
      <c r="BF23" s="9">
        <f>+SUMIFS('Gider Miktar'!BO:BO,'Gider Miktar'!$B:$B,'Emanet Miktar Dağılım'!$D23,'Gider Miktar'!$F:$F,1001)+SUMIFS('Gider Miktar'!BO:BO,'Gider Miktar'!$B:$B,'Emanet Miktar Dağılım'!$D23,'Gider Miktar'!$F:$F,1002)+SUMIFS('Gider Miktar'!BO:BO,'Gider Miktar'!$B:$B,'Emanet Miktar Dağılım'!$D23,'Gider Miktar'!$F:$F,1003)+SUMIFS('Gider Miktar'!BO:BO,'Gider Miktar'!$B:$B,'Emanet Miktar Dağılım'!$D23,'Gider Miktar'!$F:$F,1004)</f>
        <v>0</v>
      </c>
      <c r="BG23" s="9">
        <f>+SUMIFS('Gider Miktar'!BP:BP,'Gider Miktar'!$B:$B,'Emanet Miktar Dağılım'!$D23,'Gider Miktar'!$F:$F,1001)+SUMIFS('Gider Miktar'!BP:BP,'Gider Miktar'!$B:$B,'Emanet Miktar Dağılım'!$D23,'Gider Miktar'!$F:$F,1002)+SUMIFS('Gider Miktar'!BP:BP,'Gider Miktar'!$B:$B,'Emanet Miktar Dağılım'!$D23,'Gider Miktar'!$F:$F,1003)+SUMIFS('Gider Miktar'!BP:BP,'Gider Miktar'!$B:$B,'Emanet Miktar Dağılım'!$D23,'Gider Miktar'!$F:$F,1004)</f>
        <v>0</v>
      </c>
      <c r="BH23" s="9">
        <f>+SUMIFS('Gider Miktar'!BQ:BQ,'Gider Miktar'!$B:$B,'Emanet Miktar Dağılım'!$D23,'Gider Miktar'!$F:$F,1001)+SUMIFS('Gider Miktar'!BQ:BQ,'Gider Miktar'!$B:$B,'Emanet Miktar Dağılım'!$D23,'Gider Miktar'!$F:$F,1002)+SUMIFS('Gider Miktar'!BQ:BQ,'Gider Miktar'!$B:$B,'Emanet Miktar Dağılım'!$D23,'Gider Miktar'!$F:$F,1003)+SUMIFS('Gider Miktar'!BQ:BQ,'Gider Miktar'!$B:$B,'Emanet Miktar Dağılım'!$D23,'Gider Miktar'!$F:$F,1004)</f>
        <v>0</v>
      </c>
      <c r="BI23" s="9">
        <f>+SUMIFS('Gider Miktar'!BR:BR,'Gider Miktar'!$B:$B,'Emanet Miktar Dağılım'!$D23,'Gider Miktar'!$F:$F,1001)+SUMIFS('Gider Miktar'!BR:BR,'Gider Miktar'!$B:$B,'Emanet Miktar Dağılım'!$D23,'Gider Miktar'!$F:$F,1002)+SUMIFS('Gider Miktar'!BR:BR,'Gider Miktar'!$B:$B,'Emanet Miktar Dağılım'!$D23,'Gider Miktar'!$F:$F,1003)+SUMIFS('Gider Miktar'!BR:BR,'Gider Miktar'!$B:$B,'Emanet Miktar Dağılım'!$D23,'Gider Miktar'!$F:$F,1004)</f>
        <v>0</v>
      </c>
      <c r="BJ23" s="9">
        <f>+SUMIFS('Gider Miktar'!BS:BS,'Gider Miktar'!$B:$B,'Emanet Miktar Dağılım'!$D23,'Gider Miktar'!$F:$F,1001)+SUMIFS('Gider Miktar'!BS:BS,'Gider Miktar'!$B:$B,'Emanet Miktar Dağılım'!$D23,'Gider Miktar'!$F:$F,1002)+SUMIFS('Gider Miktar'!BS:BS,'Gider Miktar'!$B:$B,'Emanet Miktar Dağılım'!$D23,'Gider Miktar'!$F:$F,1003)+SUMIFS('Gider Miktar'!BS:BS,'Gider Miktar'!$B:$B,'Emanet Miktar Dağılım'!$D23,'Gider Miktar'!$F:$F,1004)</f>
        <v>0</v>
      </c>
      <c r="BK23" s="9">
        <f>+SUMIFS('Gider Miktar'!BT:BT,'Gider Miktar'!$B:$B,'Emanet Miktar Dağılım'!$D23,'Gider Miktar'!$F:$F,1001)+SUMIFS('Gider Miktar'!BT:BT,'Gider Miktar'!$B:$B,'Emanet Miktar Dağılım'!$D23,'Gider Miktar'!$F:$F,1002)+SUMIFS('Gider Miktar'!BT:BT,'Gider Miktar'!$B:$B,'Emanet Miktar Dağılım'!$D23,'Gider Miktar'!$F:$F,1003)+SUMIFS('Gider Miktar'!BT:BT,'Gider Miktar'!$B:$B,'Emanet Miktar Dağılım'!$D23,'Gider Miktar'!$F:$F,1004)</f>
        <v>0</v>
      </c>
      <c r="BL23" s="9">
        <f>+SUMIFS('Gider Miktar'!BU:BU,'Gider Miktar'!$B:$B,'Emanet Miktar Dağılım'!$D23,'Gider Miktar'!$F:$F,1001)+SUMIFS('Gider Miktar'!BU:BU,'Gider Miktar'!$B:$B,'Emanet Miktar Dağılım'!$D23,'Gider Miktar'!$F:$F,1002)+SUMIFS('Gider Miktar'!BU:BU,'Gider Miktar'!$B:$B,'Emanet Miktar Dağılım'!$D23,'Gider Miktar'!$F:$F,1003)+SUMIFS('Gider Miktar'!BU:BU,'Gider Miktar'!$B:$B,'Emanet Miktar Dağılım'!$D23,'Gider Miktar'!$F:$F,1004)</f>
        <v>0</v>
      </c>
      <c r="BM23" s="9">
        <f>+SUMIFS('Gider Miktar'!BV:BV,'Gider Miktar'!$B:$B,'Emanet Miktar Dağılım'!$D23,'Gider Miktar'!$F:$F,1001)+SUMIFS('Gider Miktar'!BV:BV,'Gider Miktar'!$B:$B,'Emanet Miktar Dağılım'!$D23,'Gider Miktar'!$F:$F,1002)+SUMIFS('Gider Miktar'!BV:BV,'Gider Miktar'!$B:$B,'Emanet Miktar Dağılım'!$D23,'Gider Miktar'!$F:$F,1003)+SUMIFS('Gider Miktar'!BV:BV,'Gider Miktar'!$B:$B,'Emanet Miktar Dağılım'!$D23,'Gider Miktar'!$F:$F,1004)</f>
        <v>0</v>
      </c>
      <c r="BN23" s="9">
        <f>+SUMIFS('Gider Miktar'!BW:BW,'Gider Miktar'!$B:$B,'Emanet Miktar Dağılım'!$D23,'Gider Miktar'!$F:$F,1001)+SUMIFS('Gider Miktar'!BW:BW,'Gider Miktar'!$B:$B,'Emanet Miktar Dağılım'!$D23,'Gider Miktar'!$F:$F,1002)+SUMIFS('Gider Miktar'!BW:BW,'Gider Miktar'!$B:$B,'Emanet Miktar Dağılım'!$D23,'Gider Miktar'!$F:$F,1003)+SUMIFS('Gider Miktar'!BW:BW,'Gider Miktar'!$B:$B,'Emanet Miktar Dağılım'!$D23,'Gider Miktar'!$F:$F,1004)</f>
        <v>0</v>
      </c>
      <c r="BO23" s="9">
        <f>+SUMIFS('Gider Miktar'!BX:BX,'Gider Miktar'!$B:$B,'Emanet Miktar Dağılım'!$D23,'Gider Miktar'!$F:$F,1001)+SUMIFS('Gider Miktar'!BX:BX,'Gider Miktar'!$B:$B,'Emanet Miktar Dağılım'!$D23,'Gider Miktar'!$F:$F,1002)+SUMIFS('Gider Miktar'!BX:BX,'Gider Miktar'!$B:$B,'Emanet Miktar Dağılım'!$D23,'Gider Miktar'!$F:$F,1003)+SUMIFS('Gider Miktar'!BX:BX,'Gider Miktar'!$B:$B,'Emanet Miktar Dağılım'!$D23,'Gider Miktar'!$F:$F,1004)</f>
        <v>0</v>
      </c>
    </row>
    <row r="24" spans="2:67">
      <c r="D24" t="s">
        <v>26</v>
      </c>
      <c r="E24" s="9">
        <f>+SUMIFS('Gider Miktar'!N:N,'Gider Miktar'!$B:$B,'Emanet Miktar Dağılım'!$D24,'Gider Miktar'!$F:$F,1001)+SUMIFS('Gider Miktar'!N:N,'Gider Miktar'!$B:$B,'Emanet Miktar Dağılım'!$D24,'Gider Miktar'!$F:$F,1002)+SUMIFS('Gider Miktar'!N:N,'Gider Miktar'!$B:$B,'Emanet Miktar Dağılım'!$D24,'Gider Miktar'!$F:$F,1003)+SUMIFS('Gider Miktar'!N:N,'Gider Miktar'!$B:$B,'Emanet Miktar Dağılım'!$D24,'Gider Miktar'!$F:$F,1004)</f>
        <v>0</v>
      </c>
      <c r="F24" s="9">
        <f>+SUMIFS('Gider Miktar'!O:O,'Gider Miktar'!$B:$B,'Emanet Miktar Dağılım'!$D24,'Gider Miktar'!$F:$F,1001)+SUMIFS('Gider Miktar'!O:O,'Gider Miktar'!$B:$B,'Emanet Miktar Dağılım'!$D24,'Gider Miktar'!$F:$F,1002)+SUMIFS('Gider Miktar'!O:O,'Gider Miktar'!$B:$B,'Emanet Miktar Dağılım'!$D24,'Gider Miktar'!$F:$F,1003)+SUMIFS('Gider Miktar'!O:O,'Gider Miktar'!$B:$B,'Emanet Miktar Dağılım'!$D24,'Gider Miktar'!$F:$F,1004)</f>
        <v>0</v>
      </c>
      <c r="G24" s="9">
        <f>+SUMIFS('Gider Miktar'!P:P,'Gider Miktar'!$B:$B,'Emanet Miktar Dağılım'!$D24,'Gider Miktar'!$F:$F,1001)+SUMIFS('Gider Miktar'!P:P,'Gider Miktar'!$B:$B,'Emanet Miktar Dağılım'!$D24,'Gider Miktar'!$F:$F,1002)+SUMIFS('Gider Miktar'!P:P,'Gider Miktar'!$B:$B,'Emanet Miktar Dağılım'!$D24,'Gider Miktar'!$F:$F,1003)+SUMIFS('Gider Miktar'!P:P,'Gider Miktar'!$B:$B,'Emanet Miktar Dağılım'!$D24,'Gider Miktar'!$F:$F,1004)</f>
        <v>0</v>
      </c>
      <c r="H24" s="9">
        <f>+SUMIFS('Gider Miktar'!Q:Q,'Gider Miktar'!$B:$B,'Emanet Miktar Dağılım'!$D24,'Gider Miktar'!$F:$F,1001)+SUMIFS('Gider Miktar'!Q:Q,'Gider Miktar'!$B:$B,'Emanet Miktar Dağılım'!$D24,'Gider Miktar'!$F:$F,1002)+SUMIFS('Gider Miktar'!Q:Q,'Gider Miktar'!$B:$B,'Emanet Miktar Dağılım'!$D24,'Gider Miktar'!$F:$F,1003)+SUMIFS('Gider Miktar'!Q:Q,'Gider Miktar'!$B:$B,'Emanet Miktar Dağılım'!$D24,'Gider Miktar'!$F:$F,1004)</f>
        <v>0</v>
      </c>
      <c r="I24" s="9">
        <f>+SUMIFS('Gider Miktar'!R:R,'Gider Miktar'!$B:$B,'Emanet Miktar Dağılım'!$D24,'Gider Miktar'!$F:$F,1001)+SUMIFS('Gider Miktar'!R:R,'Gider Miktar'!$B:$B,'Emanet Miktar Dağılım'!$D24,'Gider Miktar'!$F:$F,1002)+SUMIFS('Gider Miktar'!R:R,'Gider Miktar'!$B:$B,'Emanet Miktar Dağılım'!$D24,'Gider Miktar'!$F:$F,1003)+SUMIFS('Gider Miktar'!R:R,'Gider Miktar'!$B:$B,'Emanet Miktar Dağılım'!$D24,'Gider Miktar'!$F:$F,1004)</f>
        <v>0</v>
      </c>
      <c r="J24" s="9">
        <f>+SUMIFS('Gider Miktar'!S:S,'Gider Miktar'!$B:$B,'Emanet Miktar Dağılım'!$D24,'Gider Miktar'!$F:$F,1001)+SUMIFS('Gider Miktar'!S:S,'Gider Miktar'!$B:$B,'Emanet Miktar Dağılım'!$D24,'Gider Miktar'!$F:$F,1002)+SUMIFS('Gider Miktar'!S:S,'Gider Miktar'!$B:$B,'Emanet Miktar Dağılım'!$D24,'Gider Miktar'!$F:$F,1003)+SUMIFS('Gider Miktar'!S:S,'Gider Miktar'!$B:$B,'Emanet Miktar Dağılım'!$D24,'Gider Miktar'!$F:$F,1004)</f>
        <v>0</v>
      </c>
      <c r="K24" s="9">
        <f>+SUMIFS('Gider Miktar'!T:T,'Gider Miktar'!$B:$B,'Emanet Miktar Dağılım'!$D24,'Gider Miktar'!$F:$F,1001)+SUMIFS('Gider Miktar'!T:T,'Gider Miktar'!$B:$B,'Emanet Miktar Dağılım'!$D24,'Gider Miktar'!$F:$F,1002)+SUMIFS('Gider Miktar'!T:T,'Gider Miktar'!$B:$B,'Emanet Miktar Dağılım'!$D24,'Gider Miktar'!$F:$F,1003)+SUMIFS('Gider Miktar'!T:T,'Gider Miktar'!$B:$B,'Emanet Miktar Dağılım'!$D24,'Gider Miktar'!$F:$F,1004)</f>
        <v>0</v>
      </c>
      <c r="L24" s="9">
        <f>+SUMIFS('Gider Miktar'!U:U,'Gider Miktar'!$B:$B,'Emanet Miktar Dağılım'!$D24,'Gider Miktar'!$F:$F,1001)+SUMIFS('Gider Miktar'!U:U,'Gider Miktar'!$B:$B,'Emanet Miktar Dağılım'!$D24,'Gider Miktar'!$F:$F,1002)+SUMIFS('Gider Miktar'!U:U,'Gider Miktar'!$B:$B,'Emanet Miktar Dağılım'!$D24,'Gider Miktar'!$F:$F,1003)+SUMIFS('Gider Miktar'!U:U,'Gider Miktar'!$B:$B,'Emanet Miktar Dağılım'!$D24,'Gider Miktar'!$F:$F,1004)</f>
        <v>0</v>
      </c>
      <c r="M24" s="9">
        <f>+SUMIFS('Gider Miktar'!V:V,'Gider Miktar'!$B:$B,'Emanet Miktar Dağılım'!$D24,'Gider Miktar'!$F:$F,1001)+SUMIFS('Gider Miktar'!V:V,'Gider Miktar'!$B:$B,'Emanet Miktar Dağılım'!$D24,'Gider Miktar'!$F:$F,1002)+SUMIFS('Gider Miktar'!V:V,'Gider Miktar'!$B:$B,'Emanet Miktar Dağılım'!$D24,'Gider Miktar'!$F:$F,1003)+SUMIFS('Gider Miktar'!V:V,'Gider Miktar'!$B:$B,'Emanet Miktar Dağılım'!$D24,'Gider Miktar'!$F:$F,1004)</f>
        <v>0</v>
      </c>
      <c r="N24" s="11">
        <f>+SUMIFS('Gider Miktar'!W:W,'Gider Miktar'!$B:$B,'Emanet Miktar Dağılım'!$D24,'Gider Miktar'!$F:$F,1001)+SUMIFS('Gider Miktar'!W:W,'Gider Miktar'!$B:$B,'Emanet Miktar Dağılım'!$D24,'Gider Miktar'!$F:$F,1002)+SUMIFS('Gider Miktar'!W:W,'Gider Miktar'!$B:$B,'Emanet Miktar Dağılım'!$D24,'Gider Miktar'!$F:$F,1003)+SUMIFS('Gider Miktar'!W:W,'Gider Miktar'!$B:$B,'Emanet Miktar Dağılım'!$D24,'Gider Miktar'!$F:$F,1004)</f>
        <v>0</v>
      </c>
      <c r="O24" s="9">
        <f>+SUMIFS('Gider Miktar'!X:X,'Gider Miktar'!$B:$B,'Emanet Miktar Dağılım'!$D24,'Gider Miktar'!$F:$F,1001)+SUMIFS('Gider Miktar'!X:X,'Gider Miktar'!$B:$B,'Emanet Miktar Dağılım'!$D24,'Gider Miktar'!$F:$F,1002)+SUMIFS('Gider Miktar'!X:X,'Gider Miktar'!$B:$B,'Emanet Miktar Dağılım'!$D24,'Gider Miktar'!$F:$F,1003)+SUMIFS('Gider Miktar'!X:X,'Gider Miktar'!$B:$B,'Emanet Miktar Dağılım'!$D24,'Gider Miktar'!$F:$F,1004)</f>
        <v>694.52920331284622</v>
      </c>
      <c r="P24" s="9">
        <f>+SUMIFS('Gider Miktar'!Y:Y,'Gider Miktar'!$B:$B,'Emanet Miktar Dağılım'!$D24,'Gider Miktar'!$F:$F,1001)+SUMIFS('Gider Miktar'!Y:Y,'Gider Miktar'!$B:$B,'Emanet Miktar Dağılım'!$D24,'Gider Miktar'!$F:$F,1002)+SUMIFS('Gider Miktar'!Y:Y,'Gider Miktar'!$B:$B,'Emanet Miktar Dağılım'!$D24,'Gider Miktar'!$F:$F,1003)+SUMIFS('Gider Miktar'!Y:Y,'Gider Miktar'!$B:$B,'Emanet Miktar Dağılım'!$D24,'Gider Miktar'!$F:$F,1004)</f>
        <v>835.58107747170709</v>
      </c>
      <c r="Q24" s="9">
        <f>+SUMIFS('Gider Miktar'!Z:Z,'Gider Miktar'!$B:$B,'Emanet Miktar Dağılım'!$D24,'Gider Miktar'!$F:$F,1001)+SUMIFS('Gider Miktar'!Z:Z,'Gider Miktar'!$B:$B,'Emanet Miktar Dağılım'!$D24,'Gider Miktar'!$F:$F,1002)+SUMIFS('Gider Miktar'!Z:Z,'Gider Miktar'!$B:$B,'Emanet Miktar Dağılım'!$D24,'Gider Miktar'!$F:$F,1003)+SUMIFS('Gider Miktar'!Z:Z,'Gider Miktar'!$B:$B,'Emanet Miktar Dağılım'!$D24,'Gider Miktar'!$F:$F,1004)</f>
        <v>637.23604036162692</v>
      </c>
      <c r="R24" s="9">
        <f>+SUMIFS('Gider Miktar'!AA:AA,'Gider Miktar'!$B:$B,'Emanet Miktar Dağılım'!$D24,'Gider Miktar'!$F:$F,1001)+SUMIFS('Gider Miktar'!AA:AA,'Gider Miktar'!$B:$B,'Emanet Miktar Dağılım'!$D24,'Gider Miktar'!$F:$F,1002)+SUMIFS('Gider Miktar'!AA:AA,'Gider Miktar'!$B:$B,'Emanet Miktar Dağılım'!$D24,'Gider Miktar'!$F:$F,1003)+SUMIFS('Gider Miktar'!AA:AA,'Gider Miktar'!$B:$B,'Emanet Miktar Dağılım'!$D24,'Gider Miktar'!$F:$F,1004)</f>
        <v>529.42147082520307</v>
      </c>
      <c r="S24" s="9">
        <f>+SUMIFS('Gider Miktar'!AB:AB,'Gider Miktar'!$B:$B,'Emanet Miktar Dağılım'!$D24,'Gider Miktar'!$F:$F,1001)+SUMIFS('Gider Miktar'!AB:AB,'Gider Miktar'!$B:$B,'Emanet Miktar Dağılım'!$D24,'Gider Miktar'!$F:$F,1002)+SUMIFS('Gider Miktar'!AB:AB,'Gider Miktar'!$B:$B,'Emanet Miktar Dağılım'!$D24,'Gider Miktar'!$F:$F,1003)+SUMIFS('Gider Miktar'!AB:AB,'Gider Miktar'!$B:$B,'Emanet Miktar Dağılım'!$D24,'Gider Miktar'!$F:$F,1004)</f>
        <v>558.63676257570853</v>
      </c>
      <c r="T24" s="9">
        <f>+SUMIFS('Gider Miktar'!AC:AC,'Gider Miktar'!$B:$B,'Emanet Miktar Dağılım'!$D24,'Gider Miktar'!$F:$F,1001)+SUMIFS('Gider Miktar'!AC:AC,'Gider Miktar'!$B:$B,'Emanet Miktar Dağılım'!$D24,'Gider Miktar'!$F:$F,1002)+SUMIFS('Gider Miktar'!AC:AC,'Gider Miktar'!$B:$B,'Emanet Miktar Dağılım'!$D24,'Gider Miktar'!$F:$F,1003)+SUMIFS('Gider Miktar'!AC:AC,'Gider Miktar'!$B:$B,'Emanet Miktar Dağılım'!$D24,'Gider Miktar'!$F:$F,1004)</f>
        <v>566.07322850504102</v>
      </c>
      <c r="U24" s="9">
        <f>+SUMIFS('Gider Miktar'!AD:AD,'Gider Miktar'!$B:$B,'Emanet Miktar Dağılım'!$D24,'Gider Miktar'!$F:$F,1001)+SUMIFS('Gider Miktar'!AD:AD,'Gider Miktar'!$B:$B,'Emanet Miktar Dağılım'!$D24,'Gider Miktar'!$F:$F,1002)+SUMIFS('Gider Miktar'!AD:AD,'Gider Miktar'!$B:$B,'Emanet Miktar Dağılım'!$D24,'Gider Miktar'!$F:$F,1003)+SUMIFS('Gider Miktar'!AD:AD,'Gider Miktar'!$B:$B,'Emanet Miktar Dağılım'!$D24,'Gider Miktar'!$F:$F,1004)</f>
        <v>520.92232307244569</v>
      </c>
      <c r="V24" s="9">
        <f>+SUMIFS('Gider Miktar'!AE:AE,'Gider Miktar'!$B:$B,'Emanet Miktar Dağılım'!$D24,'Gider Miktar'!$F:$F,1001)+SUMIFS('Gider Miktar'!AE:AE,'Gider Miktar'!$B:$B,'Emanet Miktar Dağılım'!$D24,'Gider Miktar'!$F:$F,1002)+SUMIFS('Gider Miktar'!AE:AE,'Gider Miktar'!$B:$B,'Emanet Miktar Dağılım'!$D24,'Gider Miktar'!$F:$F,1003)+SUMIFS('Gider Miktar'!AE:AE,'Gider Miktar'!$B:$B,'Emanet Miktar Dağılım'!$D24,'Gider Miktar'!$F:$F,1004)</f>
        <v>564.23442498327358</v>
      </c>
      <c r="W24" s="9">
        <f>+SUMIFS('Gider Miktar'!AF:AF,'Gider Miktar'!$B:$B,'Emanet Miktar Dağılım'!$D24,'Gider Miktar'!$F:$F,1001)+SUMIFS('Gider Miktar'!AF:AF,'Gider Miktar'!$B:$B,'Emanet Miktar Dağılım'!$D24,'Gider Miktar'!$F:$F,1002)+SUMIFS('Gider Miktar'!AF:AF,'Gider Miktar'!$B:$B,'Emanet Miktar Dağılım'!$D24,'Gider Miktar'!$F:$F,1003)+SUMIFS('Gider Miktar'!AF:AF,'Gider Miktar'!$B:$B,'Emanet Miktar Dağılım'!$D24,'Gider Miktar'!$F:$F,1004)</f>
        <v>388.76092171199014</v>
      </c>
      <c r="X24" s="9">
        <f>+SUMIFS('Gider Miktar'!AG:AG,'Gider Miktar'!$B:$B,'Emanet Miktar Dağılım'!$D24,'Gider Miktar'!$F:$F,1001)+SUMIFS('Gider Miktar'!AG:AG,'Gider Miktar'!$B:$B,'Emanet Miktar Dağılım'!$D24,'Gider Miktar'!$F:$F,1002)+SUMIFS('Gider Miktar'!AG:AG,'Gider Miktar'!$B:$B,'Emanet Miktar Dağılım'!$D24,'Gider Miktar'!$F:$F,1003)+SUMIFS('Gider Miktar'!AG:AG,'Gider Miktar'!$B:$B,'Emanet Miktar Dağılım'!$D24,'Gider Miktar'!$F:$F,1004)</f>
        <v>245.15459568903688</v>
      </c>
      <c r="Y24" s="9">
        <f>+SUMIFS('Gider Miktar'!AH:AH,'Gider Miktar'!$B:$B,'Emanet Miktar Dağılım'!$D24,'Gider Miktar'!$F:$F,1001)+SUMIFS('Gider Miktar'!AH:AH,'Gider Miktar'!$B:$B,'Emanet Miktar Dağılım'!$D24,'Gider Miktar'!$F:$F,1002)+SUMIFS('Gider Miktar'!AH:AH,'Gider Miktar'!$B:$B,'Emanet Miktar Dağılım'!$D24,'Gider Miktar'!$F:$F,1003)+SUMIFS('Gider Miktar'!AH:AH,'Gider Miktar'!$B:$B,'Emanet Miktar Dağılım'!$D24,'Gider Miktar'!$F:$F,1004)</f>
        <v>256.4137174674147</v>
      </c>
      <c r="Z24" s="9">
        <f>+SUMIFS('Gider Miktar'!AI:AI,'Gider Miktar'!$B:$B,'Emanet Miktar Dağılım'!$D24,'Gider Miktar'!$F:$F,1001)+SUMIFS('Gider Miktar'!AI:AI,'Gider Miktar'!$B:$B,'Emanet Miktar Dağılım'!$D24,'Gider Miktar'!$F:$F,1002)+SUMIFS('Gider Miktar'!AI:AI,'Gider Miktar'!$B:$B,'Emanet Miktar Dağılım'!$D24,'Gider Miktar'!$F:$F,1003)+SUMIFS('Gider Miktar'!AI:AI,'Gider Miktar'!$B:$B,'Emanet Miktar Dağılım'!$D24,'Gider Miktar'!$F:$F,1004)</f>
        <v>288.46669759986503</v>
      </c>
      <c r="AA24" s="9">
        <f>+SUMIFS('Gider Miktar'!AJ:AJ,'Gider Miktar'!$B:$B,'Emanet Miktar Dağılım'!$D24,'Gider Miktar'!$F:$F,1001)+SUMIFS('Gider Miktar'!AJ:AJ,'Gider Miktar'!$B:$B,'Emanet Miktar Dağılım'!$D24,'Gider Miktar'!$F:$F,1002)+SUMIFS('Gider Miktar'!AJ:AJ,'Gider Miktar'!$B:$B,'Emanet Miktar Dağılım'!$D24,'Gider Miktar'!$F:$F,1003)+SUMIFS('Gider Miktar'!AJ:AJ,'Gider Miktar'!$B:$B,'Emanet Miktar Dağılım'!$D24,'Gider Miktar'!$F:$F,1004)</f>
        <v>284.13548740878218</v>
      </c>
      <c r="AB24" s="9">
        <f>+SUMIFS('Gider Miktar'!AK:AK,'Gider Miktar'!$B:$B,'Emanet Miktar Dağılım'!$D24,'Gider Miktar'!$F:$F,1001)+SUMIFS('Gider Miktar'!AK:AK,'Gider Miktar'!$B:$B,'Emanet Miktar Dağılım'!$D24,'Gider Miktar'!$F:$F,1002)+SUMIFS('Gider Miktar'!AK:AK,'Gider Miktar'!$B:$B,'Emanet Miktar Dağılım'!$D24,'Gider Miktar'!$F:$F,1003)+SUMIFS('Gider Miktar'!AK:AK,'Gider Miktar'!$B:$B,'Emanet Miktar Dağılım'!$D24,'Gider Miktar'!$F:$F,1004)</f>
        <v>284.13548740878218</v>
      </c>
      <c r="AC24" s="9">
        <f>+SUMIFS('Gider Miktar'!AL:AL,'Gider Miktar'!$B:$B,'Emanet Miktar Dağılım'!$D24,'Gider Miktar'!$F:$F,1001)+SUMIFS('Gider Miktar'!AL:AL,'Gider Miktar'!$B:$B,'Emanet Miktar Dağılım'!$D24,'Gider Miktar'!$F:$F,1002)+SUMIFS('Gider Miktar'!AL:AL,'Gider Miktar'!$B:$B,'Emanet Miktar Dağılım'!$D24,'Gider Miktar'!$F:$F,1003)+SUMIFS('Gider Miktar'!AL:AL,'Gider Miktar'!$B:$B,'Emanet Miktar Dağılım'!$D24,'Gider Miktar'!$F:$F,1004)</f>
        <v>156.36478677183945</v>
      </c>
      <c r="AD24" s="9">
        <f>+SUMIFS('Gider Miktar'!AM:AM,'Gider Miktar'!$B:$B,'Emanet Miktar Dağılım'!$D24,'Gider Miktar'!$F:$F,1001)+SUMIFS('Gider Miktar'!AM:AM,'Gider Miktar'!$B:$B,'Emanet Miktar Dağılım'!$D24,'Gider Miktar'!$F:$F,1002)+SUMIFS('Gider Miktar'!AM:AM,'Gider Miktar'!$B:$B,'Emanet Miktar Dağılım'!$D24,'Gider Miktar'!$F:$F,1003)+SUMIFS('Gider Miktar'!AM:AM,'Gider Miktar'!$B:$B,'Emanet Miktar Dağılım'!$D24,'Gider Miktar'!$F:$F,1004)</f>
        <v>128.21192052980123</v>
      </c>
      <c r="AE24" s="9">
        <f>+SUMIFS('Gider Miktar'!AN:AN,'Gider Miktar'!$B:$B,'Emanet Miktar Dağılım'!$D24,'Gider Miktar'!$F:$F,1001)+SUMIFS('Gider Miktar'!AN:AN,'Gider Miktar'!$B:$B,'Emanet Miktar Dağılım'!$D24,'Gider Miktar'!$F:$F,1002)+SUMIFS('Gider Miktar'!AN:AN,'Gider Miktar'!$B:$B,'Emanet Miktar Dağılım'!$D24,'Gider Miktar'!$F:$F,1003)+SUMIFS('Gider Miktar'!AN:AN,'Gider Miktar'!$B:$B,'Emanet Miktar Dağılım'!$D24,'Gider Miktar'!$F:$F,1004)</f>
        <v>128.21192052980123</v>
      </c>
      <c r="AF24" s="9">
        <f>+SUMIFS('Gider Miktar'!AO:AO,'Gider Miktar'!$B:$B,'Emanet Miktar Dağılım'!$D24,'Gider Miktar'!$F:$F,1001)+SUMIFS('Gider Miktar'!AO:AO,'Gider Miktar'!$B:$B,'Emanet Miktar Dağılım'!$D24,'Gider Miktar'!$F:$F,1002)+SUMIFS('Gider Miktar'!AO:AO,'Gider Miktar'!$B:$B,'Emanet Miktar Dağılım'!$D24,'Gider Miktar'!$F:$F,1003)+SUMIFS('Gider Miktar'!AO:AO,'Gider Miktar'!$B:$B,'Emanet Miktar Dağılım'!$D24,'Gider Miktar'!$F:$F,1004)</f>
        <v>128.21192052980123</v>
      </c>
      <c r="AG24" s="9">
        <f>+SUMIFS('Gider Miktar'!AP:AP,'Gider Miktar'!$B:$B,'Emanet Miktar Dağılım'!$D24,'Gider Miktar'!$F:$F,1001)+SUMIFS('Gider Miktar'!AP:AP,'Gider Miktar'!$B:$B,'Emanet Miktar Dağılım'!$D24,'Gider Miktar'!$F:$F,1002)+SUMIFS('Gider Miktar'!AP:AP,'Gider Miktar'!$B:$B,'Emanet Miktar Dağılım'!$D24,'Gider Miktar'!$F:$F,1003)+SUMIFS('Gider Miktar'!AP:AP,'Gider Miktar'!$B:$B,'Emanet Miktar Dağılım'!$D24,'Gider Miktar'!$F:$F,1004)</f>
        <v>128.21192052980123</v>
      </c>
      <c r="AH24" s="9">
        <f>+SUMIFS('Gider Miktar'!AQ:AQ,'Gider Miktar'!$B:$B,'Emanet Miktar Dağılım'!$D24,'Gider Miktar'!$F:$F,1001)+SUMIFS('Gider Miktar'!AQ:AQ,'Gider Miktar'!$B:$B,'Emanet Miktar Dağılım'!$D24,'Gider Miktar'!$F:$F,1002)+SUMIFS('Gider Miktar'!AQ:AQ,'Gider Miktar'!$B:$B,'Emanet Miktar Dağılım'!$D24,'Gider Miktar'!$F:$F,1003)+SUMIFS('Gider Miktar'!AQ:AQ,'Gider Miktar'!$B:$B,'Emanet Miktar Dağılım'!$D24,'Gider Miktar'!$F:$F,1004)</f>
        <v>96.158940397350932</v>
      </c>
      <c r="AI24" s="9">
        <f>+SUMIFS('Gider Miktar'!AR:AR,'Gider Miktar'!$B:$B,'Emanet Miktar Dağılım'!$D24,'Gider Miktar'!$F:$F,1001)+SUMIFS('Gider Miktar'!AR:AR,'Gider Miktar'!$B:$B,'Emanet Miktar Dağılım'!$D24,'Gider Miktar'!$F:$F,1002)+SUMIFS('Gider Miktar'!AR:AR,'Gider Miktar'!$B:$B,'Emanet Miktar Dağılım'!$D24,'Gider Miktar'!$F:$F,1003)+SUMIFS('Gider Miktar'!AR:AR,'Gider Miktar'!$B:$B,'Emanet Miktar Dağılım'!$D24,'Gider Miktar'!$F:$F,1004)</f>
        <v>113.64238410596016</v>
      </c>
      <c r="AJ24" s="9">
        <f>+SUMIFS('Gider Miktar'!AS:AS,'Gider Miktar'!$B:$B,'Emanet Miktar Dağılım'!$D24,'Gider Miktar'!$F:$F,1001)+SUMIFS('Gider Miktar'!AS:AS,'Gider Miktar'!$B:$B,'Emanet Miktar Dağılım'!$D24,'Gider Miktar'!$F:$F,1002)+SUMIFS('Gider Miktar'!AS:AS,'Gider Miktar'!$B:$B,'Emanet Miktar Dağılım'!$D24,'Gider Miktar'!$F:$F,1003)+SUMIFS('Gider Miktar'!AS:AS,'Gider Miktar'!$B:$B,'Emanet Miktar Dağılım'!$D24,'Gider Miktar'!$F:$F,1004)</f>
        <v>69.933774834437244</v>
      </c>
      <c r="AK24" s="9">
        <f>+SUMIFS('Gider Miktar'!AT:AT,'Gider Miktar'!$B:$B,'Emanet Miktar Dağılım'!$D24,'Gider Miktar'!$F:$F,1001)+SUMIFS('Gider Miktar'!AT:AT,'Gider Miktar'!$B:$B,'Emanet Miktar Dağılım'!$D24,'Gider Miktar'!$F:$F,1002)+SUMIFS('Gider Miktar'!AT:AT,'Gider Miktar'!$B:$B,'Emanet Miktar Dağılım'!$D24,'Gider Miktar'!$F:$F,1003)+SUMIFS('Gider Miktar'!AT:AT,'Gider Miktar'!$B:$B,'Emanet Miktar Dağılım'!$D24,'Gider Miktar'!$F:$F,1004)</f>
        <v>52.450331125827688</v>
      </c>
      <c r="AL24" s="9">
        <f>+SUMIFS('Gider Miktar'!AU:AU,'Gider Miktar'!$B:$B,'Emanet Miktar Dağılım'!$D24,'Gider Miktar'!$F:$F,1001)+SUMIFS('Gider Miktar'!AU:AU,'Gider Miktar'!$B:$B,'Emanet Miktar Dağılım'!$D24,'Gider Miktar'!$F:$F,1002)+SUMIFS('Gider Miktar'!AU:AU,'Gider Miktar'!$B:$B,'Emanet Miktar Dağılım'!$D24,'Gider Miktar'!$F:$F,1003)+SUMIFS('Gider Miktar'!AU:AU,'Gider Miktar'!$B:$B,'Emanet Miktar Dağılım'!$D24,'Gider Miktar'!$F:$F,1004)</f>
        <v>69.933774834437244</v>
      </c>
      <c r="AM24" s="9">
        <f>+SUMIFS('Gider Miktar'!AV:AV,'Gider Miktar'!$B:$B,'Emanet Miktar Dağılım'!$D24,'Gider Miktar'!$F:$F,1001)+SUMIFS('Gider Miktar'!AV:AV,'Gider Miktar'!$B:$B,'Emanet Miktar Dağılım'!$D24,'Gider Miktar'!$F:$F,1002)+SUMIFS('Gider Miktar'!AV:AV,'Gider Miktar'!$B:$B,'Emanet Miktar Dağılım'!$D24,'Gider Miktar'!$F:$F,1003)+SUMIFS('Gider Miktar'!AV:AV,'Gider Miktar'!$B:$B,'Emanet Miktar Dağılım'!$D24,'Gider Miktar'!$F:$F,1004)</f>
        <v>69.933774834437244</v>
      </c>
      <c r="AN24" s="9">
        <f>+SUMIFS('Gider Miktar'!AW:AW,'Gider Miktar'!$B:$B,'Emanet Miktar Dağılım'!$D24,'Gider Miktar'!$F:$F,1001)+SUMIFS('Gider Miktar'!AW:AW,'Gider Miktar'!$B:$B,'Emanet Miktar Dağılım'!$D24,'Gider Miktar'!$F:$F,1002)+SUMIFS('Gider Miktar'!AW:AW,'Gider Miktar'!$B:$B,'Emanet Miktar Dağılım'!$D24,'Gider Miktar'!$F:$F,1003)+SUMIFS('Gider Miktar'!AW:AW,'Gider Miktar'!$B:$B,'Emanet Miktar Dağılım'!$D24,'Gider Miktar'!$F:$F,1004)</f>
        <v>69.933774834437244</v>
      </c>
      <c r="AO24" s="9">
        <f>+SUMIFS('Gider Miktar'!AX:AX,'Gider Miktar'!$B:$B,'Emanet Miktar Dağılım'!$D24,'Gider Miktar'!$F:$F,1001)+SUMIFS('Gider Miktar'!AX:AX,'Gider Miktar'!$B:$B,'Emanet Miktar Dağılım'!$D24,'Gider Miktar'!$F:$F,1002)+SUMIFS('Gider Miktar'!AX:AX,'Gider Miktar'!$B:$B,'Emanet Miktar Dağılım'!$D24,'Gider Miktar'!$F:$F,1003)+SUMIFS('Gider Miktar'!AX:AX,'Gider Miktar'!$B:$B,'Emanet Miktar Dağılım'!$D24,'Gider Miktar'!$F:$F,1004)</f>
        <v>69.933774834437244</v>
      </c>
      <c r="AP24" s="9">
        <f>+SUMIFS('Gider Miktar'!AY:AY,'Gider Miktar'!$B:$B,'Emanet Miktar Dağılım'!$D24,'Gider Miktar'!$F:$F,1001)+SUMIFS('Gider Miktar'!AY:AY,'Gider Miktar'!$B:$B,'Emanet Miktar Dağılım'!$D24,'Gider Miktar'!$F:$F,1002)+SUMIFS('Gider Miktar'!AY:AY,'Gider Miktar'!$B:$B,'Emanet Miktar Dağılım'!$D24,'Gider Miktar'!$F:$F,1003)+SUMIFS('Gider Miktar'!AY:AY,'Gider Miktar'!$B:$B,'Emanet Miktar Dağılım'!$D24,'Gider Miktar'!$F:$F,1004)</f>
        <v>45.165562913907152</v>
      </c>
      <c r="AQ24" s="9">
        <f>+SUMIFS('Gider Miktar'!AZ:AZ,'Gider Miktar'!$B:$B,'Emanet Miktar Dağılım'!$D24,'Gider Miktar'!$F:$F,1001)+SUMIFS('Gider Miktar'!AZ:AZ,'Gider Miktar'!$B:$B,'Emanet Miktar Dağılım'!$D24,'Gider Miktar'!$F:$F,1002)+SUMIFS('Gider Miktar'!AZ:AZ,'Gider Miktar'!$B:$B,'Emanet Miktar Dağılım'!$D24,'Gider Miktar'!$F:$F,1003)+SUMIFS('Gider Miktar'!AZ:AZ,'Gider Miktar'!$B:$B,'Emanet Miktar Dağılım'!$D24,'Gider Miktar'!$F:$F,1004)</f>
        <v>0</v>
      </c>
      <c r="AR24" s="9">
        <f>+SUMIFS('Gider Miktar'!BA:BA,'Gider Miktar'!$B:$B,'Emanet Miktar Dağılım'!$D24,'Gider Miktar'!$F:$F,1001)+SUMIFS('Gider Miktar'!BA:BA,'Gider Miktar'!$B:$B,'Emanet Miktar Dağılım'!$D24,'Gider Miktar'!$F:$F,1002)+SUMIFS('Gider Miktar'!BA:BA,'Gider Miktar'!$B:$B,'Emanet Miktar Dağılım'!$D24,'Gider Miktar'!$F:$F,1003)+SUMIFS('Gider Miktar'!BA:BA,'Gider Miktar'!$B:$B,'Emanet Miktar Dağılım'!$D24,'Gider Miktar'!$F:$F,1004)</f>
        <v>0</v>
      </c>
      <c r="AS24" s="9">
        <f>+SUMIFS('Gider Miktar'!BB:BB,'Gider Miktar'!$B:$B,'Emanet Miktar Dağılım'!$D24,'Gider Miktar'!$F:$F,1001)+SUMIFS('Gider Miktar'!BB:BB,'Gider Miktar'!$B:$B,'Emanet Miktar Dağılım'!$D24,'Gider Miktar'!$F:$F,1002)+SUMIFS('Gider Miktar'!BB:BB,'Gider Miktar'!$B:$B,'Emanet Miktar Dağılım'!$D24,'Gider Miktar'!$F:$F,1003)+SUMIFS('Gider Miktar'!BB:BB,'Gider Miktar'!$B:$B,'Emanet Miktar Dağılım'!$D24,'Gider Miktar'!$F:$F,1004)</f>
        <v>0</v>
      </c>
      <c r="AT24" s="9">
        <f>+SUMIFS('Gider Miktar'!BC:BC,'Gider Miktar'!$B:$B,'Emanet Miktar Dağılım'!$D24,'Gider Miktar'!$F:$F,1001)+SUMIFS('Gider Miktar'!BC:BC,'Gider Miktar'!$B:$B,'Emanet Miktar Dağılım'!$D24,'Gider Miktar'!$F:$F,1002)+SUMIFS('Gider Miktar'!BC:BC,'Gider Miktar'!$B:$B,'Emanet Miktar Dağılım'!$D24,'Gider Miktar'!$F:$F,1003)+SUMIFS('Gider Miktar'!BC:BC,'Gider Miktar'!$B:$B,'Emanet Miktar Dağılım'!$D24,'Gider Miktar'!$F:$F,1004)</f>
        <v>0</v>
      </c>
      <c r="AU24" s="9">
        <f>+SUMIFS('Gider Miktar'!BD:BD,'Gider Miktar'!$B:$B,'Emanet Miktar Dağılım'!$D24,'Gider Miktar'!$F:$F,1001)+SUMIFS('Gider Miktar'!BD:BD,'Gider Miktar'!$B:$B,'Emanet Miktar Dağılım'!$D24,'Gider Miktar'!$F:$F,1002)+SUMIFS('Gider Miktar'!BD:BD,'Gider Miktar'!$B:$B,'Emanet Miktar Dağılım'!$D24,'Gider Miktar'!$F:$F,1003)+SUMIFS('Gider Miktar'!BD:BD,'Gider Miktar'!$B:$B,'Emanet Miktar Dağılım'!$D24,'Gider Miktar'!$F:$F,1004)</f>
        <v>0</v>
      </c>
      <c r="AV24" s="9">
        <f>+SUMIFS('Gider Miktar'!BE:BE,'Gider Miktar'!$B:$B,'Emanet Miktar Dağılım'!$D24,'Gider Miktar'!$F:$F,1001)+SUMIFS('Gider Miktar'!BE:BE,'Gider Miktar'!$B:$B,'Emanet Miktar Dağılım'!$D24,'Gider Miktar'!$F:$F,1002)+SUMIFS('Gider Miktar'!BE:BE,'Gider Miktar'!$B:$B,'Emanet Miktar Dağılım'!$D24,'Gider Miktar'!$F:$F,1003)+SUMIFS('Gider Miktar'!BE:BE,'Gider Miktar'!$B:$B,'Emanet Miktar Dağılım'!$D24,'Gider Miktar'!$F:$F,1004)</f>
        <v>0</v>
      </c>
      <c r="AW24" s="9">
        <f>+SUMIFS('Gider Miktar'!BF:BF,'Gider Miktar'!$B:$B,'Emanet Miktar Dağılım'!$D24,'Gider Miktar'!$F:$F,1001)+SUMIFS('Gider Miktar'!BF:BF,'Gider Miktar'!$B:$B,'Emanet Miktar Dağılım'!$D24,'Gider Miktar'!$F:$F,1002)+SUMIFS('Gider Miktar'!BF:BF,'Gider Miktar'!$B:$B,'Emanet Miktar Dağılım'!$D24,'Gider Miktar'!$F:$F,1003)+SUMIFS('Gider Miktar'!BF:BF,'Gider Miktar'!$B:$B,'Emanet Miktar Dağılım'!$D24,'Gider Miktar'!$F:$F,1004)</f>
        <v>0</v>
      </c>
      <c r="AX24" s="9">
        <f>+SUMIFS('Gider Miktar'!BG:BG,'Gider Miktar'!$B:$B,'Emanet Miktar Dağılım'!$D24,'Gider Miktar'!$F:$F,1001)+SUMIFS('Gider Miktar'!BG:BG,'Gider Miktar'!$B:$B,'Emanet Miktar Dağılım'!$D24,'Gider Miktar'!$F:$F,1002)+SUMIFS('Gider Miktar'!BG:BG,'Gider Miktar'!$B:$B,'Emanet Miktar Dağılım'!$D24,'Gider Miktar'!$F:$F,1003)+SUMIFS('Gider Miktar'!BG:BG,'Gider Miktar'!$B:$B,'Emanet Miktar Dağılım'!$D24,'Gider Miktar'!$F:$F,1004)</f>
        <v>0</v>
      </c>
      <c r="AY24" s="9">
        <f>+SUMIFS('Gider Miktar'!BH:BH,'Gider Miktar'!$B:$B,'Emanet Miktar Dağılım'!$D24,'Gider Miktar'!$F:$F,1001)+SUMIFS('Gider Miktar'!BH:BH,'Gider Miktar'!$B:$B,'Emanet Miktar Dağılım'!$D24,'Gider Miktar'!$F:$F,1002)+SUMIFS('Gider Miktar'!BH:BH,'Gider Miktar'!$B:$B,'Emanet Miktar Dağılım'!$D24,'Gider Miktar'!$F:$F,1003)+SUMIFS('Gider Miktar'!BH:BH,'Gider Miktar'!$B:$B,'Emanet Miktar Dağılım'!$D24,'Gider Miktar'!$F:$F,1004)</f>
        <v>0</v>
      </c>
      <c r="AZ24" s="9">
        <f>+SUMIFS('Gider Miktar'!BI:BI,'Gider Miktar'!$B:$B,'Emanet Miktar Dağılım'!$D24,'Gider Miktar'!$F:$F,1001)+SUMIFS('Gider Miktar'!BI:BI,'Gider Miktar'!$B:$B,'Emanet Miktar Dağılım'!$D24,'Gider Miktar'!$F:$F,1002)+SUMIFS('Gider Miktar'!BI:BI,'Gider Miktar'!$B:$B,'Emanet Miktar Dağılım'!$D24,'Gider Miktar'!$F:$F,1003)+SUMIFS('Gider Miktar'!BI:BI,'Gider Miktar'!$B:$B,'Emanet Miktar Dağılım'!$D24,'Gider Miktar'!$F:$F,1004)</f>
        <v>0</v>
      </c>
      <c r="BA24" s="9">
        <f>+SUMIFS('Gider Miktar'!BJ:BJ,'Gider Miktar'!$B:$B,'Emanet Miktar Dağılım'!$D24,'Gider Miktar'!$F:$F,1001)+SUMIFS('Gider Miktar'!BJ:BJ,'Gider Miktar'!$B:$B,'Emanet Miktar Dağılım'!$D24,'Gider Miktar'!$F:$F,1002)+SUMIFS('Gider Miktar'!BJ:BJ,'Gider Miktar'!$B:$B,'Emanet Miktar Dağılım'!$D24,'Gider Miktar'!$F:$F,1003)+SUMIFS('Gider Miktar'!BJ:BJ,'Gider Miktar'!$B:$B,'Emanet Miktar Dağılım'!$D24,'Gider Miktar'!$F:$F,1004)</f>
        <v>0</v>
      </c>
      <c r="BB24" s="9">
        <f>+SUMIFS('Gider Miktar'!BK:BK,'Gider Miktar'!$B:$B,'Emanet Miktar Dağılım'!$D24,'Gider Miktar'!$F:$F,1001)+SUMIFS('Gider Miktar'!BK:BK,'Gider Miktar'!$B:$B,'Emanet Miktar Dağılım'!$D24,'Gider Miktar'!$F:$F,1002)+SUMIFS('Gider Miktar'!BK:BK,'Gider Miktar'!$B:$B,'Emanet Miktar Dağılım'!$D24,'Gider Miktar'!$F:$F,1003)+SUMIFS('Gider Miktar'!BK:BK,'Gider Miktar'!$B:$B,'Emanet Miktar Dağılım'!$D24,'Gider Miktar'!$F:$F,1004)</f>
        <v>0</v>
      </c>
      <c r="BC24" s="9">
        <f>+SUMIFS('Gider Miktar'!BL:BL,'Gider Miktar'!$B:$B,'Emanet Miktar Dağılım'!$D24,'Gider Miktar'!$F:$F,1001)+SUMIFS('Gider Miktar'!BL:BL,'Gider Miktar'!$B:$B,'Emanet Miktar Dağılım'!$D24,'Gider Miktar'!$F:$F,1002)+SUMIFS('Gider Miktar'!BL:BL,'Gider Miktar'!$B:$B,'Emanet Miktar Dağılım'!$D24,'Gider Miktar'!$F:$F,1003)+SUMIFS('Gider Miktar'!BL:BL,'Gider Miktar'!$B:$B,'Emanet Miktar Dağılım'!$D24,'Gider Miktar'!$F:$F,1004)</f>
        <v>0</v>
      </c>
      <c r="BD24" s="9">
        <f>+SUMIFS('Gider Miktar'!BM:BM,'Gider Miktar'!$B:$B,'Emanet Miktar Dağılım'!$D24,'Gider Miktar'!$F:$F,1001)+SUMIFS('Gider Miktar'!BM:BM,'Gider Miktar'!$B:$B,'Emanet Miktar Dağılım'!$D24,'Gider Miktar'!$F:$F,1002)+SUMIFS('Gider Miktar'!BM:BM,'Gider Miktar'!$B:$B,'Emanet Miktar Dağılım'!$D24,'Gider Miktar'!$F:$F,1003)+SUMIFS('Gider Miktar'!BM:BM,'Gider Miktar'!$B:$B,'Emanet Miktar Dağılım'!$D24,'Gider Miktar'!$F:$F,1004)</f>
        <v>0</v>
      </c>
      <c r="BE24" s="9">
        <f>+SUMIFS('Gider Miktar'!BN:BN,'Gider Miktar'!$B:$B,'Emanet Miktar Dağılım'!$D24,'Gider Miktar'!$F:$F,1001)+SUMIFS('Gider Miktar'!BN:BN,'Gider Miktar'!$B:$B,'Emanet Miktar Dağılım'!$D24,'Gider Miktar'!$F:$F,1002)+SUMIFS('Gider Miktar'!BN:BN,'Gider Miktar'!$B:$B,'Emanet Miktar Dağılım'!$D24,'Gider Miktar'!$F:$F,1003)+SUMIFS('Gider Miktar'!BN:BN,'Gider Miktar'!$B:$B,'Emanet Miktar Dağılım'!$D24,'Gider Miktar'!$F:$F,1004)</f>
        <v>0</v>
      </c>
      <c r="BF24" s="9">
        <f>+SUMIFS('Gider Miktar'!BO:BO,'Gider Miktar'!$B:$B,'Emanet Miktar Dağılım'!$D24,'Gider Miktar'!$F:$F,1001)+SUMIFS('Gider Miktar'!BO:BO,'Gider Miktar'!$B:$B,'Emanet Miktar Dağılım'!$D24,'Gider Miktar'!$F:$F,1002)+SUMIFS('Gider Miktar'!BO:BO,'Gider Miktar'!$B:$B,'Emanet Miktar Dağılım'!$D24,'Gider Miktar'!$F:$F,1003)+SUMIFS('Gider Miktar'!BO:BO,'Gider Miktar'!$B:$B,'Emanet Miktar Dağılım'!$D24,'Gider Miktar'!$F:$F,1004)</f>
        <v>0</v>
      </c>
      <c r="BG24" s="9">
        <f>+SUMIFS('Gider Miktar'!BP:BP,'Gider Miktar'!$B:$B,'Emanet Miktar Dağılım'!$D24,'Gider Miktar'!$F:$F,1001)+SUMIFS('Gider Miktar'!BP:BP,'Gider Miktar'!$B:$B,'Emanet Miktar Dağılım'!$D24,'Gider Miktar'!$F:$F,1002)+SUMIFS('Gider Miktar'!BP:BP,'Gider Miktar'!$B:$B,'Emanet Miktar Dağılım'!$D24,'Gider Miktar'!$F:$F,1003)+SUMIFS('Gider Miktar'!BP:BP,'Gider Miktar'!$B:$B,'Emanet Miktar Dağılım'!$D24,'Gider Miktar'!$F:$F,1004)</f>
        <v>0</v>
      </c>
      <c r="BH24" s="9">
        <f>+SUMIFS('Gider Miktar'!BQ:BQ,'Gider Miktar'!$B:$B,'Emanet Miktar Dağılım'!$D24,'Gider Miktar'!$F:$F,1001)+SUMIFS('Gider Miktar'!BQ:BQ,'Gider Miktar'!$B:$B,'Emanet Miktar Dağılım'!$D24,'Gider Miktar'!$F:$F,1002)+SUMIFS('Gider Miktar'!BQ:BQ,'Gider Miktar'!$B:$B,'Emanet Miktar Dağılım'!$D24,'Gider Miktar'!$F:$F,1003)+SUMIFS('Gider Miktar'!BQ:BQ,'Gider Miktar'!$B:$B,'Emanet Miktar Dağılım'!$D24,'Gider Miktar'!$F:$F,1004)</f>
        <v>0</v>
      </c>
      <c r="BI24" s="9">
        <f>+SUMIFS('Gider Miktar'!BR:BR,'Gider Miktar'!$B:$B,'Emanet Miktar Dağılım'!$D24,'Gider Miktar'!$F:$F,1001)+SUMIFS('Gider Miktar'!BR:BR,'Gider Miktar'!$B:$B,'Emanet Miktar Dağılım'!$D24,'Gider Miktar'!$F:$F,1002)+SUMIFS('Gider Miktar'!BR:BR,'Gider Miktar'!$B:$B,'Emanet Miktar Dağılım'!$D24,'Gider Miktar'!$F:$F,1003)+SUMIFS('Gider Miktar'!BR:BR,'Gider Miktar'!$B:$B,'Emanet Miktar Dağılım'!$D24,'Gider Miktar'!$F:$F,1004)</f>
        <v>0</v>
      </c>
      <c r="BJ24" s="9">
        <f>+SUMIFS('Gider Miktar'!BS:BS,'Gider Miktar'!$B:$B,'Emanet Miktar Dağılım'!$D24,'Gider Miktar'!$F:$F,1001)+SUMIFS('Gider Miktar'!BS:BS,'Gider Miktar'!$B:$B,'Emanet Miktar Dağılım'!$D24,'Gider Miktar'!$F:$F,1002)+SUMIFS('Gider Miktar'!BS:BS,'Gider Miktar'!$B:$B,'Emanet Miktar Dağılım'!$D24,'Gider Miktar'!$F:$F,1003)+SUMIFS('Gider Miktar'!BS:BS,'Gider Miktar'!$B:$B,'Emanet Miktar Dağılım'!$D24,'Gider Miktar'!$F:$F,1004)</f>
        <v>0</v>
      </c>
      <c r="BK24" s="9">
        <f>+SUMIFS('Gider Miktar'!BT:BT,'Gider Miktar'!$B:$B,'Emanet Miktar Dağılım'!$D24,'Gider Miktar'!$F:$F,1001)+SUMIFS('Gider Miktar'!BT:BT,'Gider Miktar'!$B:$B,'Emanet Miktar Dağılım'!$D24,'Gider Miktar'!$F:$F,1002)+SUMIFS('Gider Miktar'!BT:BT,'Gider Miktar'!$B:$B,'Emanet Miktar Dağılım'!$D24,'Gider Miktar'!$F:$F,1003)+SUMIFS('Gider Miktar'!BT:BT,'Gider Miktar'!$B:$B,'Emanet Miktar Dağılım'!$D24,'Gider Miktar'!$F:$F,1004)</f>
        <v>0</v>
      </c>
      <c r="BL24" s="9">
        <f>+SUMIFS('Gider Miktar'!BU:BU,'Gider Miktar'!$B:$B,'Emanet Miktar Dağılım'!$D24,'Gider Miktar'!$F:$F,1001)+SUMIFS('Gider Miktar'!BU:BU,'Gider Miktar'!$B:$B,'Emanet Miktar Dağılım'!$D24,'Gider Miktar'!$F:$F,1002)+SUMIFS('Gider Miktar'!BU:BU,'Gider Miktar'!$B:$B,'Emanet Miktar Dağılım'!$D24,'Gider Miktar'!$F:$F,1003)+SUMIFS('Gider Miktar'!BU:BU,'Gider Miktar'!$B:$B,'Emanet Miktar Dağılım'!$D24,'Gider Miktar'!$F:$F,1004)</f>
        <v>0</v>
      </c>
      <c r="BM24" s="9">
        <f>+SUMIFS('Gider Miktar'!BV:BV,'Gider Miktar'!$B:$B,'Emanet Miktar Dağılım'!$D24,'Gider Miktar'!$F:$F,1001)+SUMIFS('Gider Miktar'!BV:BV,'Gider Miktar'!$B:$B,'Emanet Miktar Dağılım'!$D24,'Gider Miktar'!$F:$F,1002)+SUMIFS('Gider Miktar'!BV:BV,'Gider Miktar'!$B:$B,'Emanet Miktar Dağılım'!$D24,'Gider Miktar'!$F:$F,1003)+SUMIFS('Gider Miktar'!BV:BV,'Gider Miktar'!$B:$B,'Emanet Miktar Dağılım'!$D24,'Gider Miktar'!$F:$F,1004)</f>
        <v>0</v>
      </c>
      <c r="BN24" s="9">
        <f>+SUMIFS('Gider Miktar'!BW:BW,'Gider Miktar'!$B:$B,'Emanet Miktar Dağılım'!$D24,'Gider Miktar'!$F:$F,1001)+SUMIFS('Gider Miktar'!BW:BW,'Gider Miktar'!$B:$B,'Emanet Miktar Dağılım'!$D24,'Gider Miktar'!$F:$F,1002)+SUMIFS('Gider Miktar'!BW:BW,'Gider Miktar'!$B:$B,'Emanet Miktar Dağılım'!$D24,'Gider Miktar'!$F:$F,1003)+SUMIFS('Gider Miktar'!BW:BW,'Gider Miktar'!$B:$B,'Emanet Miktar Dağılım'!$D24,'Gider Miktar'!$F:$F,1004)</f>
        <v>0</v>
      </c>
      <c r="BO24" s="9">
        <f>+SUMIFS('Gider Miktar'!BX:BX,'Gider Miktar'!$B:$B,'Emanet Miktar Dağılım'!$D24,'Gider Miktar'!$F:$F,1001)+SUMIFS('Gider Miktar'!BX:BX,'Gider Miktar'!$B:$B,'Emanet Miktar Dağılım'!$D24,'Gider Miktar'!$F:$F,1002)+SUMIFS('Gider Miktar'!BX:BX,'Gider Miktar'!$B:$B,'Emanet Miktar Dağılım'!$D24,'Gider Miktar'!$F:$F,1003)+SUMIFS('Gider Miktar'!BX:BX,'Gider Miktar'!$B:$B,'Emanet Miktar Dağılım'!$D24,'Gider Miktar'!$F:$F,1004)</f>
        <v>0</v>
      </c>
    </row>
    <row r="25" spans="2:67">
      <c r="D25" t="s">
        <v>27</v>
      </c>
      <c r="E25" s="9">
        <f>+SUMIFS('Gider Miktar'!N:N,'Gider Miktar'!$B:$B,'Emanet Miktar Dağılım'!$D25,'Gider Miktar'!$F:$F,1001)+SUMIFS('Gider Miktar'!N:N,'Gider Miktar'!$B:$B,'Emanet Miktar Dağılım'!$D25,'Gider Miktar'!$F:$F,1002)+SUMIFS('Gider Miktar'!N:N,'Gider Miktar'!$B:$B,'Emanet Miktar Dağılım'!$D25,'Gider Miktar'!$F:$F,1003)+SUMIFS('Gider Miktar'!N:N,'Gider Miktar'!$B:$B,'Emanet Miktar Dağılım'!$D25,'Gider Miktar'!$F:$F,1004)</f>
        <v>0</v>
      </c>
      <c r="F25" s="9">
        <f>+SUMIFS('Gider Miktar'!O:O,'Gider Miktar'!$B:$B,'Emanet Miktar Dağılım'!$D25,'Gider Miktar'!$F:$F,1001)+SUMIFS('Gider Miktar'!O:O,'Gider Miktar'!$B:$B,'Emanet Miktar Dağılım'!$D25,'Gider Miktar'!$F:$F,1002)+SUMIFS('Gider Miktar'!O:O,'Gider Miktar'!$B:$B,'Emanet Miktar Dağılım'!$D25,'Gider Miktar'!$F:$F,1003)+SUMIFS('Gider Miktar'!O:O,'Gider Miktar'!$B:$B,'Emanet Miktar Dağılım'!$D25,'Gider Miktar'!$F:$F,1004)</f>
        <v>0</v>
      </c>
      <c r="G25" s="9">
        <f>+SUMIFS('Gider Miktar'!P:P,'Gider Miktar'!$B:$B,'Emanet Miktar Dağılım'!$D25,'Gider Miktar'!$F:$F,1001)+SUMIFS('Gider Miktar'!P:P,'Gider Miktar'!$B:$B,'Emanet Miktar Dağılım'!$D25,'Gider Miktar'!$F:$F,1002)+SUMIFS('Gider Miktar'!P:P,'Gider Miktar'!$B:$B,'Emanet Miktar Dağılım'!$D25,'Gider Miktar'!$F:$F,1003)+SUMIFS('Gider Miktar'!P:P,'Gider Miktar'!$B:$B,'Emanet Miktar Dağılım'!$D25,'Gider Miktar'!$F:$F,1004)</f>
        <v>0</v>
      </c>
      <c r="H25" s="9">
        <f>+SUMIFS('Gider Miktar'!Q:Q,'Gider Miktar'!$B:$B,'Emanet Miktar Dağılım'!$D25,'Gider Miktar'!$F:$F,1001)+SUMIFS('Gider Miktar'!Q:Q,'Gider Miktar'!$B:$B,'Emanet Miktar Dağılım'!$D25,'Gider Miktar'!$F:$F,1002)+SUMIFS('Gider Miktar'!Q:Q,'Gider Miktar'!$B:$B,'Emanet Miktar Dağılım'!$D25,'Gider Miktar'!$F:$F,1003)+SUMIFS('Gider Miktar'!Q:Q,'Gider Miktar'!$B:$B,'Emanet Miktar Dağılım'!$D25,'Gider Miktar'!$F:$F,1004)</f>
        <v>0</v>
      </c>
      <c r="I25" s="9">
        <f>+SUMIFS('Gider Miktar'!R:R,'Gider Miktar'!$B:$B,'Emanet Miktar Dağılım'!$D25,'Gider Miktar'!$F:$F,1001)+SUMIFS('Gider Miktar'!R:R,'Gider Miktar'!$B:$B,'Emanet Miktar Dağılım'!$D25,'Gider Miktar'!$F:$F,1002)+SUMIFS('Gider Miktar'!R:R,'Gider Miktar'!$B:$B,'Emanet Miktar Dağılım'!$D25,'Gider Miktar'!$F:$F,1003)+SUMIFS('Gider Miktar'!R:R,'Gider Miktar'!$B:$B,'Emanet Miktar Dağılım'!$D25,'Gider Miktar'!$F:$F,1004)</f>
        <v>0</v>
      </c>
      <c r="J25" s="9">
        <f>+SUMIFS('Gider Miktar'!S:S,'Gider Miktar'!$B:$B,'Emanet Miktar Dağılım'!$D25,'Gider Miktar'!$F:$F,1001)+SUMIFS('Gider Miktar'!S:S,'Gider Miktar'!$B:$B,'Emanet Miktar Dağılım'!$D25,'Gider Miktar'!$F:$F,1002)+SUMIFS('Gider Miktar'!S:S,'Gider Miktar'!$B:$B,'Emanet Miktar Dağılım'!$D25,'Gider Miktar'!$F:$F,1003)+SUMIFS('Gider Miktar'!S:S,'Gider Miktar'!$B:$B,'Emanet Miktar Dağılım'!$D25,'Gider Miktar'!$F:$F,1004)</f>
        <v>0</v>
      </c>
      <c r="K25" s="9">
        <f>+SUMIFS('Gider Miktar'!T:T,'Gider Miktar'!$B:$B,'Emanet Miktar Dağılım'!$D25,'Gider Miktar'!$F:$F,1001)+SUMIFS('Gider Miktar'!T:T,'Gider Miktar'!$B:$B,'Emanet Miktar Dağılım'!$D25,'Gider Miktar'!$F:$F,1002)+SUMIFS('Gider Miktar'!T:T,'Gider Miktar'!$B:$B,'Emanet Miktar Dağılım'!$D25,'Gider Miktar'!$F:$F,1003)+SUMIFS('Gider Miktar'!T:T,'Gider Miktar'!$B:$B,'Emanet Miktar Dağılım'!$D25,'Gider Miktar'!$F:$F,1004)</f>
        <v>0</v>
      </c>
      <c r="L25" s="9">
        <f>+SUMIFS('Gider Miktar'!U:U,'Gider Miktar'!$B:$B,'Emanet Miktar Dağılım'!$D25,'Gider Miktar'!$F:$F,1001)+SUMIFS('Gider Miktar'!U:U,'Gider Miktar'!$B:$B,'Emanet Miktar Dağılım'!$D25,'Gider Miktar'!$F:$F,1002)+SUMIFS('Gider Miktar'!U:U,'Gider Miktar'!$B:$B,'Emanet Miktar Dağılım'!$D25,'Gider Miktar'!$F:$F,1003)+SUMIFS('Gider Miktar'!U:U,'Gider Miktar'!$B:$B,'Emanet Miktar Dağılım'!$D25,'Gider Miktar'!$F:$F,1004)</f>
        <v>0</v>
      </c>
      <c r="M25" s="9">
        <f>+SUMIFS('Gider Miktar'!V:V,'Gider Miktar'!$B:$B,'Emanet Miktar Dağılım'!$D25,'Gider Miktar'!$F:$F,1001)+SUMIFS('Gider Miktar'!V:V,'Gider Miktar'!$B:$B,'Emanet Miktar Dağılım'!$D25,'Gider Miktar'!$F:$F,1002)+SUMIFS('Gider Miktar'!V:V,'Gider Miktar'!$B:$B,'Emanet Miktar Dağılım'!$D25,'Gider Miktar'!$F:$F,1003)+SUMIFS('Gider Miktar'!V:V,'Gider Miktar'!$B:$B,'Emanet Miktar Dağılım'!$D25,'Gider Miktar'!$F:$F,1004)</f>
        <v>0</v>
      </c>
      <c r="N25" s="11">
        <f>+SUMIFS('Gider Miktar'!W:W,'Gider Miktar'!$B:$B,'Emanet Miktar Dağılım'!$D25,'Gider Miktar'!$F:$F,1001)+SUMIFS('Gider Miktar'!W:W,'Gider Miktar'!$B:$B,'Emanet Miktar Dağılım'!$D25,'Gider Miktar'!$F:$F,1002)+SUMIFS('Gider Miktar'!W:W,'Gider Miktar'!$B:$B,'Emanet Miktar Dağılım'!$D25,'Gider Miktar'!$F:$F,1003)+SUMIFS('Gider Miktar'!W:W,'Gider Miktar'!$B:$B,'Emanet Miktar Dağılım'!$D25,'Gider Miktar'!$F:$F,1004)</f>
        <v>0</v>
      </c>
      <c r="O25" s="9">
        <f>+SUMIFS('Gider Miktar'!X:X,'Gider Miktar'!$B:$B,'Emanet Miktar Dağılım'!$D25,'Gider Miktar'!$F:$F,1001)+SUMIFS('Gider Miktar'!X:X,'Gider Miktar'!$B:$B,'Emanet Miktar Dağılım'!$D25,'Gider Miktar'!$F:$F,1002)+SUMIFS('Gider Miktar'!X:X,'Gider Miktar'!$B:$B,'Emanet Miktar Dağılım'!$D25,'Gider Miktar'!$F:$F,1003)+SUMIFS('Gider Miktar'!X:X,'Gider Miktar'!$B:$B,'Emanet Miktar Dağılım'!$D25,'Gider Miktar'!$F:$F,1004)</f>
        <v>45.6741490887933</v>
      </c>
      <c r="P25" s="9">
        <f>+SUMIFS('Gider Miktar'!Y:Y,'Gider Miktar'!$B:$B,'Emanet Miktar Dağılım'!$D25,'Gider Miktar'!$F:$F,1001)+SUMIFS('Gider Miktar'!Y:Y,'Gider Miktar'!$B:$B,'Emanet Miktar Dağılım'!$D25,'Gider Miktar'!$F:$F,1002)+SUMIFS('Gider Miktar'!Y:Y,'Gider Miktar'!$B:$B,'Emanet Miktar Dağılım'!$D25,'Gider Miktar'!$F:$F,1003)+SUMIFS('Gider Miktar'!Y:Y,'Gider Miktar'!$B:$B,'Emanet Miktar Dağılım'!$D25,'Gider Miktar'!$F:$F,1004)</f>
        <v>55.503470269742166</v>
      </c>
      <c r="Q25" s="9">
        <f>+SUMIFS('Gider Miktar'!Z:Z,'Gider Miktar'!$B:$B,'Emanet Miktar Dağılım'!$D25,'Gider Miktar'!$F:$F,1001)+SUMIFS('Gider Miktar'!Z:Z,'Gider Miktar'!$B:$B,'Emanet Miktar Dağılım'!$D25,'Gider Miktar'!$F:$F,1002)+SUMIFS('Gider Miktar'!Z:Z,'Gider Miktar'!$B:$B,'Emanet Miktar Dağılım'!$D25,'Gider Miktar'!$F:$F,1003)+SUMIFS('Gider Miktar'!Z:Z,'Gider Miktar'!$B:$B,'Emanet Miktar Dağılım'!$D25,'Gider Miktar'!$F:$F,1004)</f>
        <v>39.903356563220278</v>
      </c>
      <c r="R25" s="9">
        <f>+SUMIFS('Gider Miktar'!AA:AA,'Gider Miktar'!$B:$B,'Emanet Miktar Dağılım'!$D25,'Gider Miktar'!$F:$F,1001)+SUMIFS('Gider Miktar'!AA:AA,'Gider Miktar'!$B:$B,'Emanet Miktar Dağılım'!$D25,'Gider Miktar'!$F:$F,1002)+SUMIFS('Gider Miktar'!AA:AA,'Gider Miktar'!$B:$B,'Emanet Miktar Dağılım'!$D25,'Gider Miktar'!$F:$F,1003)+SUMIFS('Gider Miktar'!AA:AA,'Gider Miktar'!$B:$B,'Emanet Miktar Dağılım'!$D25,'Gider Miktar'!$F:$F,1004)</f>
        <v>32.97708724754699</v>
      </c>
      <c r="S25" s="9">
        <f>+SUMIFS('Gider Miktar'!AB:AB,'Gider Miktar'!$B:$B,'Emanet Miktar Dağılım'!$D25,'Gider Miktar'!$F:$F,1001)+SUMIFS('Gider Miktar'!AB:AB,'Gider Miktar'!$B:$B,'Emanet Miktar Dağılım'!$D25,'Gider Miktar'!$F:$F,1002)+SUMIFS('Gider Miktar'!AB:AB,'Gider Miktar'!$B:$B,'Emanet Miktar Dağılım'!$D25,'Gider Miktar'!$F:$F,1003)+SUMIFS('Gider Miktar'!AB:AB,'Gider Miktar'!$B:$B,'Emanet Miktar Dağılım'!$D25,'Gider Miktar'!$F:$F,1004)</f>
        <v>35.323163706299702</v>
      </c>
      <c r="T25" s="9">
        <f>+SUMIFS('Gider Miktar'!AC:AC,'Gider Miktar'!$B:$B,'Emanet Miktar Dağılım'!$D25,'Gider Miktar'!$F:$F,1001)+SUMIFS('Gider Miktar'!AC:AC,'Gider Miktar'!$B:$B,'Emanet Miktar Dağılım'!$D25,'Gider Miktar'!$F:$F,1002)+SUMIFS('Gider Miktar'!AC:AC,'Gider Miktar'!$B:$B,'Emanet Miktar Dağılım'!$D25,'Gider Miktar'!$F:$F,1003)+SUMIFS('Gider Miktar'!AC:AC,'Gider Miktar'!$B:$B,'Emanet Miktar Dağılım'!$D25,'Gider Miktar'!$F:$F,1004)</f>
        <v>29.138053042315686</v>
      </c>
      <c r="U25" s="9">
        <f>+SUMIFS('Gider Miktar'!AD:AD,'Gider Miktar'!$B:$B,'Emanet Miktar Dağılım'!$D25,'Gider Miktar'!$F:$F,1001)+SUMIFS('Gider Miktar'!AD:AD,'Gider Miktar'!$B:$B,'Emanet Miktar Dağılım'!$D25,'Gider Miktar'!$F:$F,1002)+SUMIFS('Gider Miktar'!AD:AD,'Gider Miktar'!$B:$B,'Emanet Miktar Dağılım'!$D25,'Gider Miktar'!$F:$F,1003)+SUMIFS('Gider Miktar'!AD:AD,'Gider Miktar'!$B:$B,'Emanet Miktar Dağılım'!$D25,'Gider Miktar'!$F:$F,1004)</f>
        <v>25.512298515152729</v>
      </c>
      <c r="V25" s="9">
        <f>+SUMIFS('Gider Miktar'!AE:AE,'Gider Miktar'!$B:$B,'Emanet Miktar Dağılım'!$D25,'Gider Miktar'!$F:$F,1001)+SUMIFS('Gider Miktar'!AE:AE,'Gider Miktar'!$B:$B,'Emanet Miktar Dağılım'!$D25,'Gider Miktar'!$F:$F,1002)+SUMIFS('Gider Miktar'!AE:AE,'Gider Miktar'!$B:$B,'Emanet Miktar Dağılım'!$D25,'Gider Miktar'!$F:$F,1003)+SUMIFS('Gider Miktar'!AE:AE,'Gider Miktar'!$B:$B,'Emanet Miktar Dağılım'!$D25,'Gider Miktar'!$F:$F,1004)</f>
        <v>25.512298515152729</v>
      </c>
      <c r="W25" s="9">
        <f>+SUMIFS('Gider Miktar'!AF:AF,'Gider Miktar'!$B:$B,'Emanet Miktar Dağılım'!$D25,'Gider Miktar'!$F:$F,1001)+SUMIFS('Gider Miktar'!AF:AF,'Gider Miktar'!$B:$B,'Emanet Miktar Dağılım'!$D25,'Gider Miktar'!$F:$F,1002)+SUMIFS('Gider Miktar'!AF:AF,'Gider Miktar'!$B:$B,'Emanet Miktar Dağılım'!$D25,'Gider Miktar'!$F:$F,1003)+SUMIFS('Gider Miktar'!AF:AF,'Gider Miktar'!$B:$B,'Emanet Miktar Dağılım'!$D25,'Gider Miktar'!$F:$F,1004)</f>
        <v>11.936034751555685</v>
      </c>
      <c r="X25" s="9">
        <f>+SUMIFS('Gider Miktar'!AG:AG,'Gider Miktar'!$B:$B,'Emanet Miktar Dağılım'!$D25,'Gider Miktar'!$F:$F,1001)+SUMIFS('Gider Miktar'!AG:AG,'Gider Miktar'!$B:$B,'Emanet Miktar Dağılım'!$D25,'Gider Miktar'!$F:$F,1002)+SUMIFS('Gider Miktar'!AG:AG,'Gider Miktar'!$B:$B,'Emanet Miktar Dağılım'!$D25,'Gider Miktar'!$F:$F,1003)+SUMIFS('Gider Miktar'!AG:AG,'Gider Miktar'!$B:$B,'Emanet Miktar Dağılım'!$D25,'Gider Miktar'!$F:$F,1004)</f>
        <v>8.2366445916114728</v>
      </c>
      <c r="Y25" s="9">
        <f>+SUMIFS('Gider Miktar'!AH:AH,'Gider Miktar'!$B:$B,'Emanet Miktar Dağılım'!$D25,'Gider Miktar'!$F:$F,1001)+SUMIFS('Gider Miktar'!AH:AH,'Gider Miktar'!$B:$B,'Emanet Miktar Dağılım'!$D25,'Gider Miktar'!$F:$F,1002)+SUMIFS('Gider Miktar'!AH:AH,'Gider Miktar'!$B:$B,'Emanet Miktar Dağılım'!$D25,'Gider Miktar'!$F:$F,1003)+SUMIFS('Gider Miktar'!AH:AH,'Gider Miktar'!$B:$B,'Emanet Miktar Dağılım'!$D25,'Gider Miktar'!$F:$F,1004)</f>
        <v>6.1774834437086055</v>
      </c>
      <c r="Z25" s="9">
        <f>+SUMIFS('Gider Miktar'!AI:AI,'Gider Miktar'!$B:$B,'Emanet Miktar Dağılım'!$D25,'Gider Miktar'!$F:$F,1001)+SUMIFS('Gider Miktar'!AI:AI,'Gider Miktar'!$B:$B,'Emanet Miktar Dağılım'!$D25,'Gider Miktar'!$F:$F,1002)+SUMIFS('Gider Miktar'!AI:AI,'Gider Miktar'!$B:$B,'Emanet Miktar Dağılım'!$D25,'Gider Miktar'!$F:$F,1003)+SUMIFS('Gider Miktar'!AI:AI,'Gider Miktar'!$B:$B,'Emanet Miktar Dağılım'!$D25,'Gider Miktar'!$F:$F,1004)</f>
        <v>8.2366445916114728</v>
      </c>
      <c r="AA25" s="9">
        <f>+SUMIFS('Gider Miktar'!AJ:AJ,'Gider Miktar'!$B:$B,'Emanet Miktar Dağılım'!$D25,'Gider Miktar'!$F:$F,1001)+SUMIFS('Gider Miktar'!AJ:AJ,'Gider Miktar'!$B:$B,'Emanet Miktar Dağılım'!$D25,'Gider Miktar'!$F:$F,1002)+SUMIFS('Gider Miktar'!AJ:AJ,'Gider Miktar'!$B:$B,'Emanet Miktar Dağılım'!$D25,'Gider Miktar'!$F:$F,1003)+SUMIFS('Gider Miktar'!AJ:AJ,'Gider Miktar'!$B:$B,'Emanet Miktar Dağılım'!$D25,'Gider Miktar'!$F:$F,1004)</f>
        <v>8.2366445916114728</v>
      </c>
      <c r="AB25" s="9">
        <f>+SUMIFS('Gider Miktar'!AK:AK,'Gider Miktar'!$B:$B,'Emanet Miktar Dağılım'!$D25,'Gider Miktar'!$F:$F,1001)+SUMIFS('Gider Miktar'!AK:AK,'Gider Miktar'!$B:$B,'Emanet Miktar Dağılım'!$D25,'Gider Miktar'!$F:$F,1002)+SUMIFS('Gider Miktar'!AK:AK,'Gider Miktar'!$B:$B,'Emanet Miktar Dağılım'!$D25,'Gider Miktar'!$F:$F,1003)+SUMIFS('Gider Miktar'!AK:AK,'Gider Miktar'!$B:$B,'Emanet Miktar Dağılım'!$D25,'Gider Miktar'!$F:$F,1004)</f>
        <v>8.2366445916114728</v>
      </c>
      <c r="AC25" s="9">
        <f>+SUMIFS('Gider Miktar'!AL:AL,'Gider Miktar'!$B:$B,'Emanet Miktar Dağılım'!$D25,'Gider Miktar'!$F:$F,1001)+SUMIFS('Gider Miktar'!AL:AL,'Gider Miktar'!$B:$B,'Emanet Miktar Dağılım'!$D25,'Gider Miktar'!$F:$F,1002)+SUMIFS('Gider Miktar'!AL:AL,'Gider Miktar'!$B:$B,'Emanet Miktar Dağılım'!$D25,'Gider Miktar'!$F:$F,1003)+SUMIFS('Gider Miktar'!AL:AL,'Gider Miktar'!$B:$B,'Emanet Miktar Dağılım'!$D25,'Gider Miktar'!$F:$F,1004)</f>
        <v>8.2366445916114728</v>
      </c>
      <c r="AD25" s="9">
        <f>+SUMIFS('Gider Miktar'!AM:AM,'Gider Miktar'!$B:$B,'Emanet Miktar Dağılım'!$D25,'Gider Miktar'!$F:$F,1001)+SUMIFS('Gider Miktar'!AM:AM,'Gider Miktar'!$B:$B,'Emanet Miktar Dağılım'!$D25,'Gider Miktar'!$F:$F,1002)+SUMIFS('Gider Miktar'!AM:AM,'Gider Miktar'!$B:$B,'Emanet Miktar Dağılım'!$D25,'Gider Miktar'!$F:$F,1003)+SUMIFS('Gider Miktar'!AM:AM,'Gider Miktar'!$B:$B,'Emanet Miktar Dağılım'!$D25,'Gider Miktar'!$F:$F,1004)</f>
        <v>8.2366445916114728</v>
      </c>
      <c r="AE25" s="9">
        <f>+SUMIFS('Gider Miktar'!AN:AN,'Gider Miktar'!$B:$B,'Emanet Miktar Dağılım'!$D25,'Gider Miktar'!$F:$F,1001)+SUMIFS('Gider Miktar'!AN:AN,'Gider Miktar'!$B:$B,'Emanet Miktar Dağılım'!$D25,'Gider Miktar'!$F:$F,1002)+SUMIFS('Gider Miktar'!AN:AN,'Gider Miktar'!$B:$B,'Emanet Miktar Dağılım'!$D25,'Gider Miktar'!$F:$F,1003)+SUMIFS('Gider Miktar'!AN:AN,'Gider Miktar'!$B:$B,'Emanet Miktar Dağılım'!$D25,'Gider Miktar'!$F:$F,1004)</f>
        <v>8.2366445916114728</v>
      </c>
      <c r="AF25" s="9">
        <f>+SUMIFS('Gider Miktar'!AO:AO,'Gider Miktar'!$B:$B,'Emanet Miktar Dağılım'!$D25,'Gider Miktar'!$F:$F,1001)+SUMIFS('Gider Miktar'!AO:AO,'Gider Miktar'!$B:$B,'Emanet Miktar Dağılım'!$D25,'Gider Miktar'!$F:$F,1002)+SUMIFS('Gider Miktar'!AO:AO,'Gider Miktar'!$B:$B,'Emanet Miktar Dağılım'!$D25,'Gider Miktar'!$F:$F,1003)+SUMIFS('Gider Miktar'!AO:AO,'Gider Miktar'!$B:$B,'Emanet Miktar Dağılım'!$D25,'Gider Miktar'!$F:$F,1004)</f>
        <v>8.2366445916114728</v>
      </c>
      <c r="AG25" s="9">
        <f>+SUMIFS('Gider Miktar'!AP:AP,'Gider Miktar'!$B:$B,'Emanet Miktar Dağılım'!$D25,'Gider Miktar'!$F:$F,1001)+SUMIFS('Gider Miktar'!AP:AP,'Gider Miktar'!$B:$B,'Emanet Miktar Dağılım'!$D25,'Gider Miktar'!$F:$F,1002)+SUMIFS('Gider Miktar'!AP:AP,'Gider Miktar'!$B:$B,'Emanet Miktar Dağılım'!$D25,'Gider Miktar'!$F:$F,1003)+SUMIFS('Gider Miktar'!AP:AP,'Gider Miktar'!$B:$B,'Emanet Miktar Dağılım'!$D25,'Gider Miktar'!$F:$F,1004)</f>
        <v>8.2366445916114728</v>
      </c>
      <c r="AH25" s="9">
        <f>+SUMIFS('Gider Miktar'!AQ:AQ,'Gider Miktar'!$B:$B,'Emanet Miktar Dağılım'!$D25,'Gider Miktar'!$F:$F,1001)+SUMIFS('Gider Miktar'!AQ:AQ,'Gider Miktar'!$B:$B,'Emanet Miktar Dağılım'!$D25,'Gider Miktar'!$F:$F,1002)+SUMIFS('Gider Miktar'!AQ:AQ,'Gider Miktar'!$B:$B,'Emanet Miktar Dağılım'!$D25,'Gider Miktar'!$F:$F,1003)+SUMIFS('Gider Miktar'!AQ:AQ,'Gider Miktar'!$B:$B,'Emanet Miktar Dağılım'!$D25,'Gider Miktar'!$F:$F,1004)</f>
        <v>6.1774834437086055</v>
      </c>
      <c r="AI25" s="9">
        <f>+SUMIFS('Gider Miktar'!AR:AR,'Gider Miktar'!$B:$B,'Emanet Miktar Dağılım'!$D25,'Gider Miktar'!$F:$F,1001)+SUMIFS('Gider Miktar'!AR:AR,'Gider Miktar'!$B:$B,'Emanet Miktar Dağılım'!$D25,'Gider Miktar'!$F:$F,1002)+SUMIFS('Gider Miktar'!AR:AR,'Gider Miktar'!$B:$B,'Emanet Miktar Dağılım'!$D25,'Gider Miktar'!$F:$F,1003)+SUMIFS('Gider Miktar'!AR:AR,'Gider Miktar'!$B:$B,'Emanet Miktar Dağılım'!$D25,'Gider Miktar'!$F:$F,1004)</f>
        <v>7.3006622516556225</v>
      </c>
      <c r="AJ25" s="9">
        <f>+SUMIFS('Gider Miktar'!AS:AS,'Gider Miktar'!$B:$B,'Emanet Miktar Dağılım'!$D25,'Gider Miktar'!$F:$F,1001)+SUMIFS('Gider Miktar'!AS:AS,'Gider Miktar'!$B:$B,'Emanet Miktar Dağılım'!$D25,'Gider Miktar'!$F:$F,1002)+SUMIFS('Gider Miktar'!AS:AS,'Gider Miktar'!$B:$B,'Emanet Miktar Dağılım'!$D25,'Gider Miktar'!$F:$F,1003)+SUMIFS('Gider Miktar'!AS:AS,'Gider Miktar'!$B:$B,'Emanet Miktar Dağılım'!$D25,'Gider Miktar'!$F:$F,1004)</f>
        <v>4.4927152317880896</v>
      </c>
      <c r="AK25" s="9">
        <f>+SUMIFS('Gider Miktar'!AT:AT,'Gider Miktar'!$B:$B,'Emanet Miktar Dağılım'!$D25,'Gider Miktar'!$F:$F,1001)+SUMIFS('Gider Miktar'!AT:AT,'Gider Miktar'!$B:$B,'Emanet Miktar Dağılım'!$D25,'Gider Miktar'!$F:$F,1002)+SUMIFS('Gider Miktar'!AT:AT,'Gider Miktar'!$B:$B,'Emanet Miktar Dağılım'!$D25,'Gider Miktar'!$F:$F,1003)+SUMIFS('Gider Miktar'!AT:AT,'Gider Miktar'!$B:$B,'Emanet Miktar Dağılım'!$D25,'Gider Miktar'!$F:$F,1004)</f>
        <v>3.3695364238410517</v>
      </c>
      <c r="AL25" s="9">
        <f>+SUMIFS('Gider Miktar'!AU:AU,'Gider Miktar'!$B:$B,'Emanet Miktar Dağılım'!$D25,'Gider Miktar'!$F:$F,1001)+SUMIFS('Gider Miktar'!AU:AU,'Gider Miktar'!$B:$B,'Emanet Miktar Dağılım'!$D25,'Gider Miktar'!$F:$F,1002)+SUMIFS('Gider Miktar'!AU:AU,'Gider Miktar'!$B:$B,'Emanet Miktar Dağılım'!$D25,'Gider Miktar'!$F:$F,1003)+SUMIFS('Gider Miktar'!AU:AU,'Gider Miktar'!$B:$B,'Emanet Miktar Dağılım'!$D25,'Gider Miktar'!$F:$F,1004)</f>
        <v>4.4927152317880896</v>
      </c>
      <c r="AM25" s="9">
        <f>+SUMIFS('Gider Miktar'!AV:AV,'Gider Miktar'!$B:$B,'Emanet Miktar Dağılım'!$D25,'Gider Miktar'!$F:$F,1001)+SUMIFS('Gider Miktar'!AV:AV,'Gider Miktar'!$B:$B,'Emanet Miktar Dağılım'!$D25,'Gider Miktar'!$F:$F,1002)+SUMIFS('Gider Miktar'!AV:AV,'Gider Miktar'!$B:$B,'Emanet Miktar Dağılım'!$D25,'Gider Miktar'!$F:$F,1003)+SUMIFS('Gider Miktar'!AV:AV,'Gider Miktar'!$B:$B,'Emanet Miktar Dağılım'!$D25,'Gider Miktar'!$F:$F,1004)</f>
        <v>4.4927152317880896</v>
      </c>
      <c r="AN25" s="9">
        <f>+SUMIFS('Gider Miktar'!AW:AW,'Gider Miktar'!$B:$B,'Emanet Miktar Dağılım'!$D25,'Gider Miktar'!$F:$F,1001)+SUMIFS('Gider Miktar'!AW:AW,'Gider Miktar'!$B:$B,'Emanet Miktar Dağılım'!$D25,'Gider Miktar'!$F:$F,1002)+SUMIFS('Gider Miktar'!AW:AW,'Gider Miktar'!$B:$B,'Emanet Miktar Dağılım'!$D25,'Gider Miktar'!$F:$F,1003)+SUMIFS('Gider Miktar'!AW:AW,'Gider Miktar'!$B:$B,'Emanet Miktar Dağılım'!$D25,'Gider Miktar'!$F:$F,1004)</f>
        <v>4.4927152317880896</v>
      </c>
      <c r="AO25" s="9">
        <f>+SUMIFS('Gider Miktar'!AX:AX,'Gider Miktar'!$B:$B,'Emanet Miktar Dağılım'!$D25,'Gider Miktar'!$F:$F,1001)+SUMIFS('Gider Miktar'!AX:AX,'Gider Miktar'!$B:$B,'Emanet Miktar Dağılım'!$D25,'Gider Miktar'!$F:$F,1002)+SUMIFS('Gider Miktar'!AX:AX,'Gider Miktar'!$B:$B,'Emanet Miktar Dağılım'!$D25,'Gider Miktar'!$F:$F,1003)+SUMIFS('Gider Miktar'!AX:AX,'Gider Miktar'!$B:$B,'Emanet Miktar Dağılım'!$D25,'Gider Miktar'!$F:$F,1004)</f>
        <v>4.4927152317880896</v>
      </c>
      <c r="AP25" s="9">
        <f>+SUMIFS('Gider Miktar'!AY:AY,'Gider Miktar'!$B:$B,'Emanet Miktar Dağılım'!$D25,'Gider Miktar'!$F:$F,1001)+SUMIFS('Gider Miktar'!AY:AY,'Gider Miktar'!$B:$B,'Emanet Miktar Dağılım'!$D25,'Gider Miktar'!$F:$F,1002)+SUMIFS('Gider Miktar'!AY:AY,'Gider Miktar'!$B:$B,'Emanet Miktar Dağılım'!$D25,'Gider Miktar'!$F:$F,1003)+SUMIFS('Gider Miktar'!AY:AY,'Gider Miktar'!$B:$B,'Emanet Miktar Dağılım'!$D25,'Gider Miktar'!$F:$F,1004)</f>
        <v>2.9015452538631261</v>
      </c>
      <c r="AQ25" s="9">
        <f>+SUMIFS('Gider Miktar'!AZ:AZ,'Gider Miktar'!$B:$B,'Emanet Miktar Dağılım'!$D25,'Gider Miktar'!$F:$F,1001)+SUMIFS('Gider Miktar'!AZ:AZ,'Gider Miktar'!$B:$B,'Emanet Miktar Dağılım'!$D25,'Gider Miktar'!$F:$F,1002)+SUMIFS('Gider Miktar'!AZ:AZ,'Gider Miktar'!$B:$B,'Emanet Miktar Dağılım'!$D25,'Gider Miktar'!$F:$F,1003)+SUMIFS('Gider Miktar'!AZ:AZ,'Gider Miktar'!$B:$B,'Emanet Miktar Dağılım'!$D25,'Gider Miktar'!$F:$F,1004)</f>
        <v>0</v>
      </c>
      <c r="AR25" s="9">
        <f>+SUMIFS('Gider Miktar'!BA:BA,'Gider Miktar'!$B:$B,'Emanet Miktar Dağılım'!$D25,'Gider Miktar'!$F:$F,1001)+SUMIFS('Gider Miktar'!BA:BA,'Gider Miktar'!$B:$B,'Emanet Miktar Dağılım'!$D25,'Gider Miktar'!$F:$F,1002)+SUMIFS('Gider Miktar'!BA:BA,'Gider Miktar'!$B:$B,'Emanet Miktar Dağılım'!$D25,'Gider Miktar'!$F:$F,1003)+SUMIFS('Gider Miktar'!BA:BA,'Gider Miktar'!$B:$B,'Emanet Miktar Dağılım'!$D25,'Gider Miktar'!$F:$F,1004)</f>
        <v>0</v>
      </c>
      <c r="AS25" s="9">
        <f>+SUMIFS('Gider Miktar'!BB:BB,'Gider Miktar'!$B:$B,'Emanet Miktar Dağılım'!$D25,'Gider Miktar'!$F:$F,1001)+SUMIFS('Gider Miktar'!BB:BB,'Gider Miktar'!$B:$B,'Emanet Miktar Dağılım'!$D25,'Gider Miktar'!$F:$F,1002)+SUMIFS('Gider Miktar'!BB:BB,'Gider Miktar'!$B:$B,'Emanet Miktar Dağılım'!$D25,'Gider Miktar'!$F:$F,1003)+SUMIFS('Gider Miktar'!BB:BB,'Gider Miktar'!$B:$B,'Emanet Miktar Dağılım'!$D25,'Gider Miktar'!$F:$F,1004)</f>
        <v>0</v>
      </c>
      <c r="AT25" s="9">
        <f>+SUMIFS('Gider Miktar'!BC:BC,'Gider Miktar'!$B:$B,'Emanet Miktar Dağılım'!$D25,'Gider Miktar'!$F:$F,1001)+SUMIFS('Gider Miktar'!BC:BC,'Gider Miktar'!$B:$B,'Emanet Miktar Dağılım'!$D25,'Gider Miktar'!$F:$F,1002)+SUMIFS('Gider Miktar'!BC:BC,'Gider Miktar'!$B:$B,'Emanet Miktar Dağılım'!$D25,'Gider Miktar'!$F:$F,1003)+SUMIFS('Gider Miktar'!BC:BC,'Gider Miktar'!$B:$B,'Emanet Miktar Dağılım'!$D25,'Gider Miktar'!$F:$F,1004)</f>
        <v>0</v>
      </c>
      <c r="AU25" s="9">
        <f>+SUMIFS('Gider Miktar'!BD:BD,'Gider Miktar'!$B:$B,'Emanet Miktar Dağılım'!$D25,'Gider Miktar'!$F:$F,1001)+SUMIFS('Gider Miktar'!BD:BD,'Gider Miktar'!$B:$B,'Emanet Miktar Dağılım'!$D25,'Gider Miktar'!$F:$F,1002)+SUMIFS('Gider Miktar'!BD:BD,'Gider Miktar'!$B:$B,'Emanet Miktar Dağılım'!$D25,'Gider Miktar'!$F:$F,1003)+SUMIFS('Gider Miktar'!BD:BD,'Gider Miktar'!$B:$B,'Emanet Miktar Dağılım'!$D25,'Gider Miktar'!$F:$F,1004)</f>
        <v>0</v>
      </c>
      <c r="AV25" s="9">
        <f>+SUMIFS('Gider Miktar'!BE:BE,'Gider Miktar'!$B:$B,'Emanet Miktar Dağılım'!$D25,'Gider Miktar'!$F:$F,1001)+SUMIFS('Gider Miktar'!BE:BE,'Gider Miktar'!$B:$B,'Emanet Miktar Dağılım'!$D25,'Gider Miktar'!$F:$F,1002)+SUMIFS('Gider Miktar'!BE:BE,'Gider Miktar'!$B:$B,'Emanet Miktar Dağılım'!$D25,'Gider Miktar'!$F:$F,1003)+SUMIFS('Gider Miktar'!BE:BE,'Gider Miktar'!$B:$B,'Emanet Miktar Dağılım'!$D25,'Gider Miktar'!$F:$F,1004)</f>
        <v>0</v>
      </c>
      <c r="AW25" s="9">
        <f>+SUMIFS('Gider Miktar'!BF:BF,'Gider Miktar'!$B:$B,'Emanet Miktar Dağılım'!$D25,'Gider Miktar'!$F:$F,1001)+SUMIFS('Gider Miktar'!BF:BF,'Gider Miktar'!$B:$B,'Emanet Miktar Dağılım'!$D25,'Gider Miktar'!$F:$F,1002)+SUMIFS('Gider Miktar'!BF:BF,'Gider Miktar'!$B:$B,'Emanet Miktar Dağılım'!$D25,'Gider Miktar'!$F:$F,1003)+SUMIFS('Gider Miktar'!BF:BF,'Gider Miktar'!$B:$B,'Emanet Miktar Dağılım'!$D25,'Gider Miktar'!$F:$F,1004)</f>
        <v>0</v>
      </c>
      <c r="AX25" s="9">
        <f>+SUMIFS('Gider Miktar'!BG:BG,'Gider Miktar'!$B:$B,'Emanet Miktar Dağılım'!$D25,'Gider Miktar'!$F:$F,1001)+SUMIFS('Gider Miktar'!BG:BG,'Gider Miktar'!$B:$B,'Emanet Miktar Dağılım'!$D25,'Gider Miktar'!$F:$F,1002)+SUMIFS('Gider Miktar'!BG:BG,'Gider Miktar'!$B:$B,'Emanet Miktar Dağılım'!$D25,'Gider Miktar'!$F:$F,1003)+SUMIFS('Gider Miktar'!BG:BG,'Gider Miktar'!$B:$B,'Emanet Miktar Dağılım'!$D25,'Gider Miktar'!$F:$F,1004)</f>
        <v>0</v>
      </c>
      <c r="AY25" s="9">
        <f>+SUMIFS('Gider Miktar'!BH:BH,'Gider Miktar'!$B:$B,'Emanet Miktar Dağılım'!$D25,'Gider Miktar'!$F:$F,1001)+SUMIFS('Gider Miktar'!BH:BH,'Gider Miktar'!$B:$B,'Emanet Miktar Dağılım'!$D25,'Gider Miktar'!$F:$F,1002)+SUMIFS('Gider Miktar'!BH:BH,'Gider Miktar'!$B:$B,'Emanet Miktar Dağılım'!$D25,'Gider Miktar'!$F:$F,1003)+SUMIFS('Gider Miktar'!BH:BH,'Gider Miktar'!$B:$B,'Emanet Miktar Dağılım'!$D25,'Gider Miktar'!$F:$F,1004)</f>
        <v>0</v>
      </c>
      <c r="AZ25" s="9">
        <f>+SUMIFS('Gider Miktar'!BI:BI,'Gider Miktar'!$B:$B,'Emanet Miktar Dağılım'!$D25,'Gider Miktar'!$F:$F,1001)+SUMIFS('Gider Miktar'!BI:BI,'Gider Miktar'!$B:$B,'Emanet Miktar Dağılım'!$D25,'Gider Miktar'!$F:$F,1002)+SUMIFS('Gider Miktar'!BI:BI,'Gider Miktar'!$B:$B,'Emanet Miktar Dağılım'!$D25,'Gider Miktar'!$F:$F,1003)+SUMIFS('Gider Miktar'!BI:BI,'Gider Miktar'!$B:$B,'Emanet Miktar Dağılım'!$D25,'Gider Miktar'!$F:$F,1004)</f>
        <v>0</v>
      </c>
      <c r="BA25" s="9">
        <f>+SUMIFS('Gider Miktar'!BJ:BJ,'Gider Miktar'!$B:$B,'Emanet Miktar Dağılım'!$D25,'Gider Miktar'!$F:$F,1001)+SUMIFS('Gider Miktar'!BJ:BJ,'Gider Miktar'!$B:$B,'Emanet Miktar Dağılım'!$D25,'Gider Miktar'!$F:$F,1002)+SUMIFS('Gider Miktar'!BJ:BJ,'Gider Miktar'!$B:$B,'Emanet Miktar Dağılım'!$D25,'Gider Miktar'!$F:$F,1003)+SUMIFS('Gider Miktar'!BJ:BJ,'Gider Miktar'!$B:$B,'Emanet Miktar Dağılım'!$D25,'Gider Miktar'!$F:$F,1004)</f>
        <v>0</v>
      </c>
      <c r="BB25" s="9">
        <f>+SUMIFS('Gider Miktar'!BK:BK,'Gider Miktar'!$B:$B,'Emanet Miktar Dağılım'!$D25,'Gider Miktar'!$F:$F,1001)+SUMIFS('Gider Miktar'!BK:BK,'Gider Miktar'!$B:$B,'Emanet Miktar Dağılım'!$D25,'Gider Miktar'!$F:$F,1002)+SUMIFS('Gider Miktar'!BK:BK,'Gider Miktar'!$B:$B,'Emanet Miktar Dağılım'!$D25,'Gider Miktar'!$F:$F,1003)+SUMIFS('Gider Miktar'!BK:BK,'Gider Miktar'!$B:$B,'Emanet Miktar Dağılım'!$D25,'Gider Miktar'!$F:$F,1004)</f>
        <v>0</v>
      </c>
      <c r="BC25" s="9">
        <f>+SUMIFS('Gider Miktar'!BL:BL,'Gider Miktar'!$B:$B,'Emanet Miktar Dağılım'!$D25,'Gider Miktar'!$F:$F,1001)+SUMIFS('Gider Miktar'!BL:BL,'Gider Miktar'!$B:$B,'Emanet Miktar Dağılım'!$D25,'Gider Miktar'!$F:$F,1002)+SUMIFS('Gider Miktar'!BL:BL,'Gider Miktar'!$B:$B,'Emanet Miktar Dağılım'!$D25,'Gider Miktar'!$F:$F,1003)+SUMIFS('Gider Miktar'!BL:BL,'Gider Miktar'!$B:$B,'Emanet Miktar Dağılım'!$D25,'Gider Miktar'!$F:$F,1004)</f>
        <v>0</v>
      </c>
      <c r="BD25" s="9">
        <f>+SUMIFS('Gider Miktar'!BM:BM,'Gider Miktar'!$B:$B,'Emanet Miktar Dağılım'!$D25,'Gider Miktar'!$F:$F,1001)+SUMIFS('Gider Miktar'!BM:BM,'Gider Miktar'!$B:$B,'Emanet Miktar Dağılım'!$D25,'Gider Miktar'!$F:$F,1002)+SUMIFS('Gider Miktar'!BM:BM,'Gider Miktar'!$B:$B,'Emanet Miktar Dağılım'!$D25,'Gider Miktar'!$F:$F,1003)+SUMIFS('Gider Miktar'!BM:BM,'Gider Miktar'!$B:$B,'Emanet Miktar Dağılım'!$D25,'Gider Miktar'!$F:$F,1004)</f>
        <v>0</v>
      </c>
      <c r="BE25" s="9">
        <f>+SUMIFS('Gider Miktar'!BN:BN,'Gider Miktar'!$B:$B,'Emanet Miktar Dağılım'!$D25,'Gider Miktar'!$F:$F,1001)+SUMIFS('Gider Miktar'!BN:BN,'Gider Miktar'!$B:$B,'Emanet Miktar Dağılım'!$D25,'Gider Miktar'!$F:$F,1002)+SUMIFS('Gider Miktar'!BN:BN,'Gider Miktar'!$B:$B,'Emanet Miktar Dağılım'!$D25,'Gider Miktar'!$F:$F,1003)+SUMIFS('Gider Miktar'!BN:BN,'Gider Miktar'!$B:$B,'Emanet Miktar Dağılım'!$D25,'Gider Miktar'!$F:$F,1004)</f>
        <v>0</v>
      </c>
      <c r="BF25" s="9">
        <f>+SUMIFS('Gider Miktar'!BO:BO,'Gider Miktar'!$B:$B,'Emanet Miktar Dağılım'!$D25,'Gider Miktar'!$F:$F,1001)+SUMIFS('Gider Miktar'!BO:BO,'Gider Miktar'!$B:$B,'Emanet Miktar Dağılım'!$D25,'Gider Miktar'!$F:$F,1002)+SUMIFS('Gider Miktar'!BO:BO,'Gider Miktar'!$B:$B,'Emanet Miktar Dağılım'!$D25,'Gider Miktar'!$F:$F,1003)+SUMIFS('Gider Miktar'!BO:BO,'Gider Miktar'!$B:$B,'Emanet Miktar Dağılım'!$D25,'Gider Miktar'!$F:$F,1004)</f>
        <v>0</v>
      </c>
      <c r="BG25" s="9">
        <f>+SUMIFS('Gider Miktar'!BP:BP,'Gider Miktar'!$B:$B,'Emanet Miktar Dağılım'!$D25,'Gider Miktar'!$F:$F,1001)+SUMIFS('Gider Miktar'!BP:BP,'Gider Miktar'!$B:$B,'Emanet Miktar Dağılım'!$D25,'Gider Miktar'!$F:$F,1002)+SUMIFS('Gider Miktar'!BP:BP,'Gider Miktar'!$B:$B,'Emanet Miktar Dağılım'!$D25,'Gider Miktar'!$F:$F,1003)+SUMIFS('Gider Miktar'!BP:BP,'Gider Miktar'!$B:$B,'Emanet Miktar Dağılım'!$D25,'Gider Miktar'!$F:$F,1004)</f>
        <v>0</v>
      </c>
      <c r="BH25" s="9">
        <f>+SUMIFS('Gider Miktar'!BQ:BQ,'Gider Miktar'!$B:$B,'Emanet Miktar Dağılım'!$D25,'Gider Miktar'!$F:$F,1001)+SUMIFS('Gider Miktar'!BQ:BQ,'Gider Miktar'!$B:$B,'Emanet Miktar Dağılım'!$D25,'Gider Miktar'!$F:$F,1002)+SUMIFS('Gider Miktar'!BQ:BQ,'Gider Miktar'!$B:$B,'Emanet Miktar Dağılım'!$D25,'Gider Miktar'!$F:$F,1003)+SUMIFS('Gider Miktar'!BQ:BQ,'Gider Miktar'!$B:$B,'Emanet Miktar Dağılım'!$D25,'Gider Miktar'!$F:$F,1004)</f>
        <v>0</v>
      </c>
      <c r="BI25" s="9">
        <f>+SUMIFS('Gider Miktar'!BR:BR,'Gider Miktar'!$B:$B,'Emanet Miktar Dağılım'!$D25,'Gider Miktar'!$F:$F,1001)+SUMIFS('Gider Miktar'!BR:BR,'Gider Miktar'!$B:$B,'Emanet Miktar Dağılım'!$D25,'Gider Miktar'!$F:$F,1002)+SUMIFS('Gider Miktar'!BR:BR,'Gider Miktar'!$B:$B,'Emanet Miktar Dağılım'!$D25,'Gider Miktar'!$F:$F,1003)+SUMIFS('Gider Miktar'!BR:BR,'Gider Miktar'!$B:$B,'Emanet Miktar Dağılım'!$D25,'Gider Miktar'!$F:$F,1004)</f>
        <v>0</v>
      </c>
      <c r="BJ25" s="9">
        <f>+SUMIFS('Gider Miktar'!BS:BS,'Gider Miktar'!$B:$B,'Emanet Miktar Dağılım'!$D25,'Gider Miktar'!$F:$F,1001)+SUMIFS('Gider Miktar'!BS:BS,'Gider Miktar'!$B:$B,'Emanet Miktar Dağılım'!$D25,'Gider Miktar'!$F:$F,1002)+SUMIFS('Gider Miktar'!BS:BS,'Gider Miktar'!$B:$B,'Emanet Miktar Dağılım'!$D25,'Gider Miktar'!$F:$F,1003)+SUMIFS('Gider Miktar'!BS:BS,'Gider Miktar'!$B:$B,'Emanet Miktar Dağılım'!$D25,'Gider Miktar'!$F:$F,1004)</f>
        <v>0</v>
      </c>
      <c r="BK25" s="9">
        <f>+SUMIFS('Gider Miktar'!BT:BT,'Gider Miktar'!$B:$B,'Emanet Miktar Dağılım'!$D25,'Gider Miktar'!$F:$F,1001)+SUMIFS('Gider Miktar'!BT:BT,'Gider Miktar'!$B:$B,'Emanet Miktar Dağılım'!$D25,'Gider Miktar'!$F:$F,1002)+SUMIFS('Gider Miktar'!BT:BT,'Gider Miktar'!$B:$B,'Emanet Miktar Dağılım'!$D25,'Gider Miktar'!$F:$F,1003)+SUMIFS('Gider Miktar'!BT:BT,'Gider Miktar'!$B:$B,'Emanet Miktar Dağılım'!$D25,'Gider Miktar'!$F:$F,1004)</f>
        <v>0</v>
      </c>
      <c r="BL25" s="9">
        <f>+SUMIFS('Gider Miktar'!BU:BU,'Gider Miktar'!$B:$B,'Emanet Miktar Dağılım'!$D25,'Gider Miktar'!$F:$F,1001)+SUMIFS('Gider Miktar'!BU:BU,'Gider Miktar'!$B:$B,'Emanet Miktar Dağılım'!$D25,'Gider Miktar'!$F:$F,1002)+SUMIFS('Gider Miktar'!BU:BU,'Gider Miktar'!$B:$B,'Emanet Miktar Dağılım'!$D25,'Gider Miktar'!$F:$F,1003)+SUMIFS('Gider Miktar'!BU:BU,'Gider Miktar'!$B:$B,'Emanet Miktar Dağılım'!$D25,'Gider Miktar'!$F:$F,1004)</f>
        <v>0</v>
      </c>
      <c r="BM25" s="9">
        <f>+SUMIFS('Gider Miktar'!BV:BV,'Gider Miktar'!$B:$B,'Emanet Miktar Dağılım'!$D25,'Gider Miktar'!$F:$F,1001)+SUMIFS('Gider Miktar'!BV:BV,'Gider Miktar'!$B:$B,'Emanet Miktar Dağılım'!$D25,'Gider Miktar'!$F:$F,1002)+SUMIFS('Gider Miktar'!BV:BV,'Gider Miktar'!$B:$B,'Emanet Miktar Dağılım'!$D25,'Gider Miktar'!$F:$F,1003)+SUMIFS('Gider Miktar'!BV:BV,'Gider Miktar'!$B:$B,'Emanet Miktar Dağılım'!$D25,'Gider Miktar'!$F:$F,1004)</f>
        <v>0</v>
      </c>
      <c r="BN25" s="9">
        <f>+SUMIFS('Gider Miktar'!BW:BW,'Gider Miktar'!$B:$B,'Emanet Miktar Dağılım'!$D25,'Gider Miktar'!$F:$F,1001)+SUMIFS('Gider Miktar'!BW:BW,'Gider Miktar'!$B:$B,'Emanet Miktar Dağılım'!$D25,'Gider Miktar'!$F:$F,1002)+SUMIFS('Gider Miktar'!BW:BW,'Gider Miktar'!$B:$B,'Emanet Miktar Dağılım'!$D25,'Gider Miktar'!$F:$F,1003)+SUMIFS('Gider Miktar'!BW:BW,'Gider Miktar'!$B:$B,'Emanet Miktar Dağılım'!$D25,'Gider Miktar'!$F:$F,1004)</f>
        <v>0</v>
      </c>
      <c r="BO25" s="9">
        <f>+SUMIFS('Gider Miktar'!BX:BX,'Gider Miktar'!$B:$B,'Emanet Miktar Dağılım'!$D25,'Gider Miktar'!$F:$F,1001)+SUMIFS('Gider Miktar'!BX:BX,'Gider Miktar'!$B:$B,'Emanet Miktar Dağılım'!$D25,'Gider Miktar'!$F:$F,1002)+SUMIFS('Gider Miktar'!BX:BX,'Gider Miktar'!$B:$B,'Emanet Miktar Dağılım'!$D25,'Gider Miktar'!$F:$F,1003)+SUMIFS('Gider Miktar'!BX:BX,'Gider Miktar'!$B:$B,'Emanet Miktar Dağılım'!$D25,'Gider Miktar'!$F:$F,1004)</f>
        <v>0</v>
      </c>
    </row>
    <row r="26" spans="2:67">
      <c r="D26" t="s">
        <v>28</v>
      </c>
      <c r="E26" s="9">
        <f>+SUMIFS('Gider Miktar'!N:N,'Gider Miktar'!$B:$B,'Emanet Miktar Dağılım'!$D26,'Gider Miktar'!$F:$F,1001)+SUMIFS('Gider Miktar'!N:N,'Gider Miktar'!$B:$B,'Emanet Miktar Dağılım'!$D26,'Gider Miktar'!$F:$F,1002)+SUMIFS('Gider Miktar'!N:N,'Gider Miktar'!$B:$B,'Emanet Miktar Dağılım'!$D26,'Gider Miktar'!$F:$F,1003)+SUMIFS('Gider Miktar'!N:N,'Gider Miktar'!$B:$B,'Emanet Miktar Dağılım'!$D26,'Gider Miktar'!$F:$F,1004)</f>
        <v>0</v>
      </c>
      <c r="F26" s="9">
        <f>+SUMIFS('Gider Miktar'!O:O,'Gider Miktar'!$B:$B,'Emanet Miktar Dağılım'!$D26,'Gider Miktar'!$F:$F,1001)+SUMIFS('Gider Miktar'!O:O,'Gider Miktar'!$B:$B,'Emanet Miktar Dağılım'!$D26,'Gider Miktar'!$F:$F,1002)+SUMIFS('Gider Miktar'!O:O,'Gider Miktar'!$B:$B,'Emanet Miktar Dağılım'!$D26,'Gider Miktar'!$F:$F,1003)+SUMIFS('Gider Miktar'!O:O,'Gider Miktar'!$B:$B,'Emanet Miktar Dağılım'!$D26,'Gider Miktar'!$F:$F,1004)</f>
        <v>0</v>
      </c>
      <c r="G26" s="9">
        <f>+SUMIFS('Gider Miktar'!P:P,'Gider Miktar'!$B:$B,'Emanet Miktar Dağılım'!$D26,'Gider Miktar'!$F:$F,1001)+SUMIFS('Gider Miktar'!P:P,'Gider Miktar'!$B:$B,'Emanet Miktar Dağılım'!$D26,'Gider Miktar'!$F:$F,1002)+SUMIFS('Gider Miktar'!P:P,'Gider Miktar'!$B:$B,'Emanet Miktar Dağılım'!$D26,'Gider Miktar'!$F:$F,1003)+SUMIFS('Gider Miktar'!P:P,'Gider Miktar'!$B:$B,'Emanet Miktar Dağılım'!$D26,'Gider Miktar'!$F:$F,1004)</f>
        <v>0</v>
      </c>
      <c r="H26" s="9">
        <f>+SUMIFS('Gider Miktar'!Q:Q,'Gider Miktar'!$B:$B,'Emanet Miktar Dağılım'!$D26,'Gider Miktar'!$F:$F,1001)+SUMIFS('Gider Miktar'!Q:Q,'Gider Miktar'!$B:$B,'Emanet Miktar Dağılım'!$D26,'Gider Miktar'!$F:$F,1002)+SUMIFS('Gider Miktar'!Q:Q,'Gider Miktar'!$B:$B,'Emanet Miktar Dağılım'!$D26,'Gider Miktar'!$F:$F,1003)+SUMIFS('Gider Miktar'!Q:Q,'Gider Miktar'!$B:$B,'Emanet Miktar Dağılım'!$D26,'Gider Miktar'!$F:$F,1004)</f>
        <v>0</v>
      </c>
      <c r="I26" s="9">
        <f>+SUMIFS('Gider Miktar'!R:R,'Gider Miktar'!$B:$B,'Emanet Miktar Dağılım'!$D26,'Gider Miktar'!$F:$F,1001)+SUMIFS('Gider Miktar'!R:R,'Gider Miktar'!$B:$B,'Emanet Miktar Dağılım'!$D26,'Gider Miktar'!$F:$F,1002)+SUMIFS('Gider Miktar'!R:R,'Gider Miktar'!$B:$B,'Emanet Miktar Dağılım'!$D26,'Gider Miktar'!$F:$F,1003)+SUMIFS('Gider Miktar'!R:R,'Gider Miktar'!$B:$B,'Emanet Miktar Dağılım'!$D26,'Gider Miktar'!$F:$F,1004)</f>
        <v>0</v>
      </c>
      <c r="J26" s="9">
        <f>+SUMIFS('Gider Miktar'!S:S,'Gider Miktar'!$B:$B,'Emanet Miktar Dağılım'!$D26,'Gider Miktar'!$F:$F,1001)+SUMIFS('Gider Miktar'!S:S,'Gider Miktar'!$B:$B,'Emanet Miktar Dağılım'!$D26,'Gider Miktar'!$F:$F,1002)+SUMIFS('Gider Miktar'!S:S,'Gider Miktar'!$B:$B,'Emanet Miktar Dağılım'!$D26,'Gider Miktar'!$F:$F,1003)+SUMIFS('Gider Miktar'!S:S,'Gider Miktar'!$B:$B,'Emanet Miktar Dağılım'!$D26,'Gider Miktar'!$F:$F,1004)</f>
        <v>0</v>
      </c>
      <c r="K26" s="9">
        <f>+SUMIFS('Gider Miktar'!T:T,'Gider Miktar'!$B:$B,'Emanet Miktar Dağılım'!$D26,'Gider Miktar'!$F:$F,1001)+SUMIFS('Gider Miktar'!T:T,'Gider Miktar'!$B:$B,'Emanet Miktar Dağılım'!$D26,'Gider Miktar'!$F:$F,1002)+SUMIFS('Gider Miktar'!T:T,'Gider Miktar'!$B:$B,'Emanet Miktar Dağılım'!$D26,'Gider Miktar'!$F:$F,1003)+SUMIFS('Gider Miktar'!T:T,'Gider Miktar'!$B:$B,'Emanet Miktar Dağılım'!$D26,'Gider Miktar'!$F:$F,1004)</f>
        <v>0</v>
      </c>
      <c r="L26" s="9">
        <f>+SUMIFS('Gider Miktar'!U:U,'Gider Miktar'!$B:$B,'Emanet Miktar Dağılım'!$D26,'Gider Miktar'!$F:$F,1001)+SUMIFS('Gider Miktar'!U:U,'Gider Miktar'!$B:$B,'Emanet Miktar Dağılım'!$D26,'Gider Miktar'!$F:$F,1002)+SUMIFS('Gider Miktar'!U:U,'Gider Miktar'!$B:$B,'Emanet Miktar Dağılım'!$D26,'Gider Miktar'!$F:$F,1003)+SUMIFS('Gider Miktar'!U:U,'Gider Miktar'!$B:$B,'Emanet Miktar Dağılım'!$D26,'Gider Miktar'!$F:$F,1004)</f>
        <v>0</v>
      </c>
      <c r="M26" s="9">
        <f>+SUMIFS('Gider Miktar'!V:V,'Gider Miktar'!$B:$B,'Emanet Miktar Dağılım'!$D26,'Gider Miktar'!$F:$F,1001)+SUMIFS('Gider Miktar'!V:V,'Gider Miktar'!$B:$B,'Emanet Miktar Dağılım'!$D26,'Gider Miktar'!$F:$F,1002)+SUMIFS('Gider Miktar'!V:V,'Gider Miktar'!$B:$B,'Emanet Miktar Dağılım'!$D26,'Gider Miktar'!$F:$F,1003)+SUMIFS('Gider Miktar'!V:V,'Gider Miktar'!$B:$B,'Emanet Miktar Dağılım'!$D26,'Gider Miktar'!$F:$F,1004)</f>
        <v>0</v>
      </c>
      <c r="N26" s="11">
        <f>+SUMIFS('Gider Miktar'!W:W,'Gider Miktar'!$B:$B,'Emanet Miktar Dağılım'!$D26,'Gider Miktar'!$F:$F,1001)+SUMIFS('Gider Miktar'!W:W,'Gider Miktar'!$B:$B,'Emanet Miktar Dağılım'!$D26,'Gider Miktar'!$F:$F,1002)+SUMIFS('Gider Miktar'!W:W,'Gider Miktar'!$B:$B,'Emanet Miktar Dağılım'!$D26,'Gider Miktar'!$F:$F,1003)+SUMIFS('Gider Miktar'!W:W,'Gider Miktar'!$B:$B,'Emanet Miktar Dağılım'!$D26,'Gider Miktar'!$F:$F,1004)</f>
        <v>0</v>
      </c>
      <c r="O26" s="9">
        <f>+SUMIFS('Gider Miktar'!X:X,'Gider Miktar'!$B:$B,'Emanet Miktar Dağılım'!$D26,'Gider Miktar'!$F:$F,1001)+SUMIFS('Gider Miktar'!X:X,'Gider Miktar'!$B:$B,'Emanet Miktar Dağılım'!$D26,'Gider Miktar'!$F:$F,1002)+SUMIFS('Gider Miktar'!X:X,'Gider Miktar'!$B:$B,'Emanet Miktar Dağılım'!$D26,'Gider Miktar'!$F:$F,1003)+SUMIFS('Gider Miktar'!X:X,'Gider Miktar'!$B:$B,'Emanet Miktar Dağılım'!$D26,'Gider Miktar'!$F:$F,1004)</f>
        <v>228.37074544396651</v>
      </c>
      <c r="P26" s="9">
        <f>+SUMIFS('Gider Miktar'!Y:Y,'Gider Miktar'!$B:$B,'Emanet Miktar Dağılım'!$D26,'Gider Miktar'!$F:$F,1001)+SUMIFS('Gider Miktar'!Y:Y,'Gider Miktar'!$B:$B,'Emanet Miktar Dağılım'!$D26,'Gider Miktar'!$F:$F,1002)+SUMIFS('Gider Miktar'!Y:Y,'Gider Miktar'!$B:$B,'Emanet Miktar Dağılım'!$D26,'Gider Miktar'!$F:$F,1003)+SUMIFS('Gider Miktar'!Y:Y,'Gider Miktar'!$B:$B,'Emanet Miktar Dağılım'!$D26,'Gider Miktar'!$F:$F,1004)</f>
        <v>277.51735134871086</v>
      </c>
      <c r="Q26" s="9">
        <f>+SUMIFS('Gider Miktar'!Z:Z,'Gider Miktar'!$B:$B,'Emanet Miktar Dağılım'!$D26,'Gider Miktar'!$F:$F,1001)+SUMIFS('Gider Miktar'!Z:Z,'Gider Miktar'!$B:$B,'Emanet Miktar Dağılım'!$D26,'Gider Miktar'!$F:$F,1002)+SUMIFS('Gider Miktar'!Z:Z,'Gider Miktar'!$B:$B,'Emanet Miktar Dağılım'!$D26,'Gider Miktar'!$F:$F,1003)+SUMIFS('Gider Miktar'!Z:Z,'Gider Miktar'!$B:$B,'Emanet Miktar Dağılım'!$D26,'Gider Miktar'!$F:$F,1004)</f>
        <v>199.5167828161014</v>
      </c>
      <c r="R26" s="9">
        <f>+SUMIFS('Gider Miktar'!AA:AA,'Gider Miktar'!$B:$B,'Emanet Miktar Dağılım'!$D26,'Gider Miktar'!$F:$F,1001)+SUMIFS('Gider Miktar'!AA:AA,'Gider Miktar'!$B:$B,'Emanet Miktar Dağılım'!$D26,'Gider Miktar'!$F:$F,1002)+SUMIFS('Gider Miktar'!AA:AA,'Gider Miktar'!$B:$B,'Emanet Miktar Dağılım'!$D26,'Gider Miktar'!$F:$F,1003)+SUMIFS('Gider Miktar'!AA:AA,'Gider Miktar'!$B:$B,'Emanet Miktar Dağılım'!$D26,'Gider Miktar'!$F:$F,1004)</f>
        <v>164.88543623773495</v>
      </c>
      <c r="S26" s="9">
        <f>+SUMIFS('Gider Miktar'!AB:AB,'Gider Miktar'!$B:$B,'Emanet Miktar Dağılım'!$D26,'Gider Miktar'!$F:$F,1001)+SUMIFS('Gider Miktar'!AB:AB,'Gider Miktar'!$B:$B,'Emanet Miktar Dağılım'!$D26,'Gider Miktar'!$F:$F,1002)+SUMIFS('Gider Miktar'!AB:AB,'Gider Miktar'!$B:$B,'Emanet Miktar Dağılım'!$D26,'Gider Miktar'!$F:$F,1003)+SUMIFS('Gider Miktar'!AB:AB,'Gider Miktar'!$B:$B,'Emanet Miktar Dağılım'!$D26,'Gider Miktar'!$F:$F,1004)</f>
        <v>176.61581853149852</v>
      </c>
      <c r="T26" s="9">
        <f>+SUMIFS('Gider Miktar'!AC:AC,'Gider Miktar'!$B:$B,'Emanet Miktar Dağılım'!$D26,'Gider Miktar'!$F:$F,1001)+SUMIFS('Gider Miktar'!AC:AC,'Gider Miktar'!$B:$B,'Emanet Miktar Dağılım'!$D26,'Gider Miktar'!$F:$F,1002)+SUMIFS('Gider Miktar'!AC:AC,'Gider Miktar'!$B:$B,'Emanet Miktar Dağılım'!$D26,'Gider Miktar'!$F:$F,1003)+SUMIFS('Gider Miktar'!AC:AC,'Gider Miktar'!$B:$B,'Emanet Miktar Dağılım'!$D26,'Gider Miktar'!$F:$F,1004)</f>
        <v>145.69026521157843</v>
      </c>
      <c r="U26" s="9">
        <f>+SUMIFS('Gider Miktar'!AD:AD,'Gider Miktar'!$B:$B,'Emanet Miktar Dağılım'!$D26,'Gider Miktar'!$F:$F,1001)+SUMIFS('Gider Miktar'!AD:AD,'Gider Miktar'!$B:$B,'Emanet Miktar Dağılım'!$D26,'Gider Miktar'!$F:$F,1002)+SUMIFS('Gider Miktar'!AD:AD,'Gider Miktar'!$B:$B,'Emanet Miktar Dağılım'!$D26,'Gider Miktar'!$F:$F,1003)+SUMIFS('Gider Miktar'!AD:AD,'Gider Miktar'!$B:$B,'Emanet Miktar Dağılım'!$D26,'Gider Miktar'!$F:$F,1004)</f>
        <v>127.56149257576365</v>
      </c>
      <c r="V26" s="9">
        <f>+SUMIFS('Gider Miktar'!AE:AE,'Gider Miktar'!$B:$B,'Emanet Miktar Dağılım'!$D26,'Gider Miktar'!$F:$F,1001)+SUMIFS('Gider Miktar'!AE:AE,'Gider Miktar'!$B:$B,'Emanet Miktar Dağılım'!$D26,'Gider Miktar'!$F:$F,1002)+SUMIFS('Gider Miktar'!AE:AE,'Gider Miktar'!$B:$B,'Emanet Miktar Dağılım'!$D26,'Gider Miktar'!$F:$F,1003)+SUMIFS('Gider Miktar'!AE:AE,'Gider Miktar'!$B:$B,'Emanet Miktar Dağılım'!$D26,'Gider Miktar'!$F:$F,1004)</f>
        <v>127.56149257576365</v>
      </c>
      <c r="W26" s="9">
        <f>+SUMIFS('Gider Miktar'!AF:AF,'Gider Miktar'!$B:$B,'Emanet Miktar Dağılım'!$D26,'Gider Miktar'!$F:$F,1001)+SUMIFS('Gider Miktar'!AF:AF,'Gider Miktar'!$B:$B,'Emanet Miktar Dağılım'!$D26,'Gider Miktar'!$F:$F,1002)+SUMIFS('Gider Miktar'!AF:AF,'Gider Miktar'!$B:$B,'Emanet Miktar Dağılım'!$D26,'Gider Miktar'!$F:$F,1003)+SUMIFS('Gider Miktar'!AF:AF,'Gider Miktar'!$B:$B,'Emanet Miktar Dağılım'!$D26,'Gider Miktar'!$F:$F,1004)</f>
        <v>59.680173757778419</v>
      </c>
      <c r="X26" s="9">
        <f>+SUMIFS('Gider Miktar'!AG:AG,'Gider Miktar'!$B:$B,'Emanet Miktar Dağılım'!$D26,'Gider Miktar'!$F:$F,1001)+SUMIFS('Gider Miktar'!AG:AG,'Gider Miktar'!$B:$B,'Emanet Miktar Dağılım'!$D26,'Gider Miktar'!$F:$F,1002)+SUMIFS('Gider Miktar'!AG:AG,'Gider Miktar'!$B:$B,'Emanet Miktar Dağılım'!$D26,'Gider Miktar'!$F:$F,1003)+SUMIFS('Gider Miktar'!AG:AG,'Gider Miktar'!$B:$B,'Emanet Miktar Dağılım'!$D26,'Gider Miktar'!$F:$F,1004)</f>
        <v>41.183222958057364</v>
      </c>
      <c r="Y26" s="9">
        <f>+SUMIFS('Gider Miktar'!AH:AH,'Gider Miktar'!$B:$B,'Emanet Miktar Dağılım'!$D26,'Gider Miktar'!$F:$F,1001)+SUMIFS('Gider Miktar'!AH:AH,'Gider Miktar'!$B:$B,'Emanet Miktar Dağılım'!$D26,'Gider Miktar'!$F:$F,1002)+SUMIFS('Gider Miktar'!AH:AH,'Gider Miktar'!$B:$B,'Emanet Miktar Dağılım'!$D26,'Gider Miktar'!$F:$F,1003)+SUMIFS('Gider Miktar'!AH:AH,'Gider Miktar'!$B:$B,'Emanet Miktar Dağılım'!$D26,'Gider Miktar'!$F:$F,1004)</f>
        <v>30.887417218543025</v>
      </c>
      <c r="Z26" s="9">
        <f>+SUMIFS('Gider Miktar'!AI:AI,'Gider Miktar'!$B:$B,'Emanet Miktar Dağılım'!$D26,'Gider Miktar'!$F:$F,1001)+SUMIFS('Gider Miktar'!AI:AI,'Gider Miktar'!$B:$B,'Emanet Miktar Dağılım'!$D26,'Gider Miktar'!$F:$F,1002)+SUMIFS('Gider Miktar'!AI:AI,'Gider Miktar'!$B:$B,'Emanet Miktar Dağılım'!$D26,'Gider Miktar'!$F:$F,1003)+SUMIFS('Gider Miktar'!AI:AI,'Gider Miktar'!$B:$B,'Emanet Miktar Dağılım'!$D26,'Gider Miktar'!$F:$F,1004)</f>
        <v>41.183222958057364</v>
      </c>
      <c r="AA26" s="9">
        <f>+SUMIFS('Gider Miktar'!AJ:AJ,'Gider Miktar'!$B:$B,'Emanet Miktar Dağılım'!$D26,'Gider Miktar'!$F:$F,1001)+SUMIFS('Gider Miktar'!AJ:AJ,'Gider Miktar'!$B:$B,'Emanet Miktar Dağılım'!$D26,'Gider Miktar'!$F:$F,1002)+SUMIFS('Gider Miktar'!AJ:AJ,'Gider Miktar'!$B:$B,'Emanet Miktar Dağılım'!$D26,'Gider Miktar'!$F:$F,1003)+SUMIFS('Gider Miktar'!AJ:AJ,'Gider Miktar'!$B:$B,'Emanet Miktar Dağılım'!$D26,'Gider Miktar'!$F:$F,1004)</f>
        <v>41.183222958057364</v>
      </c>
      <c r="AB26" s="9">
        <f>+SUMIFS('Gider Miktar'!AK:AK,'Gider Miktar'!$B:$B,'Emanet Miktar Dağılım'!$D26,'Gider Miktar'!$F:$F,1001)+SUMIFS('Gider Miktar'!AK:AK,'Gider Miktar'!$B:$B,'Emanet Miktar Dağılım'!$D26,'Gider Miktar'!$F:$F,1002)+SUMIFS('Gider Miktar'!AK:AK,'Gider Miktar'!$B:$B,'Emanet Miktar Dağılım'!$D26,'Gider Miktar'!$F:$F,1003)+SUMIFS('Gider Miktar'!AK:AK,'Gider Miktar'!$B:$B,'Emanet Miktar Dağılım'!$D26,'Gider Miktar'!$F:$F,1004)</f>
        <v>41.183222958057364</v>
      </c>
      <c r="AC26" s="9">
        <f>+SUMIFS('Gider Miktar'!AL:AL,'Gider Miktar'!$B:$B,'Emanet Miktar Dağılım'!$D26,'Gider Miktar'!$F:$F,1001)+SUMIFS('Gider Miktar'!AL:AL,'Gider Miktar'!$B:$B,'Emanet Miktar Dağılım'!$D26,'Gider Miktar'!$F:$F,1002)+SUMIFS('Gider Miktar'!AL:AL,'Gider Miktar'!$B:$B,'Emanet Miktar Dağılım'!$D26,'Gider Miktar'!$F:$F,1003)+SUMIFS('Gider Miktar'!AL:AL,'Gider Miktar'!$B:$B,'Emanet Miktar Dağılım'!$D26,'Gider Miktar'!$F:$F,1004)</f>
        <v>41.183222958057364</v>
      </c>
      <c r="AD26" s="9">
        <f>+SUMIFS('Gider Miktar'!AM:AM,'Gider Miktar'!$B:$B,'Emanet Miktar Dağılım'!$D26,'Gider Miktar'!$F:$F,1001)+SUMIFS('Gider Miktar'!AM:AM,'Gider Miktar'!$B:$B,'Emanet Miktar Dağılım'!$D26,'Gider Miktar'!$F:$F,1002)+SUMIFS('Gider Miktar'!AM:AM,'Gider Miktar'!$B:$B,'Emanet Miktar Dağılım'!$D26,'Gider Miktar'!$F:$F,1003)+SUMIFS('Gider Miktar'!AM:AM,'Gider Miktar'!$B:$B,'Emanet Miktar Dağılım'!$D26,'Gider Miktar'!$F:$F,1004)</f>
        <v>41.183222958057364</v>
      </c>
      <c r="AE26" s="9">
        <f>+SUMIFS('Gider Miktar'!AN:AN,'Gider Miktar'!$B:$B,'Emanet Miktar Dağılım'!$D26,'Gider Miktar'!$F:$F,1001)+SUMIFS('Gider Miktar'!AN:AN,'Gider Miktar'!$B:$B,'Emanet Miktar Dağılım'!$D26,'Gider Miktar'!$F:$F,1002)+SUMIFS('Gider Miktar'!AN:AN,'Gider Miktar'!$B:$B,'Emanet Miktar Dağılım'!$D26,'Gider Miktar'!$F:$F,1003)+SUMIFS('Gider Miktar'!AN:AN,'Gider Miktar'!$B:$B,'Emanet Miktar Dağılım'!$D26,'Gider Miktar'!$F:$F,1004)</f>
        <v>41.183222958057364</v>
      </c>
      <c r="AF26" s="9">
        <f>+SUMIFS('Gider Miktar'!AO:AO,'Gider Miktar'!$B:$B,'Emanet Miktar Dağılım'!$D26,'Gider Miktar'!$F:$F,1001)+SUMIFS('Gider Miktar'!AO:AO,'Gider Miktar'!$B:$B,'Emanet Miktar Dağılım'!$D26,'Gider Miktar'!$F:$F,1002)+SUMIFS('Gider Miktar'!AO:AO,'Gider Miktar'!$B:$B,'Emanet Miktar Dağılım'!$D26,'Gider Miktar'!$F:$F,1003)+SUMIFS('Gider Miktar'!AO:AO,'Gider Miktar'!$B:$B,'Emanet Miktar Dağılım'!$D26,'Gider Miktar'!$F:$F,1004)</f>
        <v>41.183222958057364</v>
      </c>
      <c r="AG26" s="9">
        <f>+SUMIFS('Gider Miktar'!AP:AP,'Gider Miktar'!$B:$B,'Emanet Miktar Dağılım'!$D26,'Gider Miktar'!$F:$F,1001)+SUMIFS('Gider Miktar'!AP:AP,'Gider Miktar'!$B:$B,'Emanet Miktar Dağılım'!$D26,'Gider Miktar'!$F:$F,1002)+SUMIFS('Gider Miktar'!AP:AP,'Gider Miktar'!$B:$B,'Emanet Miktar Dağılım'!$D26,'Gider Miktar'!$F:$F,1003)+SUMIFS('Gider Miktar'!AP:AP,'Gider Miktar'!$B:$B,'Emanet Miktar Dağılım'!$D26,'Gider Miktar'!$F:$F,1004)</f>
        <v>41.183222958057364</v>
      </c>
      <c r="AH26" s="9">
        <f>+SUMIFS('Gider Miktar'!AQ:AQ,'Gider Miktar'!$B:$B,'Emanet Miktar Dağılım'!$D26,'Gider Miktar'!$F:$F,1001)+SUMIFS('Gider Miktar'!AQ:AQ,'Gider Miktar'!$B:$B,'Emanet Miktar Dağılım'!$D26,'Gider Miktar'!$F:$F,1002)+SUMIFS('Gider Miktar'!AQ:AQ,'Gider Miktar'!$B:$B,'Emanet Miktar Dağılım'!$D26,'Gider Miktar'!$F:$F,1003)+SUMIFS('Gider Miktar'!AQ:AQ,'Gider Miktar'!$B:$B,'Emanet Miktar Dağılım'!$D26,'Gider Miktar'!$F:$F,1004)</f>
        <v>30.887417218543025</v>
      </c>
      <c r="AI26" s="9">
        <f>+SUMIFS('Gider Miktar'!AR:AR,'Gider Miktar'!$B:$B,'Emanet Miktar Dağılım'!$D26,'Gider Miktar'!$F:$F,1001)+SUMIFS('Gider Miktar'!AR:AR,'Gider Miktar'!$B:$B,'Emanet Miktar Dağılım'!$D26,'Gider Miktar'!$F:$F,1002)+SUMIFS('Gider Miktar'!AR:AR,'Gider Miktar'!$B:$B,'Emanet Miktar Dağılım'!$D26,'Gider Miktar'!$F:$F,1003)+SUMIFS('Gider Miktar'!AR:AR,'Gider Miktar'!$B:$B,'Emanet Miktar Dağılım'!$D26,'Gider Miktar'!$F:$F,1004)</f>
        <v>36.503311258278117</v>
      </c>
      <c r="AJ26" s="9">
        <f>+SUMIFS('Gider Miktar'!AS:AS,'Gider Miktar'!$B:$B,'Emanet Miktar Dağılım'!$D26,'Gider Miktar'!$F:$F,1001)+SUMIFS('Gider Miktar'!AS:AS,'Gider Miktar'!$B:$B,'Emanet Miktar Dağılım'!$D26,'Gider Miktar'!$F:$F,1002)+SUMIFS('Gider Miktar'!AS:AS,'Gider Miktar'!$B:$B,'Emanet Miktar Dağılım'!$D26,'Gider Miktar'!$F:$F,1003)+SUMIFS('Gider Miktar'!AS:AS,'Gider Miktar'!$B:$B,'Emanet Miktar Dağılım'!$D26,'Gider Miktar'!$F:$F,1004)</f>
        <v>22.463576158940448</v>
      </c>
      <c r="AK26" s="9">
        <f>+SUMIFS('Gider Miktar'!AT:AT,'Gider Miktar'!$B:$B,'Emanet Miktar Dağılım'!$D26,'Gider Miktar'!$F:$F,1001)+SUMIFS('Gider Miktar'!AT:AT,'Gider Miktar'!$B:$B,'Emanet Miktar Dağılım'!$D26,'Gider Miktar'!$F:$F,1002)+SUMIFS('Gider Miktar'!AT:AT,'Gider Miktar'!$B:$B,'Emanet Miktar Dağılım'!$D26,'Gider Miktar'!$F:$F,1003)+SUMIFS('Gider Miktar'!AT:AT,'Gider Miktar'!$B:$B,'Emanet Miktar Dağılım'!$D26,'Gider Miktar'!$F:$F,1004)</f>
        <v>16.847682119205256</v>
      </c>
      <c r="AL26" s="9">
        <f>+SUMIFS('Gider Miktar'!AU:AU,'Gider Miktar'!$B:$B,'Emanet Miktar Dağılım'!$D26,'Gider Miktar'!$F:$F,1001)+SUMIFS('Gider Miktar'!AU:AU,'Gider Miktar'!$B:$B,'Emanet Miktar Dağılım'!$D26,'Gider Miktar'!$F:$F,1002)+SUMIFS('Gider Miktar'!AU:AU,'Gider Miktar'!$B:$B,'Emanet Miktar Dağılım'!$D26,'Gider Miktar'!$F:$F,1003)+SUMIFS('Gider Miktar'!AU:AU,'Gider Miktar'!$B:$B,'Emanet Miktar Dağılım'!$D26,'Gider Miktar'!$F:$F,1004)</f>
        <v>22.463576158940448</v>
      </c>
      <c r="AM26" s="9">
        <f>+SUMIFS('Gider Miktar'!AV:AV,'Gider Miktar'!$B:$B,'Emanet Miktar Dağılım'!$D26,'Gider Miktar'!$F:$F,1001)+SUMIFS('Gider Miktar'!AV:AV,'Gider Miktar'!$B:$B,'Emanet Miktar Dağılım'!$D26,'Gider Miktar'!$F:$F,1002)+SUMIFS('Gider Miktar'!AV:AV,'Gider Miktar'!$B:$B,'Emanet Miktar Dağılım'!$D26,'Gider Miktar'!$F:$F,1003)+SUMIFS('Gider Miktar'!AV:AV,'Gider Miktar'!$B:$B,'Emanet Miktar Dağılım'!$D26,'Gider Miktar'!$F:$F,1004)</f>
        <v>22.463576158940448</v>
      </c>
      <c r="AN26" s="9">
        <f>+SUMIFS('Gider Miktar'!AW:AW,'Gider Miktar'!$B:$B,'Emanet Miktar Dağılım'!$D26,'Gider Miktar'!$F:$F,1001)+SUMIFS('Gider Miktar'!AW:AW,'Gider Miktar'!$B:$B,'Emanet Miktar Dağılım'!$D26,'Gider Miktar'!$F:$F,1002)+SUMIFS('Gider Miktar'!AW:AW,'Gider Miktar'!$B:$B,'Emanet Miktar Dağılım'!$D26,'Gider Miktar'!$F:$F,1003)+SUMIFS('Gider Miktar'!AW:AW,'Gider Miktar'!$B:$B,'Emanet Miktar Dağılım'!$D26,'Gider Miktar'!$F:$F,1004)</f>
        <v>22.463576158940448</v>
      </c>
      <c r="AO26" s="9">
        <f>+SUMIFS('Gider Miktar'!AX:AX,'Gider Miktar'!$B:$B,'Emanet Miktar Dağılım'!$D26,'Gider Miktar'!$F:$F,1001)+SUMIFS('Gider Miktar'!AX:AX,'Gider Miktar'!$B:$B,'Emanet Miktar Dağılım'!$D26,'Gider Miktar'!$F:$F,1002)+SUMIFS('Gider Miktar'!AX:AX,'Gider Miktar'!$B:$B,'Emanet Miktar Dağılım'!$D26,'Gider Miktar'!$F:$F,1003)+SUMIFS('Gider Miktar'!AX:AX,'Gider Miktar'!$B:$B,'Emanet Miktar Dağılım'!$D26,'Gider Miktar'!$F:$F,1004)</f>
        <v>22.463576158940448</v>
      </c>
      <c r="AP26" s="9">
        <f>+SUMIFS('Gider Miktar'!AY:AY,'Gider Miktar'!$B:$B,'Emanet Miktar Dağılım'!$D26,'Gider Miktar'!$F:$F,1001)+SUMIFS('Gider Miktar'!AY:AY,'Gider Miktar'!$B:$B,'Emanet Miktar Dağılım'!$D26,'Gider Miktar'!$F:$F,1002)+SUMIFS('Gider Miktar'!AY:AY,'Gider Miktar'!$B:$B,'Emanet Miktar Dağılım'!$D26,'Gider Miktar'!$F:$F,1003)+SUMIFS('Gider Miktar'!AY:AY,'Gider Miktar'!$B:$B,'Emanet Miktar Dağılım'!$D26,'Gider Miktar'!$F:$F,1004)</f>
        <v>14.507726269315629</v>
      </c>
      <c r="AQ26" s="9">
        <f>+SUMIFS('Gider Miktar'!AZ:AZ,'Gider Miktar'!$B:$B,'Emanet Miktar Dağılım'!$D26,'Gider Miktar'!$F:$F,1001)+SUMIFS('Gider Miktar'!AZ:AZ,'Gider Miktar'!$B:$B,'Emanet Miktar Dağılım'!$D26,'Gider Miktar'!$F:$F,1002)+SUMIFS('Gider Miktar'!AZ:AZ,'Gider Miktar'!$B:$B,'Emanet Miktar Dağılım'!$D26,'Gider Miktar'!$F:$F,1003)+SUMIFS('Gider Miktar'!AZ:AZ,'Gider Miktar'!$B:$B,'Emanet Miktar Dağılım'!$D26,'Gider Miktar'!$F:$F,1004)</f>
        <v>0</v>
      </c>
      <c r="AR26" s="9">
        <f>+SUMIFS('Gider Miktar'!BA:BA,'Gider Miktar'!$B:$B,'Emanet Miktar Dağılım'!$D26,'Gider Miktar'!$F:$F,1001)+SUMIFS('Gider Miktar'!BA:BA,'Gider Miktar'!$B:$B,'Emanet Miktar Dağılım'!$D26,'Gider Miktar'!$F:$F,1002)+SUMIFS('Gider Miktar'!BA:BA,'Gider Miktar'!$B:$B,'Emanet Miktar Dağılım'!$D26,'Gider Miktar'!$F:$F,1003)+SUMIFS('Gider Miktar'!BA:BA,'Gider Miktar'!$B:$B,'Emanet Miktar Dağılım'!$D26,'Gider Miktar'!$F:$F,1004)</f>
        <v>0</v>
      </c>
      <c r="AS26" s="9">
        <f>+SUMIFS('Gider Miktar'!BB:BB,'Gider Miktar'!$B:$B,'Emanet Miktar Dağılım'!$D26,'Gider Miktar'!$F:$F,1001)+SUMIFS('Gider Miktar'!BB:BB,'Gider Miktar'!$B:$B,'Emanet Miktar Dağılım'!$D26,'Gider Miktar'!$F:$F,1002)+SUMIFS('Gider Miktar'!BB:BB,'Gider Miktar'!$B:$B,'Emanet Miktar Dağılım'!$D26,'Gider Miktar'!$F:$F,1003)+SUMIFS('Gider Miktar'!BB:BB,'Gider Miktar'!$B:$B,'Emanet Miktar Dağılım'!$D26,'Gider Miktar'!$F:$F,1004)</f>
        <v>0</v>
      </c>
      <c r="AT26" s="9">
        <f>+SUMIFS('Gider Miktar'!BC:BC,'Gider Miktar'!$B:$B,'Emanet Miktar Dağılım'!$D26,'Gider Miktar'!$F:$F,1001)+SUMIFS('Gider Miktar'!BC:BC,'Gider Miktar'!$B:$B,'Emanet Miktar Dağılım'!$D26,'Gider Miktar'!$F:$F,1002)+SUMIFS('Gider Miktar'!BC:BC,'Gider Miktar'!$B:$B,'Emanet Miktar Dağılım'!$D26,'Gider Miktar'!$F:$F,1003)+SUMIFS('Gider Miktar'!BC:BC,'Gider Miktar'!$B:$B,'Emanet Miktar Dağılım'!$D26,'Gider Miktar'!$F:$F,1004)</f>
        <v>0</v>
      </c>
      <c r="AU26" s="9">
        <f>+SUMIFS('Gider Miktar'!BD:BD,'Gider Miktar'!$B:$B,'Emanet Miktar Dağılım'!$D26,'Gider Miktar'!$F:$F,1001)+SUMIFS('Gider Miktar'!BD:BD,'Gider Miktar'!$B:$B,'Emanet Miktar Dağılım'!$D26,'Gider Miktar'!$F:$F,1002)+SUMIFS('Gider Miktar'!BD:BD,'Gider Miktar'!$B:$B,'Emanet Miktar Dağılım'!$D26,'Gider Miktar'!$F:$F,1003)+SUMIFS('Gider Miktar'!BD:BD,'Gider Miktar'!$B:$B,'Emanet Miktar Dağılım'!$D26,'Gider Miktar'!$F:$F,1004)</f>
        <v>0</v>
      </c>
      <c r="AV26" s="9">
        <f>+SUMIFS('Gider Miktar'!BE:BE,'Gider Miktar'!$B:$B,'Emanet Miktar Dağılım'!$D26,'Gider Miktar'!$F:$F,1001)+SUMIFS('Gider Miktar'!BE:BE,'Gider Miktar'!$B:$B,'Emanet Miktar Dağılım'!$D26,'Gider Miktar'!$F:$F,1002)+SUMIFS('Gider Miktar'!BE:BE,'Gider Miktar'!$B:$B,'Emanet Miktar Dağılım'!$D26,'Gider Miktar'!$F:$F,1003)+SUMIFS('Gider Miktar'!BE:BE,'Gider Miktar'!$B:$B,'Emanet Miktar Dağılım'!$D26,'Gider Miktar'!$F:$F,1004)</f>
        <v>0</v>
      </c>
      <c r="AW26" s="9">
        <f>+SUMIFS('Gider Miktar'!BF:BF,'Gider Miktar'!$B:$B,'Emanet Miktar Dağılım'!$D26,'Gider Miktar'!$F:$F,1001)+SUMIFS('Gider Miktar'!BF:BF,'Gider Miktar'!$B:$B,'Emanet Miktar Dağılım'!$D26,'Gider Miktar'!$F:$F,1002)+SUMIFS('Gider Miktar'!BF:BF,'Gider Miktar'!$B:$B,'Emanet Miktar Dağılım'!$D26,'Gider Miktar'!$F:$F,1003)+SUMIFS('Gider Miktar'!BF:BF,'Gider Miktar'!$B:$B,'Emanet Miktar Dağılım'!$D26,'Gider Miktar'!$F:$F,1004)</f>
        <v>0</v>
      </c>
      <c r="AX26" s="9">
        <f>+SUMIFS('Gider Miktar'!BG:BG,'Gider Miktar'!$B:$B,'Emanet Miktar Dağılım'!$D26,'Gider Miktar'!$F:$F,1001)+SUMIFS('Gider Miktar'!BG:BG,'Gider Miktar'!$B:$B,'Emanet Miktar Dağılım'!$D26,'Gider Miktar'!$F:$F,1002)+SUMIFS('Gider Miktar'!BG:BG,'Gider Miktar'!$B:$B,'Emanet Miktar Dağılım'!$D26,'Gider Miktar'!$F:$F,1003)+SUMIFS('Gider Miktar'!BG:BG,'Gider Miktar'!$B:$B,'Emanet Miktar Dağılım'!$D26,'Gider Miktar'!$F:$F,1004)</f>
        <v>0</v>
      </c>
      <c r="AY26" s="9">
        <f>+SUMIFS('Gider Miktar'!BH:BH,'Gider Miktar'!$B:$B,'Emanet Miktar Dağılım'!$D26,'Gider Miktar'!$F:$F,1001)+SUMIFS('Gider Miktar'!BH:BH,'Gider Miktar'!$B:$B,'Emanet Miktar Dağılım'!$D26,'Gider Miktar'!$F:$F,1002)+SUMIFS('Gider Miktar'!BH:BH,'Gider Miktar'!$B:$B,'Emanet Miktar Dağılım'!$D26,'Gider Miktar'!$F:$F,1003)+SUMIFS('Gider Miktar'!BH:BH,'Gider Miktar'!$B:$B,'Emanet Miktar Dağılım'!$D26,'Gider Miktar'!$F:$F,1004)</f>
        <v>0</v>
      </c>
      <c r="AZ26" s="9">
        <f>+SUMIFS('Gider Miktar'!BI:BI,'Gider Miktar'!$B:$B,'Emanet Miktar Dağılım'!$D26,'Gider Miktar'!$F:$F,1001)+SUMIFS('Gider Miktar'!BI:BI,'Gider Miktar'!$B:$B,'Emanet Miktar Dağılım'!$D26,'Gider Miktar'!$F:$F,1002)+SUMIFS('Gider Miktar'!BI:BI,'Gider Miktar'!$B:$B,'Emanet Miktar Dağılım'!$D26,'Gider Miktar'!$F:$F,1003)+SUMIFS('Gider Miktar'!BI:BI,'Gider Miktar'!$B:$B,'Emanet Miktar Dağılım'!$D26,'Gider Miktar'!$F:$F,1004)</f>
        <v>0</v>
      </c>
      <c r="BA26" s="9">
        <f>+SUMIFS('Gider Miktar'!BJ:BJ,'Gider Miktar'!$B:$B,'Emanet Miktar Dağılım'!$D26,'Gider Miktar'!$F:$F,1001)+SUMIFS('Gider Miktar'!BJ:BJ,'Gider Miktar'!$B:$B,'Emanet Miktar Dağılım'!$D26,'Gider Miktar'!$F:$F,1002)+SUMIFS('Gider Miktar'!BJ:BJ,'Gider Miktar'!$B:$B,'Emanet Miktar Dağılım'!$D26,'Gider Miktar'!$F:$F,1003)+SUMIFS('Gider Miktar'!BJ:BJ,'Gider Miktar'!$B:$B,'Emanet Miktar Dağılım'!$D26,'Gider Miktar'!$F:$F,1004)</f>
        <v>0</v>
      </c>
      <c r="BB26" s="9">
        <f>+SUMIFS('Gider Miktar'!BK:BK,'Gider Miktar'!$B:$B,'Emanet Miktar Dağılım'!$D26,'Gider Miktar'!$F:$F,1001)+SUMIFS('Gider Miktar'!BK:BK,'Gider Miktar'!$B:$B,'Emanet Miktar Dağılım'!$D26,'Gider Miktar'!$F:$F,1002)+SUMIFS('Gider Miktar'!BK:BK,'Gider Miktar'!$B:$B,'Emanet Miktar Dağılım'!$D26,'Gider Miktar'!$F:$F,1003)+SUMIFS('Gider Miktar'!BK:BK,'Gider Miktar'!$B:$B,'Emanet Miktar Dağılım'!$D26,'Gider Miktar'!$F:$F,1004)</f>
        <v>0</v>
      </c>
      <c r="BC26" s="9">
        <f>+SUMIFS('Gider Miktar'!BL:BL,'Gider Miktar'!$B:$B,'Emanet Miktar Dağılım'!$D26,'Gider Miktar'!$F:$F,1001)+SUMIFS('Gider Miktar'!BL:BL,'Gider Miktar'!$B:$B,'Emanet Miktar Dağılım'!$D26,'Gider Miktar'!$F:$F,1002)+SUMIFS('Gider Miktar'!BL:BL,'Gider Miktar'!$B:$B,'Emanet Miktar Dağılım'!$D26,'Gider Miktar'!$F:$F,1003)+SUMIFS('Gider Miktar'!BL:BL,'Gider Miktar'!$B:$B,'Emanet Miktar Dağılım'!$D26,'Gider Miktar'!$F:$F,1004)</f>
        <v>0</v>
      </c>
      <c r="BD26" s="9">
        <f>+SUMIFS('Gider Miktar'!BM:BM,'Gider Miktar'!$B:$B,'Emanet Miktar Dağılım'!$D26,'Gider Miktar'!$F:$F,1001)+SUMIFS('Gider Miktar'!BM:BM,'Gider Miktar'!$B:$B,'Emanet Miktar Dağılım'!$D26,'Gider Miktar'!$F:$F,1002)+SUMIFS('Gider Miktar'!BM:BM,'Gider Miktar'!$B:$B,'Emanet Miktar Dağılım'!$D26,'Gider Miktar'!$F:$F,1003)+SUMIFS('Gider Miktar'!BM:BM,'Gider Miktar'!$B:$B,'Emanet Miktar Dağılım'!$D26,'Gider Miktar'!$F:$F,1004)</f>
        <v>0</v>
      </c>
      <c r="BE26" s="9">
        <f>+SUMIFS('Gider Miktar'!BN:BN,'Gider Miktar'!$B:$B,'Emanet Miktar Dağılım'!$D26,'Gider Miktar'!$F:$F,1001)+SUMIFS('Gider Miktar'!BN:BN,'Gider Miktar'!$B:$B,'Emanet Miktar Dağılım'!$D26,'Gider Miktar'!$F:$F,1002)+SUMIFS('Gider Miktar'!BN:BN,'Gider Miktar'!$B:$B,'Emanet Miktar Dağılım'!$D26,'Gider Miktar'!$F:$F,1003)+SUMIFS('Gider Miktar'!BN:BN,'Gider Miktar'!$B:$B,'Emanet Miktar Dağılım'!$D26,'Gider Miktar'!$F:$F,1004)</f>
        <v>0</v>
      </c>
      <c r="BF26" s="9">
        <f>+SUMIFS('Gider Miktar'!BO:BO,'Gider Miktar'!$B:$B,'Emanet Miktar Dağılım'!$D26,'Gider Miktar'!$F:$F,1001)+SUMIFS('Gider Miktar'!BO:BO,'Gider Miktar'!$B:$B,'Emanet Miktar Dağılım'!$D26,'Gider Miktar'!$F:$F,1002)+SUMIFS('Gider Miktar'!BO:BO,'Gider Miktar'!$B:$B,'Emanet Miktar Dağılım'!$D26,'Gider Miktar'!$F:$F,1003)+SUMIFS('Gider Miktar'!BO:BO,'Gider Miktar'!$B:$B,'Emanet Miktar Dağılım'!$D26,'Gider Miktar'!$F:$F,1004)</f>
        <v>0</v>
      </c>
      <c r="BG26" s="9">
        <f>+SUMIFS('Gider Miktar'!BP:BP,'Gider Miktar'!$B:$B,'Emanet Miktar Dağılım'!$D26,'Gider Miktar'!$F:$F,1001)+SUMIFS('Gider Miktar'!BP:BP,'Gider Miktar'!$B:$B,'Emanet Miktar Dağılım'!$D26,'Gider Miktar'!$F:$F,1002)+SUMIFS('Gider Miktar'!BP:BP,'Gider Miktar'!$B:$B,'Emanet Miktar Dağılım'!$D26,'Gider Miktar'!$F:$F,1003)+SUMIFS('Gider Miktar'!BP:BP,'Gider Miktar'!$B:$B,'Emanet Miktar Dağılım'!$D26,'Gider Miktar'!$F:$F,1004)</f>
        <v>0</v>
      </c>
      <c r="BH26" s="9">
        <f>+SUMIFS('Gider Miktar'!BQ:BQ,'Gider Miktar'!$B:$B,'Emanet Miktar Dağılım'!$D26,'Gider Miktar'!$F:$F,1001)+SUMIFS('Gider Miktar'!BQ:BQ,'Gider Miktar'!$B:$B,'Emanet Miktar Dağılım'!$D26,'Gider Miktar'!$F:$F,1002)+SUMIFS('Gider Miktar'!BQ:BQ,'Gider Miktar'!$B:$B,'Emanet Miktar Dağılım'!$D26,'Gider Miktar'!$F:$F,1003)+SUMIFS('Gider Miktar'!BQ:BQ,'Gider Miktar'!$B:$B,'Emanet Miktar Dağılım'!$D26,'Gider Miktar'!$F:$F,1004)</f>
        <v>0</v>
      </c>
      <c r="BI26" s="9">
        <f>+SUMIFS('Gider Miktar'!BR:BR,'Gider Miktar'!$B:$B,'Emanet Miktar Dağılım'!$D26,'Gider Miktar'!$F:$F,1001)+SUMIFS('Gider Miktar'!BR:BR,'Gider Miktar'!$B:$B,'Emanet Miktar Dağılım'!$D26,'Gider Miktar'!$F:$F,1002)+SUMIFS('Gider Miktar'!BR:BR,'Gider Miktar'!$B:$B,'Emanet Miktar Dağılım'!$D26,'Gider Miktar'!$F:$F,1003)+SUMIFS('Gider Miktar'!BR:BR,'Gider Miktar'!$B:$B,'Emanet Miktar Dağılım'!$D26,'Gider Miktar'!$F:$F,1004)</f>
        <v>0</v>
      </c>
      <c r="BJ26" s="9">
        <f>+SUMIFS('Gider Miktar'!BS:BS,'Gider Miktar'!$B:$B,'Emanet Miktar Dağılım'!$D26,'Gider Miktar'!$F:$F,1001)+SUMIFS('Gider Miktar'!BS:BS,'Gider Miktar'!$B:$B,'Emanet Miktar Dağılım'!$D26,'Gider Miktar'!$F:$F,1002)+SUMIFS('Gider Miktar'!BS:BS,'Gider Miktar'!$B:$B,'Emanet Miktar Dağılım'!$D26,'Gider Miktar'!$F:$F,1003)+SUMIFS('Gider Miktar'!BS:BS,'Gider Miktar'!$B:$B,'Emanet Miktar Dağılım'!$D26,'Gider Miktar'!$F:$F,1004)</f>
        <v>0</v>
      </c>
      <c r="BK26" s="9">
        <f>+SUMIFS('Gider Miktar'!BT:BT,'Gider Miktar'!$B:$B,'Emanet Miktar Dağılım'!$D26,'Gider Miktar'!$F:$F,1001)+SUMIFS('Gider Miktar'!BT:BT,'Gider Miktar'!$B:$B,'Emanet Miktar Dağılım'!$D26,'Gider Miktar'!$F:$F,1002)+SUMIFS('Gider Miktar'!BT:BT,'Gider Miktar'!$B:$B,'Emanet Miktar Dağılım'!$D26,'Gider Miktar'!$F:$F,1003)+SUMIFS('Gider Miktar'!BT:BT,'Gider Miktar'!$B:$B,'Emanet Miktar Dağılım'!$D26,'Gider Miktar'!$F:$F,1004)</f>
        <v>0</v>
      </c>
      <c r="BL26" s="9">
        <f>+SUMIFS('Gider Miktar'!BU:BU,'Gider Miktar'!$B:$B,'Emanet Miktar Dağılım'!$D26,'Gider Miktar'!$F:$F,1001)+SUMIFS('Gider Miktar'!BU:BU,'Gider Miktar'!$B:$B,'Emanet Miktar Dağılım'!$D26,'Gider Miktar'!$F:$F,1002)+SUMIFS('Gider Miktar'!BU:BU,'Gider Miktar'!$B:$B,'Emanet Miktar Dağılım'!$D26,'Gider Miktar'!$F:$F,1003)+SUMIFS('Gider Miktar'!BU:BU,'Gider Miktar'!$B:$B,'Emanet Miktar Dağılım'!$D26,'Gider Miktar'!$F:$F,1004)</f>
        <v>0</v>
      </c>
      <c r="BM26" s="9">
        <f>+SUMIFS('Gider Miktar'!BV:BV,'Gider Miktar'!$B:$B,'Emanet Miktar Dağılım'!$D26,'Gider Miktar'!$F:$F,1001)+SUMIFS('Gider Miktar'!BV:BV,'Gider Miktar'!$B:$B,'Emanet Miktar Dağılım'!$D26,'Gider Miktar'!$F:$F,1002)+SUMIFS('Gider Miktar'!BV:BV,'Gider Miktar'!$B:$B,'Emanet Miktar Dağılım'!$D26,'Gider Miktar'!$F:$F,1003)+SUMIFS('Gider Miktar'!BV:BV,'Gider Miktar'!$B:$B,'Emanet Miktar Dağılım'!$D26,'Gider Miktar'!$F:$F,1004)</f>
        <v>0</v>
      </c>
      <c r="BN26" s="9">
        <f>+SUMIFS('Gider Miktar'!BW:BW,'Gider Miktar'!$B:$B,'Emanet Miktar Dağılım'!$D26,'Gider Miktar'!$F:$F,1001)+SUMIFS('Gider Miktar'!BW:BW,'Gider Miktar'!$B:$B,'Emanet Miktar Dağılım'!$D26,'Gider Miktar'!$F:$F,1002)+SUMIFS('Gider Miktar'!BW:BW,'Gider Miktar'!$B:$B,'Emanet Miktar Dağılım'!$D26,'Gider Miktar'!$F:$F,1003)+SUMIFS('Gider Miktar'!BW:BW,'Gider Miktar'!$B:$B,'Emanet Miktar Dağılım'!$D26,'Gider Miktar'!$F:$F,1004)</f>
        <v>0</v>
      </c>
      <c r="BO26" s="9">
        <f>+SUMIFS('Gider Miktar'!BX:BX,'Gider Miktar'!$B:$B,'Emanet Miktar Dağılım'!$D26,'Gider Miktar'!$F:$F,1001)+SUMIFS('Gider Miktar'!BX:BX,'Gider Miktar'!$B:$B,'Emanet Miktar Dağılım'!$D26,'Gider Miktar'!$F:$F,1002)+SUMIFS('Gider Miktar'!BX:BX,'Gider Miktar'!$B:$B,'Emanet Miktar Dağılım'!$D26,'Gider Miktar'!$F:$F,1003)+SUMIFS('Gider Miktar'!BX:BX,'Gider Miktar'!$B:$B,'Emanet Miktar Dağılım'!$D26,'Gider Miktar'!$F:$F,1004)</f>
        <v>0</v>
      </c>
    </row>
    <row r="27" spans="2:67" ht="15" thickBot="1">
      <c r="D27" t="s">
        <v>29</v>
      </c>
      <c r="E27" s="9">
        <f>+SUMIFS('Gider Miktar'!N:N,'Gider Miktar'!$B:$B,'Emanet Miktar Dağılım'!$D27,'Gider Miktar'!$F:$F,1001)+SUMIFS('Gider Miktar'!N:N,'Gider Miktar'!$B:$B,'Emanet Miktar Dağılım'!$D27,'Gider Miktar'!$F:$F,1002)+SUMIFS('Gider Miktar'!N:N,'Gider Miktar'!$B:$B,'Emanet Miktar Dağılım'!$D27,'Gider Miktar'!$F:$F,1003)+SUMIFS('Gider Miktar'!N:N,'Gider Miktar'!$B:$B,'Emanet Miktar Dağılım'!$D27,'Gider Miktar'!$F:$F,1004)</f>
        <v>0</v>
      </c>
      <c r="F27" s="9">
        <f>+SUMIFS('Gider Miktar'!O:O,'Gider Miktar'!$B:$B,'Emanet Miktar Dağılım'!$D27,'Gider Miktar'!$F:$F,1001)+SUMIFS('Gider Miktar'!O:O,'Gider Miktar'!$B:$B,'Emanet Miktar Dağılım'!$D27,'Gider Miktar'!$F:$F,1002)+SUMIFS('Gider Miktar'!O:O,'Gider Miktar'!$B:$B,'Emanet Miktar Dağılım'!$D27,'Gider Miktar'!$F:$F,1003)+SUMIFS('Gider Miktar'!O:O,'Gider Miktar'!$B:$B,'Emanet Miktar Dağılım'!$D27,'Gider Miktar'!$F:$F,1004)</f>
        <v>0</v>
      </c>
      <c r="G27" s="9">
        <f>+SUMIFS('Gider Miktar'!P:P,'Gider Miktar'!$B:$B,'Emanet Miktar Dağılım'!$D27,'Gider Miktar'!$F:$F,1001)+SUMIFS('Gider Miktar'!P:P,'Gider Miktar'!$B:$B,'Emanet Miktar Dağılım'!$D27,'Gider Miktar'!$F:$F,1002)+SUMIFS('Gider Miktar'!P:P,'Gider Miktar'!$B:$B,'Emanet Miktar Dağılım'!$D27,'Gider Miktar'!$F:$F,1003)+SUMIFS('Gider Miktar'!P:P,'Gider Miktar'!$B:$B,'Emanet Miktar Dağılım'!$D27,'Gider Miktar'!$F:$F,1004)</f>
        <v>0</v>
      </c>
      <c r="H27" s="9">
        <f>+SUMIFS('Gider Miktar'!Q:Q,'Gider Miktar'!$B:$B,'Emanet Miktar Dağılım'!$D27,'Gider Miktar'!$F:$F,1001)+SUMIFS('Gider Miktar'!Q:Q,'Gider Miktar'!$B:$B,'Emanet Miktar Dağılım'!$D27,'Gider Miktar'!$F:$F,1002)+SUMIFS('Gider Miktar'!Q:Q,'Gider Miktar'!$B:$B,'Emanet Miktar Dağılım'!$D27,'Gider Miktar'!$F:$F,1003)+SUMIFS('Gider Miktar'!Q:Q,'Gider Miktar'!$B:$B,'Emanet Miktar Dağılım'!$D27,'Gider Miktar'!$F:$F,1004)</f>
        <v>0</v>
      </c>
      <c r="I27" s="9">
        <f>+SUMIFS('Gider Miktar'!R:R,'Gider Miktar'!$B:$B,'Emanet Miktar Dağılım'!$D27,'Gider Miktar'!$F:$F,1001)+SUMIFS('Gider Miktar'!R:R,'Gider Miktar'!$B:$B,'Emanet Miktar Dağılım'!$D27,'Gider Miktar'!$F:$F,1002)+SUMIFS('Gider Miktar'!R:R,'Gider Miktar'!$B:$B,'Emanet Miktar Dağılım'!$D27,'Gider Miktar'!$F:$F,1003)+SUMIFS('Gider Miktar'!R:R,'Gider Miktar'!$B:$B,'Emanet Miktar Dağılım'!$D27,'Gider Miktar'!$F:$F,1004)</f>
        <v>0</v>
      </c>
      <c r="J27" s="9">
        <f>+SUMIFS('Gider Miktar'!S:S,'Gider Miktar'!$B:$B,'Emanet Miktar Dağılım'!$D27,'Gider Miktar'!$F:$F,1001)+SUMIFS('Gider Miktar'!S:S,'Gider Miktar'!$B:$B,'Emanet Miktar Dağılım'!$D27,'Gider Miktar'!$F:$F,1002)+SUMIFS('Gider Miktar'!S:S,'Gider Miktar'!$B:$B,'Emanet Miktar Dağılım'!$D27,'Gider Miktar'!$F:$F,1003)+SUMIFS('Gider Miktar'!S:S,'Gider Miktar'!$B:$B,'Emanet Miktar Dağılım'!$D27,'Gider Miktar'!$F:$F,1004)</f>
        <v>0</v>
      </c>
      <c r="K27" s="9">
        <f>+SUMIFS('Gider Miktar'!T:T,'Gider Miktar'!$B:$B,'Emanet Miktar Dağılım'!$D27,'Gider Miktar'!$F:$F,1001)+SUMIFS('Gider Miktar'!T:T,'Gider Miktar'!$B:$B,'Emanet Miktar Dağılım'!$D27,'Gider Miktar'!$F:$F,1002)+SUMIFS('Gider Miktar'!T:T,'Gider Miktar'!$B:$B,'Emanet Miktar Dağılım'!$D27,'Gider Miktar'!$F:$F,1003)+SUMIFS('Gider Miktar'!T:T,'Gider Miktar'!$B:$B,'Emanet Miktar Dağılım'!$D27,'Gider Miktar'!$F:$F,1004)</f>
        <v>0</v>
      </c>
      <c r="L27" s="9">
        <f>+SUMIFS('Gider Miktar'!U:U,'Gider Miktar'!$B:$B,'Emanet Miktar Dağılım'!$D27,'Gider Miktar'!$F:$F,1001)+SUMIFS('Gider Miktar'!U:U,'Gider Miktar'!$B:$B,'Emanet Miktar Dağılım'!$D27,'Gider Miktar'!$F:$F,1002)+SUMIFS('Gider Miktar'!U:U,'Gider Miktar'!$B:$B,'Emanet Miktar Dağılım'!$D27,'Gider Miktar'!$F:$F,1003)+SUMIFS('Gider Miktar'!U:U,'Gider Miktar'!$B:$B,'Emanet Miktar Dağılım'!$D27,'Gider Miktar'!$F:$F,1004)</f>
        <v>0</v>
      </c>
      <c r="M27" s="9">
        <f>+SUMIFS('Gider Miktar'!V:V,'Gider Miktar'!$B:$B,'Emanet Miktar Dağılım'!$D27,'Gider Miktar'!$F:$F,1001)+SUMIFS('Gider Miktar'!V:V,'Gider Miktar'!$B:$B,'Emanet Miktar Dağılım'!$D27,'Gider Miktar'!$F:$F,1002)+SUMIFS('Gider Miktar'!V:V,'Gider Miktar'!$B:$B,'Emanet Miktar Dağılım'!$D27,'Gider Miktar'!$F:$F,1003)+SUMIFS('Gider Miktar'!V:V,'Gider Miktar'!$B:$B,'Emanet Miktar Dağılım'!$D27,'Gider Miktar'!$F:$F,1004)</f>
        <v>0</v>
      </c>
      <c r="N27" s="11">
        <f>+SUMIFS('Gider Miktar'!W:W,'Gider Miktar'!$B:$B,'Emanet Miktar Dağılım'!$D27,'Gider Miktar'!$F:$F,1001)+SUMIFS('Gider Miktar'!W:W,'Gider Miktar'!$B:$B,'Emanet Miktar Dağılım'!$D27,'Gider Miktar'!$F:$F,1002)+SUMIFS('Gider Miktar'!W:W,'Gider Miktar'!$B:$B,'Emanet Miktar Dağılım'!$D27,'Gider Miktar'!$F:$F,1003)+SUMIFS('Gider Miktar'!W:W,'Gider Miktar'!$B:$B,'Emanet Miktar Dağılım'!$D27,'Gider Miktar'!$F:$F,1004)</f>
        <v>0</v>
      </c>
      <c r="O27" s="9">
        <f>+SUMIFS('Gider Miktar'!X:X,'Gider Miktar'!$B:$B,'Emanet Miktar Dağılım'!$D27,'Gider Miktar'!$F:$F,1001)+SUMIFS('Gider Miktar'!X:X,'Gider Miktar'!$B:$B,'Emanet Miktar Dağılım'!$D27,'Gider Miktar'!$F:$F,1002)+SUMIFS('Gider Miktar'!X:X,'Gider Miktar'!$B:$B,'Emanet Miktar Dağılım'!$D27,'Gider Miktar'!$F:$F,1003)+SUMIFS('Gider Miktar'!X:X,'Gider Miktar'!$B:$B,'Emanet Miktar Dağılım'!$D27,'Gider Miktar'!$F:$F,1004)</f>
        <v>48.903442076341342</v>
      </c>
      <c r="P27" s="9">
        <f>+SUMIFS('Gider Miktar'!Y:Y,'Gider Miktar'!$B:$B,'Emanet Miktar Dağılım'!$D27,'Gider Miktar'!$F:$F,1001)+SUMIFS('Gider Miktar'!Y:Y,'Gider Miktar'!$B:$B,'Emanet Miktar Dağılım'!$D27,'Gider Miktar'!$F:$F,1002)+SUMIFS('Gider Miktar'!Y:Y,'Gider Miktar'!$B:$B,'Emanet Miktar Dağılım'!$D27,'Gider Miktar'!$F:$F,1003)+SUMIFS('Gider Miktar'!Y:Y,'Gider Miktar'!$B:$B,'Emanet Miktar Dağılım'!$D27,'Gider Miktar'!$F:$F,1004)</f>
        <v>57.632495975897662</v>
      </c>
      <c r="Q27" s="9">
        <f>+SUMIFS('Gider Miktar'!Z:Z,'Gider Miktar'!$B:$B,'Emanet Miktar Dağılım'!$D27,'Gider Miktar'!$F:$F,1001)+SUMIFS('Gider Miktar'!Z:Z,'Gider Miktar'!$B:$B,'Emanet Miktar Dağılım'!$D27,'Gider Miktar'!$F:$F,1002)+SUMIFS('Gider Miktar'!Z:Z,'Gider Miktar'!$B:$B,'Emanet Miktar Dağılım'!$D27,'Gider Miktar'!$F:$F,1003)+SUMIFS('Gider Miktar'!Z:Z,'Gider Miktar'!$B:$B,'Emanet Miktar Dağılım'!$D27,'Gider Miktar'!$F:$F,1004)</f>
        <v>42.199725445429891</v>
      </c>
      <c r="R27" s="9">
        <f>+SUMIFS('Gider Miktar'!AA:AA,'Gider Miktar'!$B:$B,'Emanet Miktar Dağılım'!$D27,'Gider Miktar'!$F:$F,1001)+SUMIFS('Gider Miktar'!AA:AA,'Gider Miktar'!$B:$B,'Emanet Miktar Dağılım'!$D27,'Gider Miktar'!$F:$F,1002)+SUMIFS('Gider Miktar'!AA:AA,'Gider Miktar'!$B:$B,'Emanet Miktar Dağılım'!$D27,'Gider Miktar'!$F:$F,1003)+SUMIFS('Gider Miktar'!AA:AA,'Gider Miktar'!$B:$B,'Emanet Miktar Dağılım'!$D27,'Gider Miktar'!$F:$F,1004)</f>
        <v>36.569844650727909</v>
      </c>
      <c r="S27" s="9">
        <f>+SUMIFS('Gider Miktar'!AB:AB,'Gider Miktar'!$B:$B,'Emanet Miktar Dağılım'!$D27,'Gider Miktar'!$F:$F,1001)+SUMIFS('Gider Miktar'!AB:AB,'Gider Miktar'!$B:$B,'Emanet Miktar Dağılım'!$D27,'Gider Miktar'!$F:$F,1002)+SUMIFS('Gider Miktar'!AB:AB,'Gider Miktar'!$B:$B,'Emanet Miktar Dağılım'!$D27,'Gider Miktar'!$F:$F,1003)+SUMIFS('Gider Miktar'!AB:AB,'Gider Miktar'!$B:$B,'Emanet Miktar Dağılım'!$D27,'Gider Miktar'!$F:$F,1004)</f>
        <v>38.928713866019855</v>
      </c>
      <c r="T27" s="9">
        <f>+SUMIFS('Gider Miktar'!AC:AC,'Gider Miktar'!$B:$B,'Emanet Miktar Dağılım'!$D27,'Gider Miktar'!$F:$F,1001)+SUMIFS('Gider Miktar'!AC:AC,'Gider Miktar'!$B:$B,'Emanet Miktar Dağılım'!$D27,'Gider Miktar'!$F:$F,1002)+SUMIFS('Gider Miktar'!AC:AC,'Gider Miktar'!$B:$B,'Emanet Miktar Dağılım'!$D27,'Gider Miktar'!$F:$F,1003)+SUMIFS('Gider Miktar'!AC:AC,'Gider Miktar'!$B:$B,'Emanet Miktar Dağılım'!$D27,'Gider Miktar'!$F:$F,1004)</f>
        <v>37.244309964906051</v>
      </c>
      <c r="U27" s="9">
        <f>+SUMIFS('Gider Miktar'!AD:AD,'Gider Miktar'!$B:$B,'Emanet Miktar Dağılım'!$D27,'Gider Miktar'!$F:$F,1001)+SUMIFS('Gider Miktar'!AD:AD,'Gider Miktar'!$B:$B,'Emanet Miktar Dağılım'!$D27,'Gider Miktar'!$F:$F,1002)+SUMIFS('Gider Miktar'!AD:AD,'Gider Miktar'!$B:$B,'Emanet Miktar Dağılım'!$D27,'Gider Miktar'!$F:$F,1003)+SUMIFS('Gider Miktar'!AD:AD,'Gider Miktar'!$B:$B,'Emanet Miktar Dağılım'!$D27,'Gider Miktar'!$F:$F,1004)</f>
        <v>33.598784814000638</v>
      </c>
      <c r="V27" s="9">
        <f>+SUMIFS('Gider Miktar'!AE:AE,'Gider Miktar'!$B:$B,'Emanet Miktar Dağılım'!$D27,'Gider Miktar'!$F:$F,1001)+SUMIFS('Gider Miktar'!AE:AE,'Gider Miktar'!$B:$B,'Emanet Miktar Dağılım'!$D27,'Gider Miktar'!$F:$F,1002)+SUMIFS('Gider Miktar'!AE:AE,'Gider Miktar'!$B:$B,'Emanet Miktar Dağılım'!$D27,'Gider Miktar'!$F:$F,1003)+SUMIFS('Gider Miktar'!AE:AE,'Gider Miktar'!$B:$B,'Emanet Miktar Dağılım'!$D27,'Gider Miktar'!$F:$F,1004)</f>
        <v>35.924135132471974</v>
      </c>
      <c r="W27" s="9">
        <f>+SUMIFS('Gider Miktar'!AF:AF,'Gider Miktar'!$B:$B,'Emanet Miktar Dağılım'!$D27,'Gider Miktar'!$F:$F,1001)+SUMIFS('Gider Miktar'!AF:AF,'Gider Miktar'!$B:$B,'Emanet Miktar Dağılım'!$D27,'Gider Miktar'!$F:$F,1002)+SUMIFS('Gider Miktar'!AF:AF,'Gider Miktar'!$B:$B,'Emanet Miktar Dağılım'!$D27,'Gider Miktar'!$F:$F,1003)+SUMIFS('Gider Miktar'!AF:AF,'Gider Miktar'!$B:$B,'Emanet Miktar Dağılım'!$D27,'Gider Miktar'!$F:$F,1004)</f>
        <v>22.670483367577958</v>
      </c>
      <c r="X27" s="9">
        <f>+SUMIFS('Gider Miktar'!AG:AG,'Gider Miktar'!$B:$B,'Emanet Miktar Dağılım'!$D27,'Gider Miktar'!$F:$F,1001)+SUMIFS('Gider Miktar'!AG:AG,'Gider Miktar'!$B:$B,'Emanet Miktar Dağılım'!$D27,'Gider Miktar'!$F:$F,1002)+SUMIFS('Gider Miktar'!AG:AG,'Gider Miktar'!$B:$B,'Emanet Miktar Dağılım'!$D27,'Gider Miktar'!$F:$F,1003)+SUMIFS('Gider Miktar'!AG:AG,'Gider Miktar'!$B:$B,'Emanet Miktar Dağılım'!$D27,'Gider Miktar'!$F:$F,1004)</f>
        <v>12.973439237356049</v>
      </c>
      <c r="Y27" s="9">
        <f>+SUMIFS('Gider Miktar'!AH:AH,'Gider Miktar'!$B:$B,'Emanet Miktar Dağılım'!$D27,'Gider Miktar'!$F:$F,1001)+SUMIFS('Gider Miktar'!AH:AH,'Gider Miktar'!$B:$B,'Emanet Miktar Dağılım'!$D27,'Gider Miktar'!$F:$F,1002)+SUMIFS('Gider Miktar'!AH:AH,'Gider Miktar'!$B:$B,'Emanet Miktar Dağılım'!$D27,'Gider Miktar'!$F:$F,1003)+SUMIFS('Gider Miktar'!AH:AH,'Gider Miktar'!$B:$B,'Emanet Miktar Dağılım'!$D27,'Gider Miktar'!$F:$F,1004)</f>
        <v>13.625041211456534</v>
      </c>
      <c r="Z27" s="9">
        <f>+SUMIFS('Gider Miktar'!AI:AI,'Gider Miktar'!$B:$B,'Emanet Miktar Dağılım'!$D27,'Gider Miktar'!$F:$F,1001)+SUMIFS('Gider Miktar'!AI:AI,'Gider Miktar'!$B:$B,'Emanet Miktar Dağılım'!$D27,'Gider Miktar'!$F:$F,1002)+SUMIFS('Gider Miktar'!AI:AI,'Gider Miktar'!$B:$B,'Emanet Miktar Dağılım'!$D27,'Gider Miktar'!$F:$F,1003)+SUMIFS('Gider Miktar'!AI:AI,'Gider Miktar'!$B:$B,'Emanet Miktar Dağılım'!$D27,'Gider Miktar'!$F:$F,1004)</f>
        <v>15.298789555827392</v>
      </c>
      <c r="AA27" s="9">
        <f>+SUMIFS('Gider Miktar'!AJ:AJ,'Gider Miktar'!$B:$B,'Emanet Miktar Dağılım'!$D27,'Gider Miktar'!$F:$F,1001)+SUMIFS('Gider Miktar'!AJ:AJ,'Gider Miktar'!$B:$B,'Emanet Miktar Dağılım'!$D27,'Gider Miktar'!$F:$F,1002)+SUMIFS('Gider Miktar'!AJ:AJ,'Gider Miktar'!$B:$B,'Emanet Miktar Dağılım'!$D27,'Gider Miktar'!$F:$F,1003)+SUMIFS('Gider Miktar'!AJ:AJ,'Gider Miktar'!$B:$B,'Emanet Miktar Dağılım'!$D27,'Gider Miktar'!$F:$F,1004)</f>
        <v>15.066254523980257</v>
      </c>
      <c r="AB27" s="9">
        <f>+SUMIFS('Gider Miktar'!AK:AK,'Gider Miktar'!$B:$B,'Emanet Miktar Dağılım'!$D27,'Gider Miktar'!$F:$F,1001)+SUMIFS('Gider Miktar'!AK:AK,'Gider Miktar'!$B:$B,'Emanet Miktar Dağılım'!$D27,'Gider Miktar'!$F:$F,1002)+SUMIFS('Gider Miktar'!AK:AK,'Gider Miktar'!$B:$B,'Emanet Miktar Dağılım'!$D27,'Gider Miktar'!$F:$F,1003)+SUMIFS('Gider Miktar'!AK:AK,'Gider Miktar'!$B:$B,'Emanet Miktar Dağılım'!$D27,'Gider Miktar'!$F:$F,1004)</f>
        <v>15.066254523980257</v>
      </c>
      <c r="AC27" s="9">
        <f>+SUMIFS('Gider Miktar'!AL:AL,'Gider Miktar'!$B:$B,'Emanet Miktar Dağılım'!$D27,'Gider Miktar'!$F:$F,1001)+SUMIFS('Gider Miktar'!AL:AL,'Gider Miktar'!$B:$B,'Emanet Miktar Dağılım'!$D27,'Gider Miktar'!$F:$F,1002)+SUMIFS('Gider Miktar'!AL:AL,'Gider Miktar'!$B:$B,'Emanet Miktar Dağılım'!$D27,'Gider Miktar'!$F:$F,1003)+SUMIFS('Gider Miktar'!AL:AL,'Gider Miktar'!$B:$B,'Emanet Miktar Dağılım'!$D27,'Gider Miktar'!$F:$F,1004)</f>
        <v>8.2064710844898077</v>
      </c>
      <c r="AD27" s="9">
        <f>+SUMIFS('Gider Miktar'!AM:AM,'Gider Miktar'!$B:$B,'Emanet Miktar Dağılım'!$D27,'Gider Miktar'!$F:$F,1001)+SUMIFS('Gider Miktar'!AM:AM,'Gider Miktar'!$B:$B,'Emanet Miktar Dağılım'!$D27,'Gider Miktar'!$F:$F,1002)+SUMIFS('Gider Miktar'!AM:AM,'Gider Miktar'!$B:$B,'Emanet Miktar Dağılım'!$D27,'Gider Miktar'!$F:$F,1003)+SUMIFS('Gider Miktar'!AM:AM,'Gider Miktar'!$B:$B,'Emanet Miktar Dağılım'!$D27,'Gider Miktar'!$F:$F,1004)</f>
        <v>6.6949933774834385</v>
      </c>
      <c r="AE27" s="9">
        <f>+SUMIFS('Gider Miktar'!AN:AN,'Gider Miktar'!$B:$B,'Emanet Miktar Dağılım'!$D27,'Gider Miktar'!$F:$F,1001)+SUMIFS('Gider Miktar'!AN:AN,'Gider Miktar'!$B:$B,'Emanet Miktar Dağılım'!$D27,'Gider Miktar'!$F:$F,1002)+SUMIFS('Gider Miktar'!AN:AN,'Gider Miktar'!$B:$B,'Emanet Miktar Dağılım'!$D27,'Gider Miktar'!$F:$F,1003)+SUMIFS('Gider Miktar'!AN:AN,'Gider Miktar'!$B:$B,'Emanet Miktar Dağılım'!$D27,'Gider Miktar'!$F:$F,1004)</f>
        <v>6.6949933774834385</v>
      </c>
      <c r="AF27" s="9">
        <f>+SUMIFS('Gider Miktar'!AO:AO,'Gider Miktar'!$B:$B,'Emanet Miktar Dağılım'!$D27,'Gider Miktar'!$F:$F,1001)+SUMIFS('Gider Miktar'!AO:AO,'Gider Miktar'!$B:$B,'Emanet Miktar Dağılım'!$D27,'Gider Miktar'!$F:$F,1002)+SUMIFS('Gider Miktar'!AO:AO,'Gider Miktar'!$B:$B,'Emanet Miktar Dağılım'!$D27,'Gider Miktar'!$F:$F,1003)+SUMIFS('Gider Miktar'!AO:AO,'Gider Miktar'!$B:$B,'Emanet Miktar Dağılım'!$D27,'Gider Miktar'!$F:$F,1004)</f>
        <v>6.6949933774834385</v>
      </c>
      <c r="AG27" s="9">
        <f>+SUMIFS('Gider Miktar'!AP:AP,'Gider Miktar'!$B:$B,'Emanet Miktar Dağılım'!$D27,'Gider Miktar'!$F:$F,1001)+SUMIFS('Gider Miktar'!AP:AP,'Gider Miktar'!$B:$B,'Emanet Miktar Dağılım'!$D27,'Gider Miktar'!$F:$F,1002)+SUMIFS('Gider Miktar'!AP:AP,'Gider Miktar'!$B:$B,'Emanet Miktar Dağılım'!$D27,'Gider Miktar'!$F:$F,1003)+SUMIFS('Gider Miktar'!AP:AP,'Gider Miktar'!$B:$B,'Emanet Miktar Dağılım'!$D27,'Gider Miktar'!$F:$F,1004)</f>
        <v>6.6949933774834385</v>
      </c>
      <c r="AH27" s="9">
        <f>+SUMIFS('Gider Miktar'!AQ:AQ,'Gider Miktar'!$B:$B,'Emanet Miktar Dağılım'!$D27,'Gider Miktar'!$F:$F,1001)+SUMIFS('Gider Miktar'!AQ:AQ,'Gider Miktar'!$B:$B,'Emanet Miktar Dağılım'!$D27,'Gider Miktar'!$F:$F,1002)+SUMIFS('Gider Miktar'!AQ:AQ,'Gider Miktar'!$B:$B,'Emanet Miktar Dağılım'!$D27,'Gider Miktar'!$F:$F,1003)+SUMIFS('Gider Miktar'!AQ:AQ,'Gider Miktar'!$B:$B,'Emanet Miktar Dağılım'!$D27,'Gider Miktar'!$F:$F,1004)</f>
        <v>5.0212450331125789</v>
      </c>
      <c r="AI27" s="9">
        <f>+SUMIFS('Gider Miktar'!AR:AR,'Gider Miktar'!$B:$B,'Emanet Miktar Dağılım'!$D27,'Gider Miktar'!$F:$F,1001)+SUMIFS('Gider Miktar'!AR:AR,'Gider Miktar'!$B:$B,'Emanet Miktar Dağılım'!$D27,'Gider Miktar'!$F:$F,1002)+SUMIFS('Gider Miktar'!AR:AR,'Gider Miktar'!$B:$B,'Emanet Miktar Dağılım'!$D27,'Gider Miktar'!$F:$F,1003)+SUMIFS('Gider Miktar'!AR:AR,'Gider Miktar'!$B:$B,'Emanet Miktar Dağılım'!$D27,'Gider Miktar'!$F:$F,1004)</f>
        <v>5.9341986754966838</v>
      </c>
      <c r="AJ27" s="9">
        <f>+SUMIFS('Gider Miktar'!AS:AS,'Gider Miktar'!$B:$B,'Emanet Miktar Dağılım'!$D27,'Gider Miktar'!$F:$F,1001)+SUMIFS('Gider Miktar'!AS:AS,'Gider Miktar'!$B:$B,'Emanet Miktar Dağılım'!$D27,'Gider Miktar'!$F:$F,1002)+SUMIFS('Gider Miktar'!AS:AS,'Gider Miktar'!$B:$B,'Emanet Miktar Dağılım'!$D27,'Gider Miktar'!$F:$F,1003)+SUMIFS('Gider Miktar'!AS:AS,'Gider Miktar'!$B:$B,'Emanet Miktar Dağılım'!$D27,'Gider Miktar'!$F:$F,1004)</f>
        <v>3.6518145695364321</v>
      </c>
      <c r="AK27" s="9">
        <f>+SUMIFS('Gider Miktar'!AT:AT,'Gider Miktar'!$B:$B,'Emanet Miktar Dağılım'!$D27,'Gider Miktar'!$F:$F,1001)+SUMIFS('Gider Miktar'!AT:AT,'Gider Miktar'!$B:$B,'Emanet Miktar Dağılım'!$D27,'Gider Miktar'!$F:$F,1002)+SUMIFS('Gider Miktar'!AT:AT,'Gider Miktar'!$B:$B,'Emanet Miktar Dağılım'!$D27,'Gider Miktar'!$F:$F,1003)+SUMIFS('Gider Miktar'!AT:AT,'Gider Miktar'!$B:$B,'Emanet Miktar Dağılım'!$D27,'Gider Miktar'!$F:$F,1004)</f>
        <v>2.7388609271523112</v>
      </c>
      <c r="AL27" s="9">
        <f>+SUMIFS('Gider Miktar'!AU:AU,'Gider Miktar'!$B:$B,'Emanet Miktar Dağılım'!$D27,'Gider Miktar'!$F:$F,1001)+SUMIFS('Gider Miktar'!AU:AU,'Gider Miktar'!$B:$B,'Emanet Miktar Dağılım'!$D27,'Gider Miktar'!$F:$F,1002)+SUMIFS('Gider Miktar'!AU:AU,'Gider Miktar'!$B:$B,'Emanet Miktar Dağılım'!$D27,'Gider Miktar'!$F:$F,1003)+SUMIFS('Gider Miktar'!AU:AU,'Gider Miktar'!$B:$B,'Emanet Miktar Dağılım'!$D27,'Gider Miktar'!$F:$F,1004)</f>
        <v>3.6518145695364321</v>
      </c>
      <c r="AM27" s="9">
        <f>+SUMIFS('Gider Miktar'!AV:AV,'Gider Miktar'!$B:$B,'Emanet Miktar Dağılım'!$D27,'Gider Miktar'!$F:$F,1001)+SUMIFS('Gider Miktar'!AV:AV,'Gider Miktar'!$B:$B,'Emanet Miktar Dağılım'!$D27,'Gider Miktar'!$F:$F,1002)+SUMIFS('Gider Miktar'!AV:AV,'Gider Miktar'!$B:$B,'Emanet Miktar Dağılım'!$D27,'Gider Miktar'!$F:$F,1003)+SUMIFS('Gider Miktar'!AV:AV,'Gider Miktar'!$B:$B,'Emanet Miktar Dağılım'!$D27,'Gider Miktar'!$F:$F,1004)</f>
        <v>3.6518145695364321</v>
      </c>
      <c r="AN27" s="9">
        <f>+SUMIFS('Gider Miktar'!AW:AW,'Gider Miktar'!$B:$B,'Emanet Miktar Dağılım'!$D27,'Gider Miktar'!$F:$F,1001)+SUMIFS('Gider Miktar'!AW:AW,'Gider Miktar'!$B:$B,'Emanet Miktar Dağılım'!$D27,'Gider Miktar'!$F:$F,1002)+SUMIFS('Gider Miktar'!AW:AW,'Gider Miktar'!$B:$B,'Emanet Miktar Dağılım'!$D27,'Gider Miktar'!$F:$F,1003)+SUMIFS('Gider Miktar'!AW:AW,'Gider Miktar'!$B:$B,'Emanet Miktar Dağılım'!$D27,'Gider Miktar'!$F:$F,1004)</f>
        <v>3.6518145695364321</v>
      </c>
      <c r="AO27" s="9">
        <f>+SUMIFS('Gider Miktar'!AX:AX,'Gider Miktar'!$B:$B,'Emanet Miktar Dağılım'!$D27,'Gider Miktar'!$F:$F,1001)+SUMIFS('Gider Miktar'!AX:AX,'Gider Miktar'!$B:$B,'Emanet Miktar Dağılım'!$D27,'Gider Miktar'!$F:$F,1002)+SUMIFS('Gider Miktar'!AX:AX,'Gider Miktar'!$B:$B,'Emanet Miktar Dağılım'!$D27,'Gider Miktar'!$F:$F,1003)+SUMIFS('Gider Miktar'!AX:AX,'Gider Miktar'!$B:$B,'Emanet Miktar Dağılım'!$D27,'Gider Miktar'!$F:$F,1004)</f>
        <v>3.6518145695364321</v>
      </c>
      <c r="AP27" s="9">
        <f>+SUMIFS('Gider Miktar'!AY:AY,'Gider Miktar'!$B:$B,'Emanet Miktar Dağılım'!$D27,'Gider Miktar'!$F:$F,1001)+SUMIFS('Gider Miktar'!AY:AY,'Gider Miktar'!$B:$B,'Emanet Miktar Dağılım'!$D27,'Gider Miktar'!$F:$F,1002)+SUMIFS('Gider Miktar'!AY:AY,'Gider Miktar'!$B:$B,'Emanet Miktar Dağılım'!$D27,'Gider Miktar'!$F:$F,1003)+SUMIFS('Gider Miktar'!AY:AY,'Gider Miktar'!$B:$B,'Emanet Miktar Dağılım'!$D27,'Gider Miktar'!$F:$F,1004)</f>
        <v>2.3584635761589334</v>
      </c>
      <c r="AQ27" s="9">
        <f>+SUMIFS('Gider Miktar'!AZ:AZ,'Gider Miktar'!$B:$B,'Emanet Miktar Dağılım'!$D27,'Gider Miktar'!$F:$F,1001)+SUMIFS('Gider Miktar'!AZ:AZ,'Gider Miktar'!$B:$B,'Emanet Miktar Dağılım'!$D27,'Gider Miktar'!$F:$F,1002)+SUMIFS('Gider Miktar'!AZ:AZ,'Gider Miktar'!$B:$B,'Emanet Miktar Dağılım'!$D27,'Gider Miktar'!$F:$F,1003)+SUMIFS('Gider Miktar'!AZ:AZ,'Gider Miktar'!$B:$B,'Emanet Miktar Dağılım'!$D27,'Gider Miktar'!$F:$F,1004)</f>
        <v>0</v>
      </c>
      <c r="AR27" s="9">
        <f>+SUMIFS('Gider Miktar'!BA:BA,'Gider Miktar'!$B:$B,'Emanet Miktar Dağılım'!$D27,'Gider Miktar'!$F:$F,1001)+SUMIFS('Gider Miktar'!BA:BA,'Gider Miktar'!$B:$B,'Emanet Miktar Dağılım'!$D27,'Gider Miktar'!$F:$F,1002)+SUMIFS('Gider Miktar'!BA:BA,'Gider Miktar'!$B:$B,'Emanet Miktar Dağılım'!$D27,'Gider Miktar'!$F:$F,1003)+SUMIFS('Gider Miktar'!BA:BA,'Gider Miktar'!$B:$B,'Emanet Miktar Dağılım'!$D27,'Gider Miktar'!$F:$F,1004)</f>
        <v>0</v>
      </c>
      <c r="AS27" s="9">
        <f>+SUMIFS('Gider Miktar'!BB:BB,'Gider Miktar'!$B:$B,'Emanet Miktar Dağılım'!$D27,'Gider Miktar'!$F:$F,1001)+SUMIFS('Gider Miktar'!BB:BB,'Gider Miktar'!$B:$B,'Emanet Miktar Dağılım'!$D27,'Gider Miktar'!$F:$F,1002)+SUMIFS('Gider Miktar'!BB:BB,'Gider Miktar'!$B:$B,'Emanet Miktar Dağılım'!$D27,'Gider Miktar'!$F:$F,1003)+SUMIFS('Gider Miktar'!BB:BB,'Gider Miktar'!$B:$B,'Emanet Miktar Dağılım'!$D27,'Gider Miktar'!$F:$F,1004)</f>
        <v>0</v>
      </c>
      <c r="AT27" s="9">
        <f>+SUMIFS('Gider Miktar'!BC:BC,'Gider Miktar'!$B:$B,'Emanet Miktar Dağılım'!$D27,'Gider Miktar'!$F:$F,1001)+SUMIFS('Gider Miktar'!BC:BC,'Gider Miktar'!$B:$B,'Emanet Miktar Dağılım'!$D27,'Gider Miktar'!$F:$F,1002)+SUMIFS('Gider Miktar'!BC:BC,'Gider Miktar'!$B:$B,'Emanet Miktar Dağılım'!$D27,'Gider Miktar'!$F:$F,1003)+SUMIFS('Gider Miktar'!BC:BC,'Gider Miktar'!$B:$B,'Emanet Miktar Dağılım'!$D27,'Gider Miktar'!$F:$F,1004)</f>
        <v>0</v>
      </c>
      <c r="AU27" s="9">
        <f>+SUMIFS('Gider Miktar'!BD:BD,'Gider Miktar'!$B:$B,'Emanet Miktar Dağılım'!$D27,'Gider Miktar'!$F:$F,1001)+SUMIFS('Gider Miktar'!BD:BD,'Gider Miktar'!$B:$B,'Emanet Miktar Dağılım'!$D27,'Gider Miktar'!$F:$F,1002)+SUMIFS('Gider Miktar'!BD:BD,'Gider Miktar'!$B:$B,'Emanet Miktar Dağılım'!$D27,'Gider Miktar'!$F:$F,1003)+SUMIFS('Gider Miktar'!BD:BD,'Gider Miktar'!$B:$B,'Emanet Miktar Dağılım'!$D27,'Gider Miktar'!$F:$F,1004)</f>
        <v>0</v>
      </c>
      <c r="AV27" s="9">
        <f>+SUMIFS('Gider Miktar'!BE:BE,'Gider Miktar'!$B:$B,'Emanet Miktar Dağılım'!$D27,'Gider Miktar'!$F:$F,1001)+SUMIFS('Gider Miktar'!BE:BE,'Gider Miktar'!$B:$B,'Emanet Miktar Dağılım'!$D27,'Gider Miktar'!$F:$F,1002)+SUMIFS('Gider Miktar'!BE:BE,'Gider Miktar'!$B:$B,'Emanet Miktar Dağılım'!$D27,'Gider Miktar'!$F:$F,1003)+SUMIFS('Gider Miktar'!BE:BE,'Gider Miktar'!$B:$B,'Emanet Miktar Dağılım'!$D27,'Gider Miktar'!$F:$F,1004)</f>
        <v>0</v>
      </c>
      <c r="AW27" s="9">
        <f>+SUMIFS('Gider Miktar'!BF:BF,'Gider Miktar'!$B:$B,'Emanet Miktar Dağılım'!$D27,'Gider Miktar'!$F:$F,1001)+SUMIFS('Gider Miktar'!BF:BF,'Gider Miktar'!$B:$B,'Emanet Miktar Dağılım'!$D27,'Gider Miktar'!$F:$F,1002)+SUMIFS('Gider Miktar'!BF:BF,'Gider Miktar'!$B:$B,'Emanet Miktar Dağılım'!$D27,'Gider Miktar'!$F:$F,1003)+SUMIFS('Gider Miktar'!BF:BF,'Gider Miktar'!$B:$B,'Emanet Miktar Dağılım'!$D27,'Gider Miktar'!$F:$F,1004)</f>
        <v>0</v>
      </c>
      <c r="AX27" s="9">
        <f>+SUMIFS('Gider Miktar'!BG:BG,'Gider Miktar'!$B:$B,'Emanet Miktar Dağılım'!$D27,'Gider Miktar'!$F:$F,1001)+SUMIFS('Gider Miktar'!BG:BG,'Gider Miktar'!$B:$B,'Emanet Miktar Dağılım'!$D27,'Gider Miktar'!$F:$F,1002)+SUMIFS('Gider Miktar'!BG:BG,'Gider Miktar'!$B:$B,'Emanet Miktar Dağılım'!$D27,'Gider Miktar'!$F:$F,1003)+SUMIFS('Gider Miktar'!BG:BG,'Gider Miktar'!$B:$B,'Emanet Miktar Dağılım'!$D27,'Gider Miktar'!$F:$F,1004)</f>
        <v>0</v>
      </c>
      <c r="AY27" s="9">
        <f>+SUMIFS('Gider Miktar'!BH:BH,'Gider Miktar'!$B:$B,'Emanet Miktar Dağılım'!$D27,'Gider Miktar'!$F:$F,1001)+SUMIFS('Gider Miktar'!BH:BH,'Gider Miktar'!$B:$B,'Emanet Miktar Dağılım'!$D27,'Gider Miktar'!$F:$F,1002)+SUMIFS('Gider Miktar'!BH:BH,'Gider Miktar'!$B:$B,'Emanet Miktar Dağılım'!$D27,'Gider Miktar'!$F:$F,1003)+SUMIFS('Gider Miktar'!BH:BH,'Gider Miktar'!$B:$B,'Emanet Miktar Dağılım'!$D27,'Gider Miktar'!$F:$F,1004)</f>
        <v>0</v>
      </c>
      <c r="AZ27" s="9">
        <f>+SUMIFS('Gider Miktar'!BI:BI,'Gider Miktar'!$B:$B,'Emanet Miktar Dağılım'!$D27,'Gider Miktar'!$F:$F,1001)+SUMIFS('Gider Miktar'!BI:BI,'Gider Miktar'!$B:$B,'Emanet Miktar Dağılım'!$D27,'Gider Miktar'!$F:$F,1002)+SUMIFS('Gider Miktar'!BI:BI,'Gider Miktar'!$B:$B,'Emanet Miktar Dağılım'!$D27,'Gider Miktar'!$F:$F,1003)+SUMIFS('Gider Miktar'!BI:BI,'Gider Miktar'!$B:$B,'Emanet Miktar Dağılım'!$D27,'Gider Miktar'!$F:$F,1004)</f>
        <v>0</v>
      </c>
      <c r="BA27" s="9">
        <f>+SUMIFS('Gider Miktar'!BJ:BJ,'Gider Miktar'!$B:$B,'Emanet Miktar Dağılım'!$D27,'Gider Miktar'!$F:$F,1001)+SUMIFS('Gider Miktar'!BJ:BJ,'Gider Miktar'!$B:$B,'Emanet Miktar Dağılım'!$D27,'Gider Miktar'!$F:$F,1002)+SUMIFS('Gider Miktar'!BJ:BJ,'Gider Miktar'!$B:$B,'Emanet Miktar Dağılım'!$D27,'Gider Miktar'!$F:$F,1003)+SUMIFS('Gider Miktar'!BJ:BJ,'Gider Miktar'!$B:$B,'Emanet Miktar Dağılım'!$D27,'Gider Miktar'!$F:$F,1004)</f>
        <v>0</v>
      </c>
      <c r="BB27" s="9">
        <f>+SUMIFS('Gider Miktar'!BK:BK,'Gider Miktar'!$B:$B,'Emanet Miktar Dağılım'!$D27,'Gider Miktar'!$F:$F,1001)+SUMIFS('Gider Miktar'!BK:BK,'Gider Miktar'!$B:$B,'Emanet Miktar Dağılım'!$D27,'Gider Miktar'!$F:$F,1002)+SUMIFS('Gider Miktar'!BK:BK,'Gider Miktar'!$B:$B,'Emanet Miktar Dağılım'!$D27,'Gider Miktar'!$F:$F,1003)+SUMIFS('Gider Miktar'!BK:BK,'Gider Miktar'!$B:$B,'Emanet Miktar Dağılım'!$D27,'Gider Miktar'!$F:$F,1004)</f>
        <v>0</v>
      </c>
      <c r="BC27" s="9">
        <f>+SUMIFS('Gider Miktar'!BL:BL,'Gider Miktar'!$B:$B,'Emanet Miktar Dağılım'!$D27,'Gider Miktar'!$F:$F,1001)+SUMIFS('Gider Miktar'!BL:BL,'Gider Miktar'!$B:$B,'Emanet Miktar Dağılım'!$D27,'Gider Miktar'!$F:$F,1002)+SUMIFS('Gider Miktar'!BL:BL,'Gider Miktar'!$B:$B,'Emanet Miktar Dağılım'!$D27,'Gider Miktar'!$F:$F,1003)+SUMIFS('Gider Miktar'!BL:BL,'Gider Miktar'!$B:$B,'Emanet Miktar Dağılım'!$D27,'Gider Miktar'!$F:$F,1004)</f>
        <v>0</v>
      </c>
      <c r="BD27" s="9">
        <f>+SUMIFS('Gider Miktar'!BM:BM,'Gider Miktar'!$B:$B,'Emanet Miktar Dağılım'!$D27,'Gider Miktar'!$F:$F,1001)+SUMIFS('Gider Miktar'!BM:BM,'Gider Miktar'!$B:$B,'Emanet Miktar Dağılım'!$D27,'Gider Miktar'!$F:$F,1002)+SUMIFS('Gider Miktar'!BM:BM,'Gider Miktar'!$B:$B,'Emanet Miktar Dağılım'!$D27,'Gider Miktar'!$F:$F,1003)+SUMIFS('Gider Miktar'!BM:BM,'Gider Miktar'!$B:$B,'Emanet Miktar Dağılım'!$D27,'Gider Miktar'!$F:$F,1004)</f>
        <v>0</v>
      </c>
      <c r="BE27" s="9">
        <f>+SUMIFS('Gider Miktar'!BN:BN,'Gider Miktar'!$B:$B,'Emanet Miktar Dağılım'!$D27,'Gider Miktar'!$F:$F,1001)+SUMIFS('Gider Miktar'!BN:BN,'Gider Miktar'!$B:$B,'Emanet Miktar Dağılım'!$D27,'Gider Miktar'!$F:$F,1002)+SUMIFS('Gider Miktar'!BN:BN,'Gider Miktar'!$B:$B,'Emanet Miktar Dağılım'!$D27,'Gider Miktar'!$F:$F,1003)+SUMIFS('Gider Miktar'!BN:BN,'Gider Miktar'!$B:$B,'Emanet Miktar Dağılım'!$D27,'Gider Miktar'!$F:$F,1004)</f>
        <v>0</v>
      </c>
      <c r="BF27" s="9">
        <f>+SUMIFS('Gider Miktar'!BO:BO,'Gider Miktar'!$B:$B,'Emanet Miktar Dağılım'!$D27,'Gider Miktar'!$F:$F,1001)+SUMIFS('Gider Miktar'!BO:BO,'Gider Miktar'!$B:$B,'Emanet Miktar Dağılım'!$D27,'Gider Miktar'!$F:$F,1002)+SUMIFS('Gider Miktar'!BO:BO,'Gider Miktar'!$B:$B,'Emanet Miktar Dağılım'!$D27,'Gider Miktar'!$F:$F,1003)+SUMIFS('Gider Miktar'!BO:BO,'Gider Miktar'!$B:$B,'Emanet Miktar Dağılım'!$D27,'Gider Miktar'!$F:$F,1004)</f>
        <v>0</v>
      </c>
      <c r="BG27" s="9">
        <f>+SUMIFS('Gider Miktar'!BP:BP,'Gider Miktar'!$B:$B,'Emanet Miktar Dağılım'!$D27,'Gider Miktar'!$F:$F,1001)+SUMIFS('Gider Miktar'!BP:BP,'Gider Miktar'!$B:$B,'Emanet Miktar Dağılım'!$D27,'Gider Miktar'!$F:$F,1002)+SUMIFS('Gider Miktar'!BP:BP,'Gider Miktar'!$B:$B,'Emanet Miktar Dağılım'!$D27,'Gider Miktar'!$F:$F,1003)+SUMIFS('Gider Miktar'!BP:BP,'Gider Miktar'!$B:$B,'Emanet Miktar Dağılım'!$D27,'Gider Miktar'!$F:$F,1004)</f>
        <v>0</v>
      </c>
      <c r="BH27" s="9">
        <f>+SUMIFS('Gider Miktar'!BQ:BQ,'Gider Miktar'!$B:$B,'Emanet Miktar Dağılım'!$D27,'Gider Miktar'!$F:$F,1001)+SUMIFS('Gider Miktar'!BQ:BQ,'Gider Miktar'!$B:$B,'Emanet Miktar Dağılım'!$D27,'Gider Miktar'!$F:$F,1002)+SUMIFS('Gider Miktar'!BQ:BQ,'Gider Miktar'!$B:$B,'Emanet Miktar Dağılım'!$D27,'Gider Miktar'!$F:$F,1003)+SUMIFS('Gider Miktar'!BQ:BQ,'Gider Miktar'!$B:$B,'Emanet Miktar Dağılım'!$D27,'Gider Miktar'!$F:$F,1004)</f>
        <v>0</v>
      </c>
      <c r="BI27" s="9">
        <f>+SUMIFS('Gider Miktar'!BR:BR,'Gider Miktar'!$B:$B,'Emanet Miktar Dağılım'!$D27,'Gider Miktar'!$F:$F,1001)+SUMIFS('Gider Miktar'!BR:BR,'Gider Miktar'!$B:$B,'Emanet Miktar Dağılım'!$D27,'Gider Miktar'!$F:$F,1002)+SUMIFS('Gider Miktar'!BR:BR,'Gider Miktar'!$B:$B,'Emanet Miktar Dağılım'!$D27,'Gider Miktar'!$F:$F,1003)+SUMIFS('Gider Miktar'!BR:BR,'Gider Miktar'!$B:$B,'Emanet Miktar Dağılım'!$D27,'Gider Miktar'!$F:$F,1004)</f>
        <v>0</v>
      </c>
      <c r="BJ27" s="9">
        <f>+SUMIFS('Gider Miktar'!BS:BS,'Gider Miktar'!$B:$B,'Emanet Miktar Dağılım'!$D27,'Gider Miktar'!$F:$F,1001)+SUMIFS('Gider Miktar'!BS:BS,'Gider Miktar'!$B:$B,'Emanet Miktar Dağılım'!$D27,'Gider Miktar'!$F:$F,1002)+SUMIFS('Gider Miktar'!BS:BS,'Gider Miktar'!$B:$B,'Emanet Miktar Dağılım'!$D27,'Gider Miktar'!$F:$F,1003)+SUMIFS('Gider Miktar'!BS:BS,'Gider Miktar'!$B:$B,'Emanet Miktar Dağılım'!$D27,'Gider Miktar'!$F:$F,1004)</f>
        <v>0</v>
      </c>
      <c r="BK27" s="9">
        <f>+SUMIFS('Gider Miktar'!BT:BT,'Gider Miktar'!$B:$B,'Emanet Miktar Dağılım'!$D27,'Gider Miktar'!$F:$F,1001)+SUMIFS('Gider Miktar'!BT:BT,'Gider Miktar'!$B:$B,'Emanet Miktar Dağılım'!$D27,'Gider Miktar'!$F:$F,1002)+SUMIFS('Gider Miktar'!BT:BT,'Gider Miktar'!$B:$B,'Emanet Miktar Dağılım'!$D27,'Gider Miktar'!$F:$F,1003)+SUMIFS('Gider Miktar'!BT:BT,'Gider Miktar'!$B:$B,'Emanet Miktar Dağılım'!$D27,'Gider Miktar'!$F:$F,1004)</f>
        <v>0</v>
      </c>
      <c r="BL27" s="9">
        <f>+SUMIFS('Gider Miktar'!BU:BU,'Gider Miktar'!$B:$B,'Emanet Miktar Dağılım'!$D27,'Gider Miktar'!$F:$F,1001)+SUMIFS('Gider Miktar'!BU:BU,'Gider Miktar'!$B:$B,'Emanet Miktar Dağılım'!$D27,'Gider Miktar'!$F:$F,1002)+SUMIFS('Gider Miktar'!BU:BU,'Gider Miktar'!$B:$B,'Emanet Miktar Dağılım'!$D27,'Gider Miktar'!$F:$F,1003)+SUMIFS('Gider Miktar'!BU:BU,'Gider Miktar'!$B:$B,'Emanet Miktar Dağılım'!$D27,'Gider Miktar'!$F:$F,1004)</f>
        <v>0</v>
      </c>
      <c r="BM27" s="9">
        <f>+SUMIFS('Gider Miktar'!BV:BV,'Gider Miktar'!$B:$B,'Emanet Miktar Dağılım'!$D27,'Gider Miktar'!$F:$F,1001)+SUMIFS('Gider Miktar'!BV:BV,'Gider Miktar'!$B:$B,'Emanet Miktar Dağılım'!$D27,'Gider Miktar'!$F:$F,1002)+SUMIFS('Gider Miktar'!BV:BV,'Gider Miktar'!$B:$B,'Emanet Miktar Dağılım'!$D27,'Gider Miktar'!$F:$F,1003)+SUMIFS('Gider Miktar'!BV:BV,'Gider Miktar'!$B:$B,'Emanet Miktar Dağılım'!$D27,'Gider Miktar'!$F:$F,1004)</f>
        <v>0</v>
      </c>
      <c r="BN27" s="9">
        <f>+SUMIFS('Gider Miktar'!BW:BW,'Gider Miktar'!$B:$B,'Emanet Miktar Dağılım'!$D27,'Gider Miktar'!$F:$F,1001)+SUMIFS('Gider Miktar'!BW:BW,'Gider Miktar'!$B:$B,'Emanet Miktar Dağılım'!$D27,'Gider Miktar'!$F:$F,1002)+SUMIFS('Gider Miktar'!BW:BW,'Gider Miktar'!$B:$B,'Emanet Miktar Dağılım'!$D27,'Gider Miktar'!$F:$F,1003)+SUMIFS('Gider Miktar'!BW:BW,'Gider Miktar'!$B:$B,'Emanet Miktar Dağılım'!$D27,'Gider Miktar'!$F:$F,1004)</f>
        <v>0</v>
      </c>
      <c r="BO27" s="9">
        <f>+SUMIFS('Gider Miktar'!BX:BX,'Gider Miktar'!$B:$B,'Emanet Miktar Dağılım'!$D27,'Gider Miktar'!$F:$F,1001)+SUMIFS('Gider Miktar'!BX:BX,'Gider Miktar'!$B:$B,'Emanet Miktar Dağılım'!$D27,'Gider Miktar'!$F:$F,1002)+SUMIFS('Gider Miktar'!BX:BX,'Gider Miktar'!$B:$B,'Emanet Miktar Dağılım'!$D27,'Gider Miktar'!$F:$F,1003)+SUMIFS('Gider Miktar'!BX:BX,'Gider Miktar'!$B:$B,'Emanet Miktar Dağılım'!$D27,'Gider Miktar'!$F:$F,1004)</f>
        <v>0</v>
      </c>
    </row>
    <row r="28" spans="2:67" ht="15" thickBot="1">
      <c r="B28" s="89" t="s">
        <v>5189</v>
      </c>
      <c r="E28" s="9"/>
      <c r="F28" s="9"/>
      <c r="G28" s="9"/>
      <c r="H28" s="9"/>
      <c r="I28" s="9"/>
      <c r="J28" s="9"/>
      <c r="K28" s="9"/>
      <c r="L28" s="9"/>
      <c r="M28" s="9"/>
      <c r="N28" s="11"/>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row>
    <row r="29" spans="2:67">
      <c r="B29" t="s">
        <v>109</v>
      </c>
      <c r="C29" s="9">
        <f>+SUM(E29:BO29)</f>
        <v>22888989.096000008</v>
      </c>
      <c r="D29" t="s">
        <v>2</v>
      </c>
      <c r="E29" s="9">
        <v>0</v>
      </c>
      <c r="F29" s="9">
        <v>120974.3291025712</v>
      </c>
      <c r="G29" s="9">
        <v>1476848.4153489452</v>
      </c>
      <c r="H29" s="9">
        <v>348203.95254848321</v>
      </c>
      <c r="I29" s="9">
        <v>0</v>
      </c>
      <c r="J29" s="9">
        <v>0</v>
      </c>
      <c r="K29" s="9">
        <v>0</v>
      </c>
      <c r="L29" s="9">
        <v>179117.89499999979</v>
      </c>
      <c r="M29" s="9">
        <v>133793.03900000034</v>
      </c>
      <c r="N29" s="11">
        <v>520408.50199999975</v>
      </c>
      <c r="O29" s="9">
        <v>433782.05125853029</v>
      </c>
      <c r="P29" s="9">
        <v>717504.53858387773</v>
      </c>
      <c r="Q29" s="9">
        <v>720559.03250664996</v>
      </c>
      <c r="R29" s="9">
        <v>507193.96092815092</v>
      </c>
      <c r="S29" s="9">
        <v>438622.97782524698</v>
      </c>
      <c r="T29" s="9">
        <v>788013.40288517973</v>
      </c>
      <c r="U29" s="9">
        <v>715981.48054988415</v>
      </c>
      <c r="V29" s="9">
        <v>823444.26404566038</v>
      </c>
      <c r="W29" s="9">
        <v>823922.43914499809</v>
      </c>
      <c r="X29" s="9">
        <v>820376.35076846054</v>
      </c>
      <c r="Y29" s="9">
        <v>856390.51085443434</v>
      </c>
      <c r="Z29" s="9">
        <v>855912.33575509663</v>
      </c>
      <c r="AA29" s="9">
        <v>855912.33575509663</v>
      </c>
      <c r="AB29" s="9">
        <v>855912.33575509663</v>
      </c>
      <c r="AC29" s="9">
        <v>855912.33575509663</v>
      </c>
      <c r="AD29" s="9">
        <v>641841.59729941306</v>
      </c>
      <c r="AE29" s="9">
        <v>569914.79879027244</v>
      </c>
      <c r="AF29" s="9">
        <v>569914.79879027244</v>
      </c>
      <c r="AG29" s="9">
        <v>641841.59729941306</v>
      </c>
      <c r="AH29" s="9">
        <v>714246.57090789091</v>
      </c>
      <c r="AI29" s="9">
        <v>785057.71809970553</v>
      </c>
      <c r="AJ29" s="9">
        <v>785709.77505334793</v>
      </c>
      <c r="AK29" s="9">
        <v>785970.59783480491</v>
      </c>
      <c r="AL29" s="9">
        <v>785709.77505334793</v>
      </c>
      <c r="AM29" s="9">
        <v>750173.79006671219</v>
      </c>
      <c r="AN29" s="9">
        <v>727616.96823659539</v>
      </c>
      <c r="AO29" s="9">
        <v>426930.61104351474</v>
      </c>
      <c r="AP29" s="9">
        <v>427300.10998391209</v>
      </c>
      <c r="AQ29" s="9">
        <v>427973.90216934256</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row>
    <row r="30" spans="2:67">
      <c r="B30" t="s">
        <v>119</v>
      </c>
      <c r="C30" s="9">
        <f t="shared" ref="C30:C87" si="1">+SUM(E30:BO30)</f>
        <v>8870000</v>
      </c>
      <c r="D30" t="s">
        <v>2615</v>
      </c>
      <c r="E30" s="9">
        <v>0</v>
      </c>
      <c r="F30" s="9">
        <v>0</v>
      </c>
      <c r="G30" s="9">
        <v>0</v>
      </c>
      <c r="H30" s="9">
        <v>0</v>
      </c>
      <c r="I30" s="9">
        <v>0</v>
      </c>
      <c r="J30" s="9">
        <v>0</v>
      </c>
      <c r="K30" s="9">
        <v>0</v>
      </c>
      <c r="L30" s="9">
        <v>0</v>
      </c>
      <c r="M30" s="9">
        <v>0</v>
      </c>
      <c r="N30" s="11">
        <v>0</v>
      </c>
      <c r="O30" s="9">
        <v>50000</v>
      </c>
      <c r="P30" s="9">
        <v>300000</v>
      </c>
      <c r="Q30" s="9">
        <v>300000</v>
      </c>
      <c r="R30" s="9">
        <v>300000</v>
      </c>
      <c r="S30" s="9">
        <v>270000</v>
      </c>
      <c r="T30" s="9">
        <v>150000</v>
      </c>
      <c r="U30" s="9">
        <v>150000</v>
      </c>
      <c r="V30" s="9">
        <v>250000</v>
      </c>
      <c r="W30" s="9">
        <v>350000</v>
      </c>
      <c r="X30" s="9">
        <v>450000</v>
      </c>
      <c r="Y30" s="9">
        <v>450000</v>
      </c>
      <c r="Z30" s="9">
        <v>450000</v>
      </c>
      <c r="AA30" s="9">
        <v>450000</v>
      </c>
      <c r="AB30" s="9">
        <v>450000</v>
      </c>
      <c r="AC30" s="9">
        <v>450000</v>
      </c>
      <c r="AD30" s="9">
        <v>300000</v>
      </c>
      <c r="AE30" s="9">
        <v>100000</v>
      </c>
      <c r="AF30" s="9">
        <v>0</v>
      </c>
      <c r="AG30" s="9">
        <v>150000</v>
      </c>
      <c r="AH30" s="9">
        <v>250000</v>
      </c>
      <c r="AI30" s="9">
        <v>350000</v>
      </c>
      <c r="AJ30" s="9">
        <v>450000</v>
      </c>
      <c r="AK30" s="9">
        <v>450000</v>
      </c>
      <c r="AL30" s="9">
        <v>450000</v>
      </c>
      <c r="AM30" s="9">
        <v>450000</v>
      </c>
      <c r="AN30" s="9">
        <v>450000</v>
      </c>
      <c r="AO30" s="9">
        <v>450000</v>
      </c>
      <c r="AP30" s="9">
        <v>200000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row>
    <row r="31" spans="2:67">
      <c r="B31" t="s">
        <v>124</v>
      </c>
      <c r="C31" s="9">
        <f t="shared" si="1"/>
        <v>2085258.0000000007</v>
      </c>
      <c r="D31" t="s">
        <v>2616</v>
      </c>
      <c r="E31" s="9">
        <v>0</v>
      </c>
      <c r="F31" s="9">
        <v>0</v>
      </c>
      <c r="G31" s="9">
        <v>0</v>
      </c>
      <c r="H31" s="9">
        <v>0</v>
      </c>
      <c r="I31" s="9">
        <v>0</v>
      </c>
      <c r="J31" s="9">
        <v>0</v>
      </c>
      <c r="K31" s="9">
        <v>0</v>
      </c>
      <c r="L31" s="9">
        <v>0</v>
      </c>
      <c r="M31" s="9">
        <v>2286.7539999999999</v>
      </c>
      <c r="N31" s="11">
        <v>442.34000000000015</v>
      </c>
      <c r="O31" s="9">
        <v>19973.824879223583</v>
      </c>
      <c r="P31" s="9">
        <v>49934.562198058949</v>
      </c>
      <c r="Q31" s="9">
        <v>49934.562198058949</v>
      </c>
      <c r="R31" s="9">
        <v>49934.562198058949</v>
      </c>
      <c r="S31" s="9">
        <v>49934.562198058949</v>
      </c>
      <c r="T31" s="9">
        <v>24967.281099029475</v>
      </c>
      <c r="U31" s="9">
        <v>49934.562198058949</v>
      </c>
      <c r="V31" s="9">
        <v>49934.562198058949</v>
      </c>
      <c r="W31" s="9">
        <v>49934.562198058949</v>
      </c>
      <c r="X31" s="9">
        <v>99869.124396117899</v>
      </c>
      <c r="Y31" s="9">
        <v>124836.40549514737</v>
      </c>
      <c r="Z31" s="9">
        <v>124836.40549514737</v>
      </c>
      <c r="AA31" s="9">
        <v>124836.40549514737</v>
      </c>
      <c r="AB31" s="9">
        <v>99869.124396117899</v>
      </c>
      <c r="AC31" s="9">
        <v>99869.124396117899</v>
      </c>
      <c r="AD31" s="9">
        <v>49934.562198058949</v>
      </c>
      <c r="AE31" s="9">
        <v>24967.281099029475</v>
      </c>
      <c r="AF31" s="9">
        <v>24967.281099029475</v>
      </c>
      <c r="AG31" s="9">
        <v>24967.281099029475</v>
      </c>
      <c r="AH31" s="9">
        <v>49934.562198058949</v>
      </c>
      <c r="AI31" s="9">
        <v>74901.843297088431</v>
      </c>
      <c r="AJ31" s="9">
        <v>124836.40549514737</v>
      </c>
      <c r="AK31" s="9">
        <v>124836.40549514737</v>
      </c>
      <c r="AL31" s="9">
        <v>124836.40549514737</v>
      </c>
      <c r="AM31" s="9">
        <v>124836.40549514737</v>
      </c>
      <c r="AN31" s="9">
        <v>124836.40549514737</v>
      </c>
      <c r="AO31" s="9">
        <v>99869.124396117899</v>
      </c>
      <c r="AP31" s="9">
        <v>40205.312099389143</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row>
    <row r="32" spans="2:67">
      <c r="B32" t="s">
        <v>129</v>
      </c>
      <c r="C32" s="9">
        <f t="shared" si="1"/>
        <v>2840413.0940000005</v>
      </c>
      <c r="D32" t="s">
        <v>2617</v>
      </c>
      <c r="E32" s="9">
        <v>0</v>
      </c>
      <c r="F32" s="9">
        <v>0</v>
      </c>
      <c r="G32" s="9">
        <v>0</v>
      </c>
      <c r="H32" s="9">
        <v>0</v>
      </c>
      <c r="I32" s="9">
        <v>0</v>
      </c>
      <c r="J32" s="9">
        <v>0</v>
      </c>
      <c r="K32" s="9">
        <v>0</v>
      </c>
      <c r="L32" s="9">
        <v>0</v>
      </c>
      <c r="M32" s="9">
        <v>0</v>
      </c>
      <c r="N32" s="11">
        <v>0</v>
      </c>
      <c r="O32" s="9">
        <v>20019.234657558769</v>
      </c>
      <c r="P32" s="9">
        <v>50048.086643896924</v>
      </c>
      <c r="Q32" s="9">
        <v>50048.086643896924</v>
      </c>
      <c r="R32" s="9">
        <v>50048.086643896924</v>
      </c>
      <c r="S32" s="9">
        <v>50048.086643896924</v>
      </c>
      <c r="T32" s="9">
        <v>50048.086643896924</v>
      </c>
      <c r="U32" s="9">
        <v>75072.129965845394</v>
      </c>
      <c r="V32" s="9">
        <v>75072.129965845394</v>
      </c>
      <c r="W32" s="9">
        <v>125120.21660974232</v>
      </c>
      <c r="X32" s="9">
        <v>125120.21660974232</v>
      </c>
      <c r="Y32" s="9">
        <v>150144.25993169079</v>
      </c>
      <c r="Z32" s="9">
        <v>150144.25993169079</v>
      </c>
      <c r="AA32" s="9">
        <v>150144.25993169079</v>
      </c>
      <c r="AB32" s="9">
        <v>125120.21660974232</v>
      </c>
      <c r="AC32" s="9">
        <v>125120.21660974232</v>
      </c>
      <c r="AD32" s="9">
        <v>75072.129965845394</v>
      </c>
      <c r="AE32" s="9">
        <v>50048.086643896924</v>
      </c>
      <c r="AF32" s="9">
        <v>60057.703972676311</v>
      </c>
      <c r="AG32" s="9">
        <v>60057.703972676311</v>
      </c>
      <c r="AH32" s="9">
        <v>85081.747294624773</v>
      </c>
      <c r="AI32" s="9">
        <v>110105.79061657323</v>
      </c>
      <c r="AJ32" s="9">
        <v>160153.87726047015</v>
      </c>
      <c r="AK32" s="9">
        <v>160153.87726047015</v>
      </c>
      <c r="AL32" s="9">
        <v>160153.87726047015</v>
      </c>
      <c r="AM32" s="9">
        <v>160153.87726047015</v>
      </c>
      <c r="AN32" s="9">
        <v>160153.87726047015</v>
      </c>
      <c r="AO32" s="9">
        <v>135129.83393852171</v>
      </c>
      <c r="AP32" s="9">
        <v>75330.378092927887</v>
      </c>
      <c r="AQ32" s="9">
        <v>17442.759157130957</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row>
    <row r="33" spans="2:67">
      <c r="B33" t="s">
        <v>134</v>
      </c>
      <c r="C33" s="9">
        <f t="shared" si="1"/>
        <v>2006730</v>
      </c>
      <c r="D33" t="s">
        <v>2618</v>
      </c>
      <c r="E33" s="9">
        <v>0</v>
      </c>
      <c r="F33" s="9">
        <v>0</v>
      </c>
      <c r="G33" s="9">
        <v>0</v>
      </c>
      <c r="H33" s="9">
        <v>0</v>
      </c>
      <c r="I33" s="9">
        <v>0</v>
      </c>
      <c r="J33" s="9">
        <v>0</v>
      </c>
      <c r="K33" s="9">
        <v>0</v>
      </c>
      <c r="L33" s="9">
        <v>0</v>
      </c>
      <c r="M33" s="9">
        <v>0</v>
      </c>
      <c r="N33" s="11">
        <v>0</v>
      </c>
      <c r="O33" s="9">
        <v>0</v>
      </c>
      <c r="P33" s="9">
        <v>75000</v>
      </c>
      <c r="Q33" s="9">
        <v>50000</v>
      </c>
      <c r="R33" s="9">
        <v>50000</v>
      </c>
      <c r="S33" s="9">
        <v>50000</v>
      </c>
      <c r="T33" s="9">
        <v>25000</v>
      </c>
      <c r="U33" s="9">
        <v>50000</v>
      </c>
      <c r="V33" s="9">
        <v>50000</v>
      </c>
      <c r="W33" s="9">
        <v>100000</v>
      </c>
      <c r="X33" s="9">
        <v>100000</v>
      </c>
      <c r="Y33" s="9">
        <v>125000</v>
      </c>
      <c r="Z33" s="9">
        <v>125000</v>
      </c>
      <c r="AA33" s="9">
        <v>125000</v>
      </c>
      <c r="AB33" s="9">
        <v>125000</v>
      </c>
      <c r="AC33" s="9">
        <v>100000</v>
      </c>
      <c r="AD33" s="9">
        <v>50000</v>
      </c>
      <c r="AE33" s="9">
        <v>20000</v>
      </c>
      <c r="AF33" s="9">
        <v>20000</v>
      </c>
      <c r="AG33" s="9">
        <v>20000</v>
      </c>
      <c r="AH33" s="9">
        <v>40000</v>
      </c>
      <c r="AI33" s="9">
        <v>40000</v>
      </c>
      <c r="AJ33" s="9">
        <v>100000</v>
      </c>
      <c r="AK33" s="9">
        <v>100000</v>
      </c>
      <c r="AL33" s="9">
        <v>100000</v>
      </c>
      <c r="AM33" s="9">
        <v>100000</v>
      </c>
      <c r="AN33" s="9">
        <v>100000</v>
      </c>
      <c r="AO33" s="9">
        <v>100000</v>
      </c>
      <c r="AP33" s="9">
        <v>66730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row>
    <row r="34" spans="2:67">
      <c r="B34" t="s">
        <v>139</v>
      </c>
      <c r="C34" s="9">
        <f t="shared" si="1"/>
        <v>108520</v>
      </c>
      <c r="D34" t="s">
        <v>2619</v>
      </c>
      <c r="E34" s="9">
        <v>0</v>
      </c>
      <c r="F34" s="9">
        <v>0</v>
      </c>
      <c r="G34" s="9">
        <v>0</v>
      </c>
      <c r="H34" s="9">
        <v>0</v>
      </c>
      <c r="I34" s="9">
        <v>0</v>
      </c>
      <c r="J34" s="9">
        <v>0</v>
      </c>
      <c r="K34" s="9">
        <v>0</v>
      </c>
      <c r="L34" s="9">
        <v>0</v>
      </c>
      <c r="M34" s="9">
        <v>0</v>
      </c>
      <c r="N34" s="11">
        <v>0</v>
      </c>
      <c r="O34" s="9">
        <v>0</v>
      </c>
      <c r="P34" s="9">
        <v>0</v>
      </c>
      <c r="Q34" s="9">
        <v>0</v>
      </c>
      <c r="R34" s="9">
        <v>0</v>
      </c>
      <c r="S34" s="9">
        <v>0</v>
      </c>
      <c r="T34" s="9">
        <v>0</v>
      </c>
      <c r="U34" s="9">
        <v>0</v>
      </c>
      <c r="V34" s="9">
        <v>10000</v>
      </c>
      <c r="W34" s="9">
        <v>10000</v>
      </c>
      <c r="X34" s="9">
        <v>10000</v>
      </c>
      <c r="Y34" s="9">
        <v>10000</v>
      </c>
      <c r="Z34" s="9">
        <v>10000</v>
      </c>
      <c r="AA34" s="9">
        <v>10000</v>
      </c>
      <c r="AB34" s="9">
        <v>10000</v>
      </c>
      <c r="AC34" s="9">
        <v>0</v>
      </c>
      <c r="AD34" s="9">
        <v>0</v>
      </c>
      <c r="AE34" s="9">
        <v>0</v>
      </c>
      <c r="AF34" s="9">
        <v>0</v>
      </c>
      <c r="AG34" s="9">
        <v>0</v>
      </c>
      <c r="AH34" s="9">
        <v>0</v>
      </c>
      <c r="AI34" s="9">
        <v>0</v>
      </c>
      <c r="AJ34" s="9">
        <v>0</v>
      </c>
      <c r="AK34" s="9">
        <v>10000</v>
      </c>
      <c r="AL34" s="9">
        <v>10000</v>
      </c>
      <c r="AM34" s="9">
        <v>10000</v>
      </c>
      <c r="AN34" s="9">
        <v>8520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row>
    <row r="35" spans="2:67">
      <c r="B35" t="s">
        <v>147</v>
      </c>
      <c r="C35" s="9">
        <f t="shared" si="1"/>
        <v>177341.095</v>
      </c>
      <c r="D35" t="s">
        <v>5</v>
      </c>
      <c r="E35" s="9">
        <v>0</v>
      </c>
      <c r="F35" s="9">
        <v>0</v>
      </c>
      <c r="G35" s="9">
        <v>0</v>
      </c>
      <c r="H35" s="9">
        <v>0</v>
      </c>
      <c r="I35" s="9">
        <v>1650.0146062938099</v>
      </c>
      <c r="J35" s="9">
        <v>2989.6170462416071</v>
      </c>
      <c r="K35" s="9">
        <v>2845.3659434645829</v>
      </c>
      <c r="L35" s="9">
        <v>0</v>
      </c>
      <c r="M35" s="9">
        <v>1220.5530510000003</v>
      </c>
      <c r="N35" s="11">
        <v>0</v>
      </c>
      <c r="O35" s="9">
        <v>1683.4927139891552</v>
      </c>
      <c r="P35" s="9">
        <v>3956.9894999869907</v>
      </c>
      <c r="Q35" s="9">
        <v>2701.0766700305894</v>
      </c>
      <c r="R35" s="9">
        <v>4208.8351532679217</v>
      </c>
      <c r="S35" s="9">
        <v>2952.9223233115208</v>
      </c>
      <c r="T35" s="9">
        <v>3774.7804848550973</v>
      </c>
      <c r="U35" s="9">
        <v>8134.5314361199034</v>
      </c>
      <c r="V35" s="9">
        <v>7185.0414440541754</v>
      </c>
      <c r="W35" s="9">
        <v>6167.4574880127429</v>
      </c>
      <c r="X35" s="9">
        <v>6933.1957907732449</v>
      </c>
      <c r="Y35" s="9">
        <v>6933.1957907732449</v>
      </c>
      <c r="Z35" s="9">
        <v>5915.6118347318106</v>
      </c>
      <c r="AA35" s="9">
        <v>5915.6118347318106</v>
      </c>
      <c r="AB35" s="9">
        <v>5582.3687497835799</v>
      </c>
      <c r="AC35" s="9">
        <v>5582.3687497835799</v>
      </c>
      <c r="AD35" s="9">
        <v>5273.9375225059857</v>
      </c>
      <c r="AE35" s="9">
        <v>4018.0246925495835</v>
      </c>
      <c r="AF35" s="9">
        <v>4181.9805165270127</v>
      </c>
      <c r="AG35" s="9">
        <v>7711.3901324812505</v>
      </c>
      <c r="AH35" s="9">
        <v>8728.9740885226838</v>
      </c>
      <c r="AI35" s="9">
        <v>8728.9740885226838</v>
      </c>
      <c r="AJ35" s="9">
        <v>8728.9740885226838</v>
      </c>
      <c r="AK35" s="9">
        <v>7711.3901324812505</v>
      </c>
      <c r="AL35" s="9">
        <v>6693.8061764398171</v>
      </c>
      <c r="AM35" s="9">
        <v>6693.8061764398171</v>
      </c>
      <c r="AN35" s="9">
        <v>5023.6513198256062</v>
      </c>
      <c r="AO35" s="9">
        <v>6244.7520670753274</v>
      </c>
      <c r="AP35" s="9">
        <v>6244.7520670753274</v>
      </c>
      <c r="AQ35" s="9">
        <v>5023.6513198256062</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row>
    <row r="36" spans="2:67">
      <c r="B36" t="s">
        <v>151</v>
      </c>
      <c r="C36" s="9">
        <f t="shared" si="1"/>
        <v>12110.234027685945</v>
      </c>
      <c r="D36" t="s">
        <v>6</v>
      </c>
      <c r="E36" s="9">
        <v>0</v>
      </c>
      <c r="F36" s="9">
        <v>0</v>
      </c>
      <c r="G36" s="9">
        <v>0</v>
      </c>
      <c r="H36" s="9">
        <v>0</v>
      </c>
      <c r="I36" s="9">
        <v>80.261431251402939</v>
      </c>
      <c r="J36" s="9">
        <v>94.483580473484935</v>
      </c>
      <c r="K36" s="9">
        <v>107.49298827511211</v>
      </c>
      <c r="L36" s="9">
        <v>0.8800000000000523</v>
      </c>
      <c r="M36" s="9">
        <v>68.738999999999976</v>
      </c>
      <c r="N36" s="11">
        <v>1.4309999999999832</v>
      </c>
      <c r="O36" s="9">
        <v>132.29574079032173</v>
      </c>
      <c r="P36" s="9">
        <v>161.89809069817267</v>
      </c>
      <c r="Q36" s="9">
        <v>322.08829242306228</v>
      </c>
      <c r="R36" s="9">
        <v>365.84420302702262</v>
      </c>
      <c r="S36" s="9">
        <v>341.87935358344845</v>
      </c>
      <c r="T36" s="9">
        <v>480.97390124909168</v>
      </c>
      <c r="U36" s="9">
        <v>702.17058399093196</v>
      </c>
      <c r="V36" s="9">
        <v>443.40072705019873</v>
      </c>
      <c r="W36" s="9">
        <v>437.76322658592187</v>
      </c>
      <c r="X36" s="9">
        <v>599.55988072441096</v>
      </c>
      <c r="Y36" s="9">
        <v>781.68378730759127</v>
      </c>
      <c r="Z36" s="9">
        <v>776.04628684331431</v>
      </c>
      <c r="AA36" s="9">
        <v>776.04628684331431</v>
      </c>
      <c r="AB36" s="9">
        <v>680.4650995703247</v>
      </c>
      <c r="AC36" s="9">
        <v>503.35731753286757</v>
      </c>
      <c r="AD36" s="9">
        <v>372.62334794238694</v>
      </c>
      <c r="AE36" s="9">
        <v>333.22426912735625</v>
      </c>
      <c r="AF36" s="9">
        <v>346.01793978815044</v>
      </c>
      <c r="AG36" s="9">
        <v>399.58513913957609</v>
      </c>
      <c r="AH36" s="9">
        <v>405.22263960385203</v>
      </c>
      <c r="AI36" s="9">
        <v>405.22263960385203</v>
      </c>
      <c r="AJ36" s="9">
        <v>405.22263960385203</v>
      </c>
      <c r="AK36" s="9">
        <v>399.58513913957609</v>
      </c>
      <c r="AL36" s="9">
        <v>393.947638675299</v>
      </c>
      <c r="AM36" s="9">
        <v>393.947638675299</v>
      </c>
      <c r="AN36" s="9">
        <v>95.859397774297975</v>
      </c>
      <c r="AO36" s="9">
        <v>102.577711309078</v>
      </c>
      <c r="AP36" s="9">
        <v>102.577711309078</v>
      </c>
      <c r="AQ36" s="9">
        <v>95.859397774297975</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row>
    <row r="37" spans="2:67">
      <c r="B37" t="s">
        <v>155</v>
      </c>
      <c r="C37" s="9">
        <f t="shared" si="1"/>
        <v>948.20359600000006</v>
      </c>
      <c r="D37" t="s">
        <v>7</v>
      </c>
      <c r="E37" s="9">
        <v>0</v>
      </c>
      <c r="F37" s="9">
        <v>0</v>
      </c>
      <c r="G37" s="9">
        <v>0</v>
      </c>
      <c r="H37" s="9">
        <v>0</v>
      </c>
      <c r="I37" s="9">
        <v>106.72327500712777</v>
      </c>
      <c r="J37" s="9">
        <v>209.50480314905616</v>
      </c>
      <c r="K37" s="9">
        <v>274.69551784381611</v>
      </c>
      <c r="L37" s="9">
        <v>0</v>
      </c>
      <c r="M37" s="9">
        <v>173.42100000000005</v>
      </c>
      <c r="N37" s="11">
        <v>183.85899999999992</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row>
    <row r="38" spans="2:67">
      <c r="B38" t="s">
        <v>159</v>
      </c>
      <c r="C38" s="9">
        <f t="shared" si="1"/>
        <v>286499.1274745902</v>
      </c>
      <c r="D38" t="s">
        <v>5193</v>
      </c>
      <c r="E38" s="9">
        <v>0</v>
      </c>
      <c r="F38" s="9">
        <v>0</v>
      </c>
      <c r="G38" s="9">
        <v>0</v>
      </c>
      <c r="H38" s="9">
        <v>0</v>
      </c>
      <c r="I38" s="9">
        <v>5.538487500096811</v>
      </c>
      <c r="J38" s="9">
        <v>6.5198953128267361</v>
      </c>
      <c r="K38" s="9">
        <v>7.4176171870764511</v>
      </c>
      <c r="L38" s="9">
        <v>339.62300000000005</v>
      </c>
      <c r="M38" s="9">
        <v>4.4250000000000114</v>
      </c>
      <c r="N38" s="11">
        <v>214.88299999999998</v>
      </c>
      <c r="O38" s="9">
        <v>2876.5975654963891</v>
      </c>
      <c r="P38" s="9">
        <v>4711.8774957198075</v>
      </c>
      <c r="Q38" s="9">
        <v>8445.3032606813249</v>
      </c>
      <c r="R38" s="9">
        <v>8927.5832290181843</v>
      </c>
      <c r="S38" s="9">
        <v>7682.7189606565889</v>
      </c>
      <c r="T38" s="9">
        <v>10519.868363240503</v>
      </c>
      <c r="U38" s="9">
        <v>16712.988773638914</v>
      </c>
      <c r="V38" s="9">
        <v>11627.85961871719</v>
      </c>
      <c r="W38" s="9">
        <v>10009.836747384632</v>
      </c>
      <c r="X38" s="9">
        <v>14109.893768793472</v>
      </c>
      <c r="Y38" s="9">
        <v>19044.609607572773</v>
      </c>
      <c r="Z38" s="9">
        <v>17426.586736240206</v>
      </c>
      <c r="AA38" s="9">
        <v>17426.586736240206</v>
      </c>
      <c r="AB38" s="9">
        <v>15270.029527624811</v>
      </c>
      <c r="AC38" s="9">
        <v>11470.531941072628</v>
      </c>
      <c r="AD38" s="9">
        <v>8861.2975295674569</v>
      </c>
      <c r="AE38" s="9">
        <v>7799.1259651523687</v>
      </c>
      <c r="AF38" s="9">
        <v>8100.4635548971955</v>
      </c>
      <c r="AG38" s="9">
        <v>10153.000544011476</v>
      </c>
      <c r="AH38" s="9">
        <v>10743.416205873302</v>
      </c>
      <c r="AI38" s="9">
        <v>10743.416205873302</v>
      </c>
      <c r="AJ38" s="9">
        <v>10743.416205873302</v>
      </c>
      <c r="AK38" s="9">
        <v>10153.000544011476</v>
      </c>
      <c r="AL38" s="9">
        <v>9562.5848821496529</v>
      </c>
      <c r="AM38" s="9">
        <v>9562.5848821496529</v>
      </c>
      <c r="AN38" s="9">
        <v>2924.2426545049084</v>
      </c>
      <c r="AO38" s="9">
        <v>3693.5281569618032</v>
      </c>
      <c r="AP38" s="9">
        <v>3693.5281569618032</v>
      </c>
      <c r="AQ38" s="9">
        <v>2924.2426545049084</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row>
    <row r="39" spans="2:67">
      <c r="B39" t="s">
        <v>163</v>
      </c>
      <c r="C39" s="9">
        <f t="shared" si="1"/>
        <v>72686.437368401632</v>
      </c>
      <c r="D39" t="s">
        <v>8</v>
      </c>
      <c r="E39" s="9">
        <v>0</v>
      </c>
      <c r="F39" s="9">
        <v>0</v>
      </c>
      <c r="G39" s="9">
        <v>0</v>
      </c>
      <c r="H39" s="9">
        <v>0</v>
      </c>
      <c r="I39" s="9">
        <v>16.636921875353941</v>
      </c>
      <c r="J39" s="9">
        <v>27.446986329319561</v>
      </c>
      <c r="K39" s="9"/>
      <c r="L39" s="9">
        <v>5.0731448246780104</v>
      </c>
      <c r="M39" s="9"/>
      <c r="N39" s="11">
        <v>44.444345009204476</v>
      </c>
      <c r="O39" s="9">
        <v>502.3174819716653</v>
      </c>
      <c r="P39" s="9">
        <v>1059.3728535804569</v>
      </c>
      <c r="Q39" s="9">
        <v>2605.6185977665205</v>
      </c>
      <c r="R39" s="9">
        <v>2651.8192062719691</v>
      </c>
      <c r="S39" s="9">
        <v>2563.6203399854389</v>
      </c>
      <c r="T39" s="9">
        <v>3012.2733113971631</v>
      </c>
      <c r="U39" s="9">
        <v>3637.3012421549565</v>
      </c>
      <c r="V39" s="9">
        <v>2757.3763016358348</v>
      </c>
      <c r="W39" s="9">
        <v>3237.5158994595172</v>
      </c>
      <c r="X39" s="9">
        <v>3718.6471144141738</v>
      </c>
      <c r="Y39" s="9">
        <v>4296.8609960613458</v>
      </c>
      <c r="Z39" s="9">
        <v>4253.1991630594948</v>
      </c>
      <c r="AA39" s="9">
        <v>3935.5321159862378</v>
      </c>
      <c r="AB39" s="9">
        <v>3039.1575435538866</v>
      </c>
      <c r="AC39" s="9">
        <v>2238.7282897201471</v>
      </c>
      <c r="AD39" s="9">
        <v>1685.6330769263643</v>
      </c>
      <c r="AE39" s="9">
        <v>1540.8709140497645</v>
      </c>
      <c r="AF39" s="9">
        <v>1915.3348551826768</v>
      </c>
      <c r="AG39" s="9">
        <v>2162.4405667937303</v>
      </c>
      <c r="AH39" s="9">
        <v>2577.8121987200252</v>
      </c>
      <c r="AI39" s="9">
        <v>3017.8291047717071</v>
      </c>
      <c r="AJ39" s="9">
        <v>3017.8291047717071</v>
      </c>
      <c r="AK39" s="9">
        <v>2947.1211257337127</v>
      </c>
      <c r="AL39" s="9">
        <v>2876.4131466957183</v>
      </c>
      <c r="AM39" s="9">
        <v>2436.3962406440373</v>
      </c>
      <c r="AN39" s="9">
        <v>1180.2498064861243</v>
      </c>
      <c r="AO39" s="9">
        <v>1272.6577830412873</v>
      </c>
      <c r="AP39" s="9">
        <v>1272.6577830412873</v>
      </c>
      <c r="AQ39" s="9">
        <v>1180.2498064861243</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row>
    <row r="40" spans="2:67">
      <c r="B40" t="s">
        <v>168</v>
      </c>
      <c r="C40" s="9">
        <f t="shared" si="1"/>
        <v>8100</v>
      </c>
      <c r="D40" t="s">
        <v>2623</v>
      </c>
      <c r="E40" s="9">
        <v>0</v>
      </c>
      <c r="F40" s="9">
        <v>0</v>
      </c>
      <c r="G40" s="9">
        <v>0</v>
      </c>
      <c r="H40" s="9">
        <v>0</v>
      </c>
      <c r="I40" s="9">
        <v>0</v>
      </c>
      <c r="J40" s="9">
        <v>0</v>
      </c>
      <c r="K40" s="9">
        <v>0</v>
      </c>
      <c r="L40" s="9">
        <v>0</v>
      </c>
      <c r="M40" s="9">
        <v>0</v>
      </c>
      <c r="N40" s="11">
        <v>0</v>
      </c>
      <c r="O40" s="9">
        <v>0</v>
      </c>
      <c r="P40" s="9">
        <v>0</v>
      </c>
      <c r="Q40" s="9">
        <v>0</v>
      </c>
      <c r="R40" s="9">
        <v>0</v>
      </c>
      <c r="S40" s="9">
        <v>0</v>
      </c>
      <c r="T40" s="9">
        <v>0</v>
      </c>
      <c r="U40" s="9">
        <v>0</v>
      </c>
      <c r="V40" s="9">
        <v>1012.5</v>
      </c>
      <c r="W40" s="9">
        <v>1012.5</v>
      </c>
      <c r="X40" s="9">
        <v>1012.5</v>
      </c>
      <c r="Y40" s="9">
        <v>1012.5</v>
      </c>
      <c r="Z40" s="9">
        <v>1012.5</v>
      </c>
      <c r="AA40" s="9">
        <v>1012.5</v>
      </c>
      <c r="AB40" s="9">
        <v>1012.5</v>
      </c>
      <c r="AC40" s="9">
        <v>1012.5</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row>
    <row r="41" spans="2:67">
      <c r="B41" t="s">
        <v>172</v>
      </c>
      <c r="C41" s="9">
        <f t="shared" si="1"/>
        <v>3238.2950000000023</v>
      </c>
      <c r="D41" t="s">
        <v>9</v>
      </c>
      <c r="E41" s="9">
        <v>0</v>
      </c>
      <c r="F41" s="9">
        <v>0</v>
      </c>
      <c r="G41" s="9">
        <v>0</v>
      </c>
      <c r="H41" s="9">
        <v>0</v>
      </c>
      <c r="I41" s="9">
        <v>0</v>
      </c>
      <c r="J41" s="9">
        <v>0</v>
      </c>
      <c r="K41" s="9">
        <v>0</v>
      </c>
      <c r="L41" s="9">
        <v>0</v>
      </c>
      <c r="M41" s="9">
        <v>0</v>
      </c>
      <c r="N41" s="11">
        <v>0</v>
      </c>
      <c r="O41" s="9">
        <v>0</v>
      </c>
      <c r="P41" s="9">
        <v>0</v>
      </c>
      <c r="Q41" s="9">
        <v>110.23163132687675</v>
      </c>
      <c r="R41" s="9">
        <v>102.71013078481828</v>
      </c>
      <c r="S41" s="9">
        <v>109.1859463760117</v>
      </c>
      <c r="T41" s="9">
        <v>105.212607491672</v>
      </c>
      <c r="U41" s="9">
        <v>202.8724656549731</v>
      </c>
      <c r="V41" s="9">
        <v>84.00076575558947</v>
      </c>
      <c r="W41" s="9">
        <v>88.92035661665237</v>
      </c>
      <c r="X41" s="9">
        <v>203.17969422778103</v>
      </c>
      <c r="Y41" s="9">
        <v>325.28004989368316</v>
      </c>
      <c r="Z41" s="9">
        <v>330.1996407547461</v>
      </c>
      <c r="AA41" s="9">
        <v>330.1996407547461</v>
      </c>
      <c r="AB41" s="9">
        <v>285.24703609172019</v>
      </c>
      <c r="AC41" s="9">
        <v>166.50961395051479</v>
      </c>
      <c r="AD41" s="9">
        <v>96.603083737136672</v>
      </c>
      <c r="AE41" s="9">
        <v>92.327406794730678</v>
      </c>
      <c r="AF41" s="9">
        <v>91.534749276430986</v>
      </c>
      <c r="AG41" s="9">
        <v>74.471536763587082</v>
      </c>
      <c r="AH41" s="9">
        <v>69.551945902524082</v>
      </c>
      <c r="AI41" s="9">
        <v>69.551945902524082</v>
      </c>
      <c r="AJ41" s="9">
        <v>69.551945902524082</v>
      </c>
      <c r="AK41" s="9">
        <v>74.471536763587082</v>
      </c>
      <c r="AL41" s="9">
        <v>79.391127624649585</v>
      </c>
      <c r="AM41" s="9">
        <v>77.09014165252286</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row>
    <row r="42" spans="2:67">
      <c r="B42" t="s">
        <v>177</v>
      </c>
      <c r="C42" s="9">
        <f t="shared" si="1"/>
        <v>0</v>
      </c>
      <c r="D42" t="s">
        <v>10</v>
      </c>
      <c r="E42" s="9">
        <v>0</v>
      </c>
      <c r="F42" s="9">
        <v>0</v>
      </c>
      <c r="G42" s="9">
        <v>0</v>
      </c>
      <c r="H42" s="9">
        <v>0</v>
      </c>
      <c r="I42" s="9">
        <v>0</v>
      </c>
      <c r="J42" s="9">
        <v>0</v>
      </c>
      <c r="K42" s="9">
        <v>0</v>
      </c>
      <c r="L42" s="9">
        <v>0</v>
      </c>
      <c r="M42" s="9">
        <v>0</v>
      </c>
      <c r="N42" s="11">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c r="BL42" s="9"/>
      <c r="BM42" s="9"/>
      <c r="BN42" s="9"/>
      <c r="BO42" s="9"/>
    </row>
    <row r="43" spans="2:67">
      <c r="B43" t="s">
        <v>183</v>
      </c>
      <c r="C43" s="9">
        <f t="shared" si="1"/>
        <v>2770.4599999999996</v>
      </c>
      <c r="D43" t="s">
        <v>2624</v>
      </c>
      <c r="E43" s="9">
        <v>0</v>
      </c>
      <c r="F43" s="9">
        <v>0</v>
      </c>
      <c r="G43" s="9">
        <v>0</v>
      </c>
      <c r="H43" s="9">
        <v>0</v>
      </c>
      <c r="I43" s="9">
        <v>0</v>
      </c>
      <c r="J43" s="9">
        <v>0</v>
      </c>
      <c r="K43" s="9">
        <v>0</v>
      </c>
      <c r="L43" s="9">
        <v>0</v>
      </c>
      <c r="M43" s="9">
        <v>0</v>
      </c>
      <c r="N43" s="11">
        <v>0</v>
      </c>
      <c r="O43" s="9">
        <v>0</v>
      </c>
      <c r="P43" s="9">
        <v>0</v>
      </c>
      <c r="Q43" s="9">
        <v>0</v>
      </c>
      <c r="R43" s="9">
        <v>0</v>
      </c>
      <c r="S43" s="9">
        <v>0</v>
      </c>
      <c r="T43" s="9">
        <v>0</v>
      </c>
      <c r="U43" s="9">
        <v>0</v>
      </c>
      <c r="V43" s="9">
        <v>173.15375</v>
      </c>
      <c r="W43" s="9">
        <v>173.15375</v>
      </c>
      <c r="X43" s="9">
        <v>173.15375</v>
      </c>
      <c r="Y43" s="9">
        <v>173.15375</v>
      </c>
      <c r="Z43" s="9">
        <v>173.15375</v>
      </c>
      <c r="AA43" s="9">
        <v>173.15375</v>
      </c>
      <c r="AB43" s="9">
        <v>173.15375</v>
      </c>
      <c r="AC43" s="9">
        <v>173.15375</v>
      </c>
      <c r="AD43" s="9">
        <v>0</v>
      </c>
      <c r="AE43" s="9">
        <v>0</v>
      </c>
      <c r="AF43" s="9">
        <v>0</v>
      </c>
      <c r="AG43" s="9">
        <v>0</v>
      </c>
      <c r="AH43" s="9">
        <v>173.15375</v>
      </c>
      <c r="AI43" s="9">
        <v>173.15375</v>
      </c>
      <c r="AJ43" s="9">
        <v>173.15375</v>
      </c>
      <c r="AK43" s="9">
        <v>173.15375</v>
      </c>
      <c r="AL43" s="9">
        <v>173.15375</v>
      </c>
      <c r="AM43" s="9">
        <v>173.15375</v>
      </c>
      <c r="AN43" s="9">
        <v>173.15375</v>
      </c>
      <c r="AO43" s="9">
        <v>173.15375</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row>
    <row r="44" spans="2:67">
      <c r="B44" t="s">
        <v>188</v>
      </c>
      <c r="C44" s="9">
        <f t="shared" si="1"/>
        <v>85215.54</v>
      </c>
      <c r="D44" t="s">
        <v>11</v>
      </c>
      <c r="E44" s="9">
        <v>0</v>
      </c>
      <c r="F44" s="9">
        <v>0</v>
      </c>
      <c r="G44" s="9">
        <v>0</v>
      </c>
      <c r="H44" s="9">
        <v>0</v>
      </c>
      <c r="I44" s="9">
        <v>0</v>
      </c>
      <c r="J44" s="9">
        <v>0</v>
      </c>
      <c r="K44" s="9">
        <v>0</v>
      </c>
      <c r="L44" s="9">
        <v>0</v>
      </c>
      <c r="M44" s="9">
        <v>0</v>
      </c>
      <c r="N44" s="11">
        <v>0</v>
      </c>
      <c r="O44" s="9">
        <v>0</v>
      </c>
      <c r="P44" s="9">
        <v>0</v>
      </c>
      <c r="Q44" s="9">
        <v>0</v>
      </c>
      <c r="R44" s="9">
        <v>0</v>
      </c>
      <c r="S44" s="9">
        <v>0</v>
      </c>
      <c r="T44" s="9">
        <v>0</v>
      </c>
      <c r="U44" s="9">
        <v>0</v>
      </c>
      <c r="V44" s="9">
        <v>5323.0518289442107</v>
      </c>
      <c r="W44" s="9">
        <v>5329.8770568417276</v>
      </c>
      <c r="X44" s="9">
        <v>5325.2454527999325</v>
      </c>
      <c r="Y44" s="9">
        <v>5325.2454527999325</v>
      </c>
      <c r="Z44" s="9">
        <v>5331.4003570886134</v>
      </c>
      <c r="AA44" s="9">
        <v>5331.4003570886134</v>
      </c>
      <c r="AB44" s="9">
        <v>5333.4159935189482</v>
      </c>
      <c r="AC44" s="9">
        <v>5333.4159935189482</v>
      </c>
      <c r="AD44" s="9">
        <v>0</v>
      </c>
      <c r="AE44" s="9">
        <v>0</v>
      </c>
      <c r="AF44" s="9">
        <v>0</v>
      </c>
      <c r="AG44" s="9">
        <v>0</v>
      </c>
      <c r="AH44" s="9">
        <v>5313.8655565724193</v>
      </c>
      <c r="AI44" s="9">
        <v>5314.3836035336226</v>
      </c>
      <c r="AJ44" s="9">
        <v>5314.3836035336226</v>
      </c>
      <c r="AK44" s="9">
        <v>5320.5385078223035</v>
      </c>
      <c r="AL44" s="9">
        <v>5326.6934121109834</v>
      </c>
      <c r="AM44" s="9">
        <v>5326.6934121109834</v>
      </c>
      <c r="AN44" s="9">
        <v>5336.7954221011232</v>
      </c>
      <c r="AO44" s="9">
        <v>5329.1339896140225</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row>
    <row r="45" spans="2:67">
      <c r="B45" t="s">
        <v>193</v>
      </c>
      <c r="C45" s="9">
        <f t="shared" si="1"/>
        <v>2625</v>
      </c>
      <c r="D45" t="s">
        <v>2625</v>
      </c>
      <c r="E45" s="9">
        <v>0</v>
      </c>
      <c r="F45" s="9">
        <v>0</v>
      </c>
      <c r="G45" s="9">
        <v>0</v>
      </c>
      <c r="H45" s="9">
        <v>0</v>
      </c>
      <c r="I45" s="9">
        <v>0</v>
      </c>
      <c r="J45" s="9">
        <v>0</v>
      </c>
      <c r="K45" s="9">
        <v>0</v>
      </c>
      <c r="L45" s="9">
        <v>0</v>
      </c>
      <c r="M45" s="9">
        <v>0</v>
      </c>
      <c r="N45" s="11">
        <v>0</v>
      </c>
      <c r="O45" s="9">
        <v>0</v>
      </c>
      <c r="P45" s="9">
        <v>0</v>
      </c>
      <c r="Q45" s="9">
        <v>0</v>
      </c>
      <c r="R45" s="9">
        <v>0</v>
      </c>
      <c r="S45" s="9">
        <v>0</v>
      </c>
      <c r="T45" s="9">
        <v>0</v>
      </c>
      <c r="U45" s="9">
        <v>0</v>
      </c>
      <c r="V45" s="9">
        <v>164.0625</v>
      </c>
      <c r="W45" s="9">
        <v>164.0625</v>
      </c>
      <c r="X45" s="9">
        <v>164.0625</v>
      </c>
      <c r="Y45" s="9">
        <v>164.0625</v>
      </c>
      <c r="Z45" s="9">
        <v>164.0625</v>
      </c>
      <c r="AA45" s="9">
        <v>164.0625</v>
      </c>
      <c r="AB45" s="9">
        <v>164.0625</v>
      </c>
      <c r="AC45" s="9">
        <v>164.0625</v>
      </c>
      <c r="AD45" s="9">
        <v>0</v>
      </c>
      <c r="AE45" s="9">
        <v>0</v>
      </c>
      <c r="AF45" s="9">
        <v>0</v>
      </c>
      <c r="AG45" s="9">
        <v>0</v>
      </c>
      <c r="AH45" s="9">
        <v>164.0625</v>
      </c>
      <c r="AI45" s="9">
        <v>164.0625</v>
      </c>
      <c r="AJ45" s="9">
        <v>164.0625</v>
      </c>
      <c r="AK45" s="9">
        <v>164.0625</v>
      </c>
      <c r="AL45" s="9">
        <v>164.0625</v>
      </c>
      <c r="AM45" s="9">
        <v>164.0625</v>
      </c>
      <c r="AN45" s="9">
        <v>164.0625</v>
      </c>
      <c r="AO45" s="9">
        <v>164.0625</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row>
    <row r="46" spans="2:67">
      <c r="B46" t="s">
        <v>199</v>
      </c>
      <c r="C46" s="9">
        <f t="shared" si="1"/>
        <v>101625.56926146132</v>
      </c>
      <c r="D46" t="s">
        <v>12</v>
      </c>
      <c r="E46" s="9">
        <v>0</v>
      </c>
      <c r="F46" s="9">
        <v>0</v>
      </c>
      <c r="G46" s="9">
        <v>1194.615999691267</v>
      </c>
      <c r="H46" s="9">
        <v>4977.2960003087319</v>
      </c>
      <c r="I46" s="9">
        <v>0</v>
      </c>
      <c r="J46" s="9">
        <v>0</v>
      </c>
      <c r="K46" s="9">
        <v>0</v>
      </c>
      <c r="L46" s="9">
        <v>0</v>
      </c>
      <c r="M46" s="9">
        <v>0</v>
      </c>
      <c r="N46" s="11">
        <v>1025.3477000000021</v>
      </c>
      <c r="O46" s="9">
        <v>4237.6053014440276</v>
      </c>
      <c r="P46" s="9">
        <v>4115.2703408729758</v>
      </c>
      <c r="Q46" s="9">
        <v>7119.2731399013765</v>
      </c>
      <c r="R46" s="9">
        <v>5158.9114193318983</v>
      </c>
      <c r="S46" s="9">
        <v>5100.9635291113045</v>
      </c>
      <c r="T46" s="9">
        <v>3155.072534980301</v>
      </c>
      <c r="U46" s="9">
        <v>5058.7784301340489</v>
      </c>
      <c r="V46" s="9">
        <v>9770.4362246848923</v>
      </c>
      <c r="W46" s="9">
        <v>7770.5761249337575</v>
      </c>
      <c r="X46" s="9">
        <v>6618.3796604988092</v>
      </c>
      <c r="Y46" s="9">
        <v>6618.3796604988092</v>
      </c>
      <c r="Z46" s="9">
        <v>2012.5684698948514</v>
      </c>
      <c r="AA46" s="9">
        <v>2012.5684698948514</v>
      </c>
      <c r="AB46" s="9">
        <v>2030.5000015815451</v>
      </c>
      <c r="AC46" s="9">
        <v>2030.5000015815451</v>
      </c>
      <c r="AD46" s="9">
        <v>2047.0964279588641</v>
      </c>
      <c r="AE46" s="9">
        <v>2114.6760469315664</v>
      </c>
      <c r="AF46" s="9">
        <v>2105.8537211709995</v>
      </c>
      <c r="AG46" s="9">
        <v>1915.9391416272472</v>
      </c>
      <c r="AH46" s="9">
        <v>1861.1838000288963</v>
      </c>
      <c r="AI46" s="9">
        <v>1861.1838000288963</v>
      </c>
      <c r="AJ46" s="9">
        <v>1861.1838000288963</v>
      </c>
      <c r="AK46" s="9">
        <v>1915.9391416272472</v>
      </c>
      <c r="AL46" s="9">
        <v>1970.6944832255974</v>
      </c>
      <c r="AM46" s="9">
        <v>1970.6944832255974</v>
      </c>
      <c r="AN46" s="9">
        <v>1994.0814062625316</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row>
    <row r="47" spans="2:67">
      <c r="B47" t="s">
        <v>204</v>
      </c>
      <c r="C47" s="9">
        <f t="shared" si="1"/>
        <v>30000</v>
      </c>
      <c r="D47" t="s">
        <v>2626</v>
      </c>
      <c r="E47" s="9">
        <v>0</v>
      </c>
      <c r="F47" s="9">
        <v>0</v>
      </c>
      <c r="G47" s="9">
        <v>0</v>
      </c>
      <c r="H47" s="9">
        <v>0</v>
      </c>
      <c r="I47" s="9">
        <v>0</v>
      </c>
      <c r="J47" s="9">
        <v>0</v>
      </c>
      <c r="K47" s="9">
        <v>0</v>
      </c>
      <c r="L47" s="9">
        <v>0</v>
      </c>
      <c r="M47" s="9">
        <v>0</v>
      </c>
      <c r="N47" s="11">
        <v>0</v>
      </c>
      <c r="O47" s="9">
        <v>0</v>
      </c>
      <c r="P47" s="9">
        <v>0</v>
      </c>
      <c r="Q47" s="9">
        <v>0</v>
      </c>
      <c r="R47" s="9">
        <v>0</v>
      </c>
      <c r="S47" s="9">
        <v>0</v>
      </c>
      <c r="T47" s="9">
        <v>0</v>
      </c>
      <c r="U47" s="9">
        <v>0</v>
      </c>
      <c r="V47" s="9">
        <v>1875</v>
      </c>
      <c r="W47" s="9">
        <v>1875</v>
      </c>
      <c r="X47" s="9">
        <v>1875</v>
      </c>
      <c r="Y47" s="9">
        <v>1875</v>
      </c>
      <c r="Z47" s="9">
        <v>1875</v>
      </c>
      <c r="AA47" s="9">
        <v>1875</v>
      </c>
      <c r="AB47" s="9">
        <v>1875</v>
      </c>
      <c r="AC47" s="9">
        <v>1875</v>
      </c>
      <c r="AD47" s="9">
        <v>0</v>
      </c>
      <c r="AE47" s="9">
        <v>0</v>
      </c>
      <c r="AF47" s="9">
        <v>0</v>
      </c>
      <c r="AG47" s="9">
        <v>0</v>
      </c>
      <c r="AH47" s="9">
        <v>1875</v>
      </c>
      <c r="AI47" s="9">
        <v>1875</v>
      </c>
      <c r="AJ47" s="9">
        <v>1875</v>
      </c>
      <c r="AK47" s="9">
        <v>1875</v>
      </c>
      <c r="AL47" s="9">
        <v>1875</v>
      </c>
      <c r="AM47" s="9">
        <v>1875</v>
      </c>
      <c r="AN47" s="9">
        <v>1875</v>
      </c>
      <c r="AO47" s="9">
        <v>1875</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row>
    <row r="48" spans="2:67">
      <c r="B48" t="s">
        <v>209</v>
      </c>
      <c r="C48" s="9">
        <f t="shared" si="1"/>
        <v>1134160</v>
      </c>
      <c r="D48" t="s">
        <v>2627</v>
      </c>
      <c r="E48" s="9">
        <v>0</v>
      </c>
      <c r="F48" s="9">
        <v>0</v>
      </c>
      <c r="G48" s="9">
        <v>0</v>
      </c>
      <c r="H48" s="9">
        <v>0</v>
      </c>
      <c r="I48" s="9">
        <v>0</v>
      </c>
      <c r="J48" s="9">
        <v>0</v>
      </c>
      <c r="K48" s="9">
        <v>0</v>
      </c>
      <c r="L48" s="9">
        <v>0</v>
      </c>
      <c r="M48" s="9">
        <v>0</v>
      </c>
      <c r="N48" s="11">
        <v>0</v>
      </c>
      <c r="O48" s="9">
        <v>0</v>
      </c>
      <c r="P48" s="9">
        <v>0</v>
      </c>
      <c r="Q48" s="9">
        <v>0</v>
      </c>
      <c r="R48" s="9">
        <v>0</v>
      </c>
      <c r="S48" s="9">
        <v>0</v>
      </c>
      <c r="T48" s="9">
        <v>0</v>
      </c>
      <c r="U48" s="9">
        <v>0</v>
      </c>
      <c r="V48" s="9">
        <v>70885</v>
      </c>
      <c r="W48" s="9">
        <v>70885</v>
      </c>
      <c r="X48" s="9">
        <v>70885</v>
      </c>
      <c r="Y48" s="9">
        <v>70885</v>
      </c>
      <c r="Z48" s="9">
        <v>70885</v>
      </c>
      <c r="AA48" s="9">
        <v>70885</v>
      </c>
      <c r="AB48" s="9">
        <v>70885</v>
      </c>
      <c r="AC48" s="9">
        <v>70885</v>
      </c>
      <c r="AD48" s="9">
        <v>0</v>
      </c>
      <c r="AE48" s="9">
        <v>0</v>
      </c>
      <c r="AF48" s="9">
        <v>0</v>
      </c>
      <c r="AG48" s="9">
        <v>0</v>
      </c>
      <c r="AH48" s="9">
        <v>70885</v>
      </c>
      <c r="AI48" s="9">
        <v>70885</v>
      </c>
      <c r="AJ48" s="9">
        <v>70885</v>
      </c>
      <c r="AK48" s="9">
        <v>70885</v>
      </c>
      <c r="AL48" s="9">
        <v>70885</v>
      </c>
      <c r="AM48" s="9">
        <v>70885</v>
      </c>
      <c r="AN48" s="9">
        <v>70885</v>
      </c>
      <c r="AO48" s="9">
        <v>70885</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row>
    <row r="49" spans="2:67">
      <c r="B49" t="s">
        <v>214</v>
      </c>
      <c r="C49" s="9">
        <f t="shared" si="1"/>
        <v>1546.8728132011995</v>
      </c>
      <c r="D49" t="s">
        <v>13</v>
      </c>
      <c r="E49" s="9">
        <v>0</v>
      </c>
      <c r="F49" s="9">
        <v>0</v>
      </c>
      <c r="G49" s="9">
        <v>47.700122891409578</v>
      </c>
      <c r="H49" s="9">
        <v>213.31787710859044</v>
      </c>
      <c r="I49" s="9"/>
      <c r="J49" s="9"/>
      <c r="K49" s="9"/>
      <c r="L49" s="9">
        <v>37.243868606079928</v>
      </c>
      <c r="M49" s="9"/>
      <c r="N49" s="11">
        <v>44.842000000000269</v>
      </c>
      <c r="O49" s="9">
        <v>113.95223513925487</v>
      </c>
      <c r="P49" s="9">
        <v>80.12102021190455</v>
      </c>
      <c r="Q49" s="9">
        <v>214.26723501233153</v>
      </c>
      <c r="R49" s="9">
        <v>117.94118908042134</v>
      </c>
      <c r="S49" s="9">
        <v>131.69442444003025</v>
      </c>
      <c r="T49" s="9">
        <v>44.692851519787816</v>
      </c>
      <c r="U49" s="9">
        <v>63.892655480701237</v>
      </c>
      <c r="V49" s="9">
        <v>39.88015851542292</v>
      </c>
      <c r="W49" s="9">
        <v>195.6275955951283</v>
      </c>
      <c r="X49" s="9">
        <v>140.54970263431264</v>
      </c>
      <c r="Y49" s="9">
        <v>60.469427934725275</v>
      </c>
      <c r="Z49" s="9">
        <v>0</v>
      </c>
      <c r="AA49" s="9">
        <v>0</v>
      </c>
      <c r="AB49" s="9">
        <v>0</v>
      </c>
      <c r="AC49" s="9">
        <v>0</v>
      </c>
      <c r="AD49" s="9">
        <v>0</v>
      </c>
      <c r="AE49" s="9">
        <v>0.68044903109889887</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row>
    <row r="50" spans="2:67">
      <c r="B50" t="s">
        <v>219</v>
      </c>
      <c r="C50" s="9">
        <f t="shared" si="1"/>
        <v>2782602.9999999991</v>
      </c>
      <c r="D50" t="s">
        <v>2628</v>
      </c>
      <c r="E50" s="9">
        <v>0</v>
      </c>
      <c r="F50" s="9">
        <v>0</v>
      </c>
      <c r="G50" s="9">
        <v>3004.1999715532347</v>
      </c>
      <c r="H50" s="9">
        <v>7373.8000284467644</v>
      </c>
      <c r="I50" s="9">
        <v>0</v>
      </c>
      <c r="J50" s="9">
        <v>0</v>
      </c>
      <c r="K50" s="9">
        <v>0</v>
      </c>
      <c r="L50" s="9">
        <v>0</v>
      </c>
      <c r="M50" s="9">
        <v>0</v>
      </c>
      <c r="N50" s="11">
        <v>0</v>
      </c>
      <c r="O50" s="9">
        <v>0</v>
      </c>
      <c r="P50" s="9">
        <v>60705.656934306571</v>
      </c>
      <c r="Q50" s="9">
        <v>60705.656934306571</v>
      </c>
      <c r="R50" s="9">
        <v>60705.656934306571</v>
      </c>
      <c r="S50" s="9">
        <v>80940.875912408752</v>
      </c>
      <c r="T50" s="9">
        <v>121411.31386861314</v>
      </c>
      <c r="U50" s="9">
        <v>161881.7518248175</v>
      </c>
      <c r="V50" s="9">
        <v>202352.18978102188</v>
      </c>
      <c r="W50" s="9">
        <v>202352.18978102188</v>
      </c>
      <c r="X50" s="9">
        <v>202352.18978102188</v>
      </c>
      <c r="Y50" s="9">
        <v>202352.18978102188</v>
      </c>
      <c r="Z50" s="9">
        <v>202352.18978102188</v>
      </c>
      <c r="AA50" s="9">
        <v>202352.18978102188</v>
      </c>
      <c r="AB50" s="9">
        <v>202352.18978102188</v>
      </c>
      <c r="AC50" s="9">
        <v>202352.18978102188</v>
      </c>
      <c r="AD50" s="9">
        <v>202352.18978102188</v>
      </c>
      <c r="AE50" s="9">
        <v>202352.18978102188</v>
      </c>
      <c r="AF50" s="9">
        <v>202352.18978102188</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row>
    <row r="51" spans="2:67">
      <c r="B51" t="s">
        <v>224</v>
      </c>
      <c r="C51" s="9">
        <f t="shared" si="1"/>
        <v>47278.753000000012</v>
      </c>
      <c r="D51" t="s">
        <v>2629</v>
      </c>
      <c r="E51" s="9">
        <v>0</v>
      </c>
      <c r="F51" s="9">
        <v>0</v>
      </c>
      <c r="G51" s="9">
        <v>0</v>
      </c>
      <c r="H51" s="9">
        <v>0</v>
      </c>
      <c r="I51" s="9">
        <v>363.64538438135639</v>
      </c>
      <c r="J51" s="9">
        <v>428.08254728707783</v>
      </c>
      <c r="K51" s="9">
        <v>487.02506833156565</v>
      </c>
      <c r="L51" s="9">
        <v>0</v>
      </c>
      <c r="M51" s="9">
        <v>1450.3410000000001</v>
      </c>
      <c r="N51" s="11">
        <v>0</v>
      </c>
      <c r="O51" s="9">
        <v>1936.9416956521741</v>
      </c>
      <c r="P51" s="9">
        <v>1936.9416956521741</v>
      </c>
      <c r="Q51" s="9">
        <v>1936.9416956521741</v>
      </c>
      <c r="R51" s="9">
        <v>1936.9416956521741</v>
      </c>
      <c r="S51" s="9">
        <v>1936.9416956521741</v>
      </c>
      <c r="T51" s="9">
        <v>1936.9416956521741</v>
      </c>
      <c r="U51" s="9">
        <v>1936.9416956521741</v>
      </c>
      <c r="V51" s="9">
        <v>1936.9416956521741</v>
      </c>
      <c r="W51" s="9">
        <v>1936.9416956521741</v>
      </c>
      <c r="X51" s="9">
        <v>1936.9416956521741</v>
      </c>
      <c r="Y51" s="9">
        <v>1936.9416956521741</v>
      </c>
      <c r="Z51" s="9">
        <v>1936.9416956521741</v>
      </c>
      <c r="AA51" s="9">
        <v>1936.9416956521741</v>
      </c>
      <c r="AB51" s="9">
        <v>1936.9416956521741</v>
      </c>
      <c r="AC51" s="9">
        <v>1936.9416956521741</v>
      </c>
      <c r="AD51" s="9">
        <v>0</v>
      </c>
      <c r="AE51" s="9">
        <v>0</v>
      </c>
      <c r="AF51" s="9">
        <v>0</v>
      </c>
      <c r="AG51" s="9">
        <v>0</v>
      </c>
      <c r="AH51" s="9">
        <v>1936.9416956521741</v>
      </c>
      <c r="AI51" s="9">
        <v>1936.9416956521741</v>
      </c>
      <c r="AJ51" s="9">
        <v>1936.9416956521741</v>
      </c>
      <c r="AK51" s="9">
        <v>1936.9416956521741</v>
      </c>
      <c r="AL51" s="9">
        <v>1936.9416956521741</v>
      </c>
      <c r="AM51" s="9">
        <v>1936.9416956521741</v>
      </c>
      <c r="AN51" s="9">
        <v>1936.9416956521741</v>
      </c>
      <c r="AO51" s="9">
        <v>1936.9416956521741</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row>
    <row r="52" spans="2:67">
      <c r="B52" t="s">
        <v>229</v>
      </c>
      <c r="C52" s="9">
        <f t="shared" si="1"/>
        <v>27968.994399644635</v>
      </c>
      <c r="D52" t="s">
        <v>2630</v>
      </c>
      <c r="E52" s="9">
        <v>0</v>
      </c>
      <c r="F52" s="9">
        <v>0</v>
      </c>
      <c r="G52" s="9">
        <v>0</v>
      </c>
      <c r="H52" s="9">
        <v>0</v>
      </c>
      <c r="I52" s="9">
        <v>0</v>
      </c>
      <c r="J52" s="9">
        <v>0</v>
      </c>
      <c r="K52" s="9">
        <v>0</v>
      </c>
      <c r="L52" s="9">
        <v>0</v>
      </c>
      <c r="M52" s="9">
        <v>0</v>
      </c>
      <c r="N52" s="11">
        <v>46.28</v>
      </c>
      <c r="O52" s="9">
        <v>171.21174767291706</v>
      </c>
      <c r="P52" s="9">
        <v>379.1811021992595</v>
      </c>
      <c r="Q52" s="9">
        <v>587.96398439188363</v>
      </c>
      <c r="R52" s="9">
        <v>723.73894662649002</v>
      </c>
      <c r="S52" s="9">
        <v>587.96398439188363</v>
      </c>
      <c r="T52" s="9">
        <v>703.11832431871073</v>
      </c>
      <c r="U52" s="9">
        <v>1490.7990148370636</v>
      </c>
      <c r="V52" s="9">
        <v>998.24027183318628</v>
      </c>
      <c r="W52" s="9">
        <v>926.0458795414504</v>
      </c>
      <c r="X52" s="9">
        <v>1327.4467006835025</v>
      </c>
      <c r="Y52" s="9">
        <v>1668.2042323004962</v>
      </c>
      <c r="Z52" s="9">
        <v>1596.0098400087602</v>
      </c>
      <c r="AA52" s="9">
        <v>1596.0098400087602</v>
      </c>
      <c r="AB52" s="9">
        <v>1443.60198973196</v>
      </c>
      <c r="AC52" s="9">
        <v>1112.2297291128921</v>
      </c>
      <c r="AD52" s="9">
        <v>912.97320638770077</v>
      </c>
      <c r="AE52" s="9">
        <v>748.32048723640003</v>
      </c>
      <c r="AF52" s="9">
        <v>766.83255474357463</v>
      </c>
      <c r="AG52" s="9">
        <v>1110.5768715045235</v>
      </c>
      <c r="AH52" s="9">
        <v>1182.7712637962595</v>
      </c>
      <c r="AI52" s="9">
        <v>1182.7712637962595</v>
      </c>
      <c r="AJ52" s="9">
        <v>1182.7712637962595</v>
      </c>
      <c r="AK52" s="9">
        <v>1110.5768715045235</v>
      </c>
      <c r="AL52" s="9">
        <v>1038.3824792127878</v>
      </c>
      <c r="AM52" s="9">
        <v>1038.3824792127878</v>
      </c>
      <c r="AN52" s="9">
        <v>543.09984893842602</v>
      </c>
      <c r="AO52" s="9">
        <v>625.1951864587428</v>
      </c>
      <c r="AP52" s="9">
        <v>625.1951864587428</v>
      </c>
      <c r="AQ52" s="9">
        <v>543.09984893842602</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row>
    <row r="53" spans="2:67">
      <c r="B53" t="s">
        <v>234</v>
      </c>
      <c r="C53" s="9">
        <f t="shared" si="1"/>
        <v>234208.84130219778</v>
      </c>
      <c r="D53" t="s">
        <v>14</v>
      </c>
      <c r="E53" s="9">
        <v>0</v>
      </c>
      <c r="F53" s="9">
        <v>0</v>
      </c>
      <c r="G53" s="9">
        <v>0</v>
      </c>
      <c r="H53" s="9">
        <v>0</v>
      </c>
      <c r="I53" s="9">
        <v>0</v>
      </c>
      <c r="J53" s="9">
        <v>0</v>
      </c>
      <c r="K53" s="9">
        <v>0</v>
      </c>
      <c r="L53" s="9">
        <v>1179</v>
      </c>
      <c r="M53" s="9">
        <v>2327</v>
      </c>
      <c r="N53" s="11">
        <v>2120</v>
      </c>
      <c r="O53" s="9">
        <v>10841.693271551791</v>
      </c>
      <c r="P53" s="9">
        <v>10181.722749963636</v>
      </c>
      <c r="Q53" s="9">
        <v>23904.628823050851</v>
      </c>
      <c r="R53" s="9">
        <v>14917.978601082439</v>
      </c>
      <c r="S53" s="9">
        <v>14711.508246907901</v>
      </c>
      <c r="T53" s="9">
        <v>6944.0280466078257</v>
      </c>
      <c r="U53" s="9">
        <v>15405.963152229662</v>
      </c>
      <c r="V53" s="9">
        <v>36883.363106544726</v>
      </c>
      <c r="W53" s="9">
        <v>27831.933021818586</v>
      </c>
      <c r="X53" s="9">
        <v>22555.537714845043</v>
      </c>
      <c r="Y53" s="9">
        <v>22555.537714845043</v>
      </c>
      <c r="Z53" s="9">
        <v>1649.1571820353356</v>
      </c>
      <c r="AA53" s="9">
        <v>1649.1571820353356</v>
      </c>
      <c r="AB53" s="9">
        <v>1745.8938978923657</v>
      </c>
      <c r="AC53" s="9">
        <v>1745.8938978923657</v>
      </c>
      <c r="AD53" s="9">
        <v>1835.4280108034259</v>
      </c>
      <c r="AE53" s="9">
        <v>2200.0053660741555</v>
      </c>
      <c r="AF53" s="9">
        <v>2152.4108362141455</v>
      </c>
      <c r="AG53" s="9">
        <v>1127.8629593552655</v>
      </c>
      <c r="AH53" s="9">
        <v>832.46979303783564</v>
      </c>
      <c r="AI53" s="9">
        <v>832.46979303783564</v>
      </c>
      <c r="AJ53" s="9">
        <v>832.46979303783564</v>
      </c>
      <c r="AK53" s="9">
        <v>1127.8629593552655</v>
      </c>
      <c r="AL53" s="9">
        <v>1423.2561256726956</v>
      </c>
      <c r="AM53" s="9">
        <v>1423.2561256726956</v>
      </c>
      <c r="AN53" s="9">
        <v>1271.3529306338323</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row>
    <row r="54" spans="2:67">
      <c r="B54" t="s">
        <v>239</v>
      </c>
      <c r="C54" s="9">
        <f t="shared" si="1"/>
        <v>139810.76978177991</v>
      </c>
      <c r="D54" t="s">
        <v>15</v>
      </c>
      <c r="E54" s="9">
        <v>0</v>
      </c>
      <c r="F54" s="9">
        <v>0</v>
      </c>
      <c r="G54" s="9">
        <v>691.14076630002137</v>
      </c>
      <c r="H54" s="9">
        <v>5641.0022336999782</v>
      </c>
      <c r="I54" s="9">
        <v>0</v>
      </c>
      <c r="J54" s="9">
        <v>0</v>
      </c>
      <c r="K54" s="9">
        <v>0</v>
      </c>
      <c r="L54" s="9">
        <v>2</v>
      </c>
      <c r="M54" s="9">
        <v>0</v>
      </c>
      <c r="N54" s="11">
        <v>0</v>
      </c>
      <c r="O54" s="9">
        <v>4970.0184703015339</v>
      </c>
      <c r="P54" s="9">
        <v>4767.09165701236</v>
      </c>
      <c r="Q54" s="9">
        <v>8670.5344171278484</v>
      </c>
      <c r="R54" s="9">
        <v>6109.599740573095</v>
      </c>
      <c r="S54" s="9">
        <v>6059.6254774632862</v>
      </c>
      <c r="T54" s="9">
        <v>4801.6779914984927</v>
      </c>
      <c r="U54" s="9">
        <v>7173.3894178774381</v>
      </c>
      <c r="V54" s="9">
        <v>13275.597702460731</v>
      </c>
      <c r="W54" s="9">
        <v>10713.621882245014</v>
      </c>
      <c r="X54" s="9">
        <v>9210.8231557029649</v>
      </c>
      <c r="Y54" s="9">
        <v>9210.8231557029649</v>
      </c>
      <c r="Z54" s="9">
        <v>3284.1911245157553</v>
      </c>
      <c r="AA54" s="9">
        <v>3284.1911245157553</v>
      </c>
      <c r="AB54" s="9">
        <v>3313.9355946622204</v>
      </c>
      <c r="AC54" s="9">
        <v>3313.9355946622204</v>
      </c>
      <c r="AD54" s="9">
        <v>3341.4654185246454</v>
      </c>
      <c r="AE54" s="9">
        <v>3453.5651540165454</v>
      </c>
      <c r="AF54" s="9">
        <v>3438.9308545159461</v>
      </c>
      <c r="AG54" s="9">
        <v>3123.9043057348731</v>
      </c>
      <c r="AH54" s="9">
        <v>3033.0772279375992</v>
      </c>
      <c r="AI54" s="9">
        <v>3033.0772279375992</v>
      </c>
      <c r="AJ54" s="9">
        <v>3033.0772279375992</v>
      </c>
      <c r="AK54" s="9">
        <v>3123.9043057348731</v>
      </c>
      <c r="AL54" s="9">
        <v>3214.7313835321484</v>
      </c>
      <c r="AM54" s="9">
        <v>3214.7313835321484</v>
      </c>
      <c r="AN54" s="9">
        <v>3307.1057860542496</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0</v>
      </c>
      <c r="BL54" s="9">
        <v>0</v>
      </c>
      <c r="BM54" s="9">
        <v>0</v>
      </c>
      <c r="BN54" s="9">
        <v>0</v>
      </c>
      <c r="BO54" s="9">
        <v>0</v>
      </c>
    </row>
    <row r="55" spans="2:67">
      <c r="B55" t="s">
        <v>247</v>
      </c>
      <c r="C55" s="9">
        <f t="shared" si="1"/>
        <v>186091.64492763163</v>
      </c>
      <c r="D55" t="s">
        <v>2639</v>
      </c>
      <c r="E55" s="9">
        <v>0</v>
      </c>
      <c r="F55" s="9">
        <v>0</v>
      </c>
      <c r="G55" s="9">
        <v>0</v>
      </c>
      <c r="H55" s="9">
        <v>0</v>
      </c>
      <c r="I55" s="9">
        <v>0</v>
      </c>
      <c r="J55" s="9">
        <v>0</v>
      </c>
      <c r="K55" s="9">
        <v>0</v>
      </c>
      <c r="L55" s="9">
        <v>0</v>
      </c>
      <c r="M55" s="9">
        <v>0</v>
      </c>
      <c r="N55" s="11">
        <v>0</v>
      </c>
      <c r="O55" s="9">
        <v>1287.3420000000001</v>
      </c>
      <c r="P55" s="9">
        <v>3557.1292105263155</v>
      </c>
      <c r="Q55" s="9">
        <v>10015.790796052632</v>
      </c>
      <c r="R55" s="9">
        <v>9592.3230328947375</v>
      </c>
      <c r="S55" s="9">
        <v>9592.3230328947375</v>
      </c>
      <c r="T55" s="9">
        <v>8304.9810328947369</v>
      </c>
      <c r="U55" s="9">
        <v>6458.6615855263153</v>
      </c>
      <c r="V55" s="9">
        <v>6106.0665427631584</v>
      </c>
      <c r="W55" s="9">
        <v>9711.367736184211</v>
      </c>
      <c r="X55" s="9">
        <v>8938.5390684210524</v>
      </c>
      <c r="Y55" s="9">
        <v>9362.0068315789485</v>
      </c>
      <c r="Z55" s="9">
        <v>9898.3993315789467</v>
      </c>
      <c r="AA55" s="9">
        <v>7750.057884210526</v>
      </c>
      <c r="AB55" s="9">
        <v>4456.6596052631585</v>
      </c>
      <c r="AC55" s="9">
        <v>3296.4096052631585</v>
      </c>
      <c r="AD55" s="9">
        <v>2136.159605263158</v>
      </c>
      <c r="AE55" s="9">
        <v>2136.159605263158</v>
      </c>
      <c r="AF55" s="9">
        <v>3674.7591447368418</v>
      </c>
      <c r="AG55" s="9">
        <v>3674.7591447368418</v>
      </c>
      <c r="AH55" s="9">
        <v>6444.7879078947371</v>
      </c>
      <c r="AI55" s="9">
        <v>9638.2844342105273</v>
      </c>
      <c r="AJ55" s="9">
        <v>9638.2844342105273</v>
      </c>
      <c r="AK55" s="9">
        <v>9638.2844342105273</v>
      </c>
      <c r="AL55" s="9">
        <v>9638.2844342105273</v>
      </c>
      <c r="AM55" s="9">
        <v>6444.7879078947371</v>
      </c>
      <c r="AN55" s="9">
        <v>3674.7591447368418</v>
      </c>
      <c r="AO55" s="9">
        <v>3674.7591447368418</v>
      </c>
      <c r="AP55" s="9">
        <v>3674.7591447368418</v>
      </c>
      <c r="AQ55" s="9">
        <v>3674.7591447368418</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v>0</v>
      </c>
      <c r="BN55" s="9">
        <v>0</v>
      </c>
      <c r="BO55" s="9">
        <v>0</v>
      </c>
    </row>
    <row r="56" spans="2:67">
      <c r="B56" t="s">
        <v>251</v>
      </c>
      <c r="C56" s="9">
        <f t="shared" si="1"/>
        <v>11312.522807017551</v>
      </c>
      <c r="D56" t="s">
        <v>2640</v>
      </c>
      <c r="E56" s="9">
        <v>0</v>
      </c>
      <c r="F56" s="9">
        <v>0</v>
      </c>
      <c r="G56" s="9">
        <v>0</v>
      </c>
      <c r="H56" s="9">
        <v>0</v>
      </c>
      <c r="I56" s="9">
        <v>0</v>
      </c>
      <c r="J56" s="9">
        <v>0</v>
      </c>
      <c r="K56" s="9">
        <v>0</v>
      </c>
      <c r="L56" s="9">
        <v>0</v>
      </c>
      <c r="M56" s="9">
        <v>0</v>
      </c>
      <c r="N56" s="11">
        <v>0</v>
      </c>
      <c r="O56" s="9">
        <v>118.4</v>
      </c>
      <c r="P56" s="9">
        <v>327.15789473684208</v>
      </c>
      <c r="Q56" s="9">
        <v>704.47134502923973</v>
      </c>
      <c r="R56" s="9">
        <v>665.52397660818713</v>
      </c>
      <c r="S56" s="9">
        <v>665.52397660818713</v>
      </c>
      <c r="T56" s="9">
        <v>547.12397660818715</v>
      </c>
      <c r="U56" s="9">
        <v>377.31345029239765</v>
      </c>
      <c r="V56" s="9">
        <v>348.16783625730994</v>
      </c>
      <c r="W56" s="9">
        <v>466.33415204678363</v>
      </c>
      <c r="X56" s="9">
        <v>395.25520467836259</v>
      </c>
      <c r="Y56" s="9">
        <v>434.20257309941519</v>
      </c>
      <c r="Z56" s="9">
        <v>483.53590643274856</v>
      </c>
      <c r="AA56" s="9">
        <v>392.65871345029245</v>
      </c>
      <c r="AB56" s="9">
        <v>196.46783625730995</v>
      </c>
      <c r="AC56" s="9">
        <v>196.46783625730995</v>
      </c>
      <c r="AD56" s="9">
        <v>196.46783625730995</v>
      </c>
      <c r="AE56" s="9">
        <v>196.46783625730995</v>
      </c>
      <c r="AF56" s="9">
        <v>337.9766081871345</v>
      </c>
      <c r="AG56" s="9">
        <v>337.9766081871345</v>
      </c>
      <c r="AH56" s="9">
        <v>376.9239766081871</v>
      </c>
      <c r="AI56" s="9">
        <v>454.81871345029236</v>
      </c>
      <c r="AJ56" s="9">
        <v>454.81871345029242</v>
      </c>
      <c r="AK56" s="9">
        <v>454.81871345029236</v>
      </c>
      <c r="AL56" s="9">
        <v>454.81871345029242</v>
      </c>
      <c r="AM56" s="9">
        <v>376.9239766081871</v>
      </c>
      <c r="AN56" s="9">
        <v>337.9766081871345</v>
      </c>
      <c r="AO56" s="9">
        <v>337.9766081871345</v>
      </c>
      <c r="AP56" s="9">
        <v>337.9766081871345</v>
      </c>
      <c r="AQ56" s="9">
        <v>337.9766081871345</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row>
    <row r="57" spans="2:67">
      <c r="B57" t="s">
        <v>255</v>
      </c>
      <c r="C57" s="9">
        <f t="shared" si="1"/>
        <v>9944.156353600687</v>
      </c>
      <c r="D57" t="s">
        <v>2641</v>
      </c>
      <c r="E57" s="9">
        <v>0</v>
      </c>
      <c r="F57" s="9">
        <v>0</v>
      </c>
      <c r="G57" s="9">
        <v>0</v>
      </c>
      <c r="H57" s="9">
        <v>0</v>
      </c>
      <c r="I57" s="9">
        <v>0</v>
      </c>
      <c r="J57" s="9">
        <v>0</v>
      </c>
      <c r="K57" s="9">
        <v>0</v>
      </c>
      <c r="L57" s="9">
        <v>0</v>
      </c>
      <c r="M57" s="9">
        <v>0</v>
      </c>
      <c r="N57" s="11">
        <v>0</v>
      </c>
      <c r="O57" s="9">
        <v>58.399442631532267</v>
      </c>
      <c r="P57" s="9">
        <v>161.3668809555497</v>
      </c>
      <c r="Q57" s="9">
        <v>510.46078969251244</v>
      </c>
      <c r="R57" s="9">
        <v>491.25044672161363</v>
      </c>
      <c r="S57" s="9">
        <v>491.25044672161363</v>
      </c>
      <c r="T57" s="9">
        <v>432.85100409008135</v>
      </c>
      <c r="U57" s="9">
        <v>349.0939087369627</v>
      </c>
      <c r="V57" s="9">
        <v>332.24864791374017</v>
      </c>
      <c r="W57" s="9">
        <v>551.05168265411362</v>
      </c>
      <c r="X57" s="9">
        <v>515.99280673222336</v>
      </c>
      <c r="Y57" s="9">
        <v>535.20314970312211</v>
      </c>
      <c r="Z57" s="9">
        <v>559.53625079959386</v>
      </c>
      <c r="AA57" s="9">
        <v>434.45269011749679</v>
      </c>
      <c r="AB57" s="9">
        <v>257.42436204208934</v>
      </c>
      <c r="AC57" s="9">
        <v>177.16493495875602</v>
      </c>
      <c r="AD57" s="9">
        <v>96.905507875422714</v>
      </c>
      <c r="AE57" s="9">
        <v>96.905507875422714</v>
      </c>
      <c r="AF57" s="9">
        <v>166.70308733635491</v>
      </c>
      <c r="AG57" s="9">
        <v>166.70308733635491</v>
      </c>
      <c r="AH57" s="9">
        <v>348.23503468225368</v>
      </c>
      <c r="AI57" s="9">
        <v>548.97732499905123</v>
      </c>
      <c r="AJ57" s="9">
        <v>548.97732499905123</v>
      </c>
      <c r="AK57" s="9">
        <v>548.97732499905123</v>
      </c>
      <c r="AL57" s="9">
        <v>548.97732499905123</v>
      </c>
      <c r="AM57" s="9">
        <v>348.23503468225368</v>
      </c>
      <c r="AN57" s="9">
        <v>166.70308733635491</v>
      </c>
      <c r="AO57" s="9">
        <v>166.70308733635491</v>
      </c>
      <c r="AP57" s="9">
        <v>166.70308733635491</v>
      </c>
      <c r="AQ57" s="9">
        <v>166.70308733635491</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row>
    <row r="58" spans="2:67">
      <c r="B58" t="s">
        <v>260</v>
      </c>
      <c r="C58" s="9">
        <f t="shared" si="1"/>
        <v>180285.98995270996</v>
      </c>
      <c r="D58" t="s">
        <v>2642</v>
      </c>
      <c r="E58" s="9">
        <v>0</v>
      </c>
      <c r="F58" s="9">
        <v>0</v>
      </c>
      <c r="G58" s="9">
        <v>0</v>
      </c>
      <c r="H58" s="9">
        <v>0</v>
      </c>
      <c r="I58" s="9">
        <v>0</v>
      </c>
      <c r="J58" s="9">
        <v>0</v>
      </c>
      <c r="K58" s="9">
        <v>0</v>
      </c>
      <c r="L58" s="9">
        <v>0</v>
      </c>
      <c r="M58" s="9">
        <v>0</v>
      </c>
      <c r="N58" s="11">
        <v>0</v>
      </c>
      <c r="O58" s="9">
        <v>1243.6286795000001</v>
      </c>
      <c r="P58" s="9">
        <v>3436.3424038815788</v>
      </c>
      <c r="Q58" s="9">
        <v>9694.8620344957981</v>
      </c>
      <c r="R58" s="9">
        <v>9285.7736530813236</v>
      </c>
      <c r="S58" s="9">
        <v>9285.7736530813236</v>
      </c>
      <c r="T58" s="9">
        <v>8042.1449735813239</v>
      </c>
      <c r="U58" s="9">
        <v>6258.5196306142188</v>
      </c>
      <c r="V58" s="9">
        <v>5917.6069418557199</v>
      </c>
      <c r="W58" s="9">
        <v>9419.3651744005674</v>
      </c>
      <c r="X58" s="9">
        <v>8672.7788783191518</v>
      </c>
      <c r="Y58" s="9">
        <v>9081.8672597336263</v>
      </c>
      <c r="Z58" s="9">
        <v>9600.0458761919599</v>
      </c>
      <c r="AA58" s="9">
        <v>7515.2142778915186</v>
      </c>
      <c r="AB58" s="9">
        <v>4324.2076962463452</v>
      </c>
      <c r="AC58" s="9">
        <v>3193.9156545796786</v>
      </c>
      <c r="AD58" s="9">
        <v>2063.6236129130116</v>
      </c>
      <c r="AE58" s="9">
        <v>2063.6236129130116</v>
      </c>
      <c r="AF58" s="9">
        <v>3549.9780653855996</v>
      </c>
      <c r="AG58" s="9">
        <v>3549.9780653855996</v>
      </c>
      <c r="AH58" s="9">
        <v>6245.0386283000735</v>
      </c>
      <c r="AI58" s="9">
        <v>9349.18757262902</v>
      </c>
      <c r="AJ58" s="9">
        <v>9349.18757262902</v>
      </c>
      <c r="AK58" s="9">
        <v>9349.18757262902</v>
      </c>
      <c r="AL58" s="9">
        <v>9349.18757262902</v>
      </c>
      <c r="AM58" s="9">
        <v>6245.0386283000735</v>
      </c>
      <c r="AN58" s="9">
        <v>3549.9780653855996</v>
      </c>
      <c r="AO58" s="9">
        <v>3549.9780653855996</v>
      </c>
      <c r="AP58" s="9">
        <v>3549.9780653855996</v>
      </c>
      <c r="AQ58" s="9">
        <v>3549.9780653855996</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s="9">
        <v>0</v>
      </c>
      <c r="BI58" s="9">
        <v>0</v>
      </c>
      <c r="BJ58" s="9">
        <v>0</v>
      </c>
      <c r="BK58" s="9">
        <v>0</v>
      </c>
      <c r="BL58" s="9">
        <v>0</v>
      </c>
      <c r="BM58" s="9">
        <v>0</v>
      </c>
      <c r="BN58" s="9">
        <v>0</v>
      </c>
      <c r="BO58" s="9">
        <v>0</v>
      </c>
    </row>
    <row r="59" spans="2:67">
      <c r="B59" t="s">
        <v>264</v>
      </c>
      <c r="C59" s="9">
        <f t="shared" si="1"/>
        <v>36251.841165707228</v>
      </c>
      <c r="D59" t="s">
        <v>2643</v>
      </c>
      <c r="E59" s="9">
        <v>0</v>
      </c>
      <c r="F59" s="9">
        <v>0</v>
      </c>
      <c r="G59" s="9">
        <v>0</v>
      </c>
      <c r="H59" s="9">
        <v>0</v>
      </c>
      <c r="I59" s="9">
        <v>0</v>
      </c>
      <c r="J59" s="9">
        <v>0</v>
      </c>
      <c r="K59" s="9">
        <v>0</v>
      </c>
      <c r="L59" s="9">
        <v>0</v>
      </c>
      <c r="M59" s="9">
        <v>0</v>
      </c>
      <c r="N59" s="11">
        <v>0</v>
      </c>
      <c r="O59" s="9">
        <v>0</v>
      </c>
      <c r="P59" s="9">
        <v>0</v>
      </c>
      <c r="Q59" s="9">
        <v>0</v>
      </c>
      <c r="R59" s="9">
        <v>0</v>
      </c>
      <c r="S59" s="9">
        <v>0</v>
      </c>
      <c r="T59" s="9">
        <v>2365.9870730537277</v>
      </c>
      <c r="U59" s="9">
        <v>2365.9870730537277</v>
      </c>
      <c r="V59" s="9">
        <v>2768.278710594846</v>
      </c>
      <c r="W59" s="9">
        <v>3344.2393153097587</v>
      </c>
      <c r="X59" s="9">
        <v>2999.2920445449558</v>
      </c>
      <c r="Y59" s="9">
        <v>2036.5152764528509</v>
      </c>
      <c r="Z59" s="9">
        <v>1689.0802593201752</v>
      </c>
      <c r="AA59" s="9">
        <v>1496.5808760964908</v>
      </c>
      <c r="AB59" s="9">
        <v>863.13148300438593</v>
      </c>
      <c r="AC59" s="9">
        <v>634.22605537280697</v>
      </c>
      <c r="AD59" s="9">
        <v>550.94480537280697</v>
      </c>
      <c r="AE59" s="9">
        <v>550.94480537280697</v>
      </c>
      <c r="AF59" s="9">
        <v>947.77068941885955</v>
      </c>
      <c r="AG59" s="9">
        <v>947.77068941885955</v>
      </c>
      <c r="AH59" s="9">
        <v>1225.4219476425437</v>
      </c>
      <c r="AI59" s="9">
        <v>1612.2913390899121</v>
      </c>
      <c r="AJ59" s="9">
        <v>1612.2913390899121</v>
      </c>
      <c r="AK59" s="9">
        <v>1612.2913390899121</v>
      </c>
      <c r="AL59" s="9">
        <v>1612.2913390899121</v>
      </c>
      <c r="AM59" s="9">
        <v>1225.4219476425437</v>
      </c>
      <c r="AN59" s="9">
        <v>947.77068941885955</v>
      </c>
      <c r="AO59" s="9">
        <v>947.77068941885955</v>
      </c>
      <c r="AP59" s="9">
        <v>947.77068941885955</v>
      </c>
      <c r="AQ59" s="9">
        <v>947.77068941885955</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row>
    <row r="60" spans="2:67">
      <c r="B60" t="s">
        <v>269</v>
      </c>
      <c r="C60" s="9">
        <f t="shared" si="1"/>
        <v>1907.7750648759741</v>
      </c>
      <c r="D60" t="s">
        <v>2644</v>
      </c>
      <c r="E60" s="9">
        <v>0</v>
      </c>
      <c r="F60" s="9">
        <v>0</v>
      </c>
      <c r="G60" s="9">
        <v>0</v>
      </c>
      <c r="H60" s="9">
        <v>0</v>
      </c>
      <c r="I60" s="9">
        <v>0</v>
      </c>
      <c r="J60" s="9">
        <v>0</v>
      </c>
      <c r="K60" s="9">
        <v>0</v>
      </c>
      <c r="L60" s="9">
        <v>0</v>
      </c>
      <c r="M60" s="9">
        <v>0</v>
      </c>
      <c r="N60" s="11">
        <v>0</v>
      </c>
      <c r="O60" s="9">
        <v>0</v>
      </c>
      <c r="P60" s="9">
        <v>0</v>
      </c>
      <c r="Q60" s="9">
        <v>0</v>
      </c>
      <c r="R60" s="9">
        <v>0</v>
      </c>
      <c r="S60" s="9">
        <v>0</v>
      </c>
      <c r="T60" s="9">
        <v>124.50934303096631</v>
      </c>
      <c r="U60" s="9">
        <v>124.50934303096631</v>
      </c>
      <c r="V60" s="9">
        <v>145.68216833292803</v>
      </c>
      <c r="W60" s="9">
        <v>175.99405786405646</v>
      </c>
      <c r="X60" s="9">
        <v>157.84173442655646</v>
      </c>
      <c r="Y60" s="9">
        <v>107.17419118725682</v>
      </c>
      <c r="Z60" s="9">
        <v>88.890953895590158</v>
      </c>
      <c r="AA60" s="9">
        <v>78.759546713359285</v>
      </c>
      <c r="AB60" s="9">
        <v>45.423818531128418</v>
      </c>
      <c r="AC60" s="9">
        <v>33.376598848897544</v>
      </c>
      <c r="AD60" s="9">
        <v>28.992629166666674</v>
      </c>
      <c r="AE60" s="9">
        <v>28.992629166666674</v>
      </c>
      <c r="AF60" s="9">
        <v>49.874985416666675</v>
      </c>
      <c r="AG60" s="9">
        <v>49.874985416666675</v>
      </c>
      <c r="AH60" s="9">
        <v>64.488832984760066</v>
      </c>
      <c r="AI60" s="9">
        <v>84.85011805285346</v>
      </c>
      <c r="AJ60" s="9">
        <v>84.850118052853446</v>
      </c>
      <c r="AK60" s="9">
        <v>84.85011805285346</v>
      </c>
      <c r="AL60" s="9">
        <v>84.850118052853446</v>
      </c>
      <c r="AM60" s="9">
        <v>64.488832984760066</v>
      </c>
      <c r="AN60" s="9">
        <v>49.874985416666675</v>
      </c>
      <c r="AO60" s="9">
        <v>49.874985416666675</v>
      </c>
      <c r="AP60" s="9">
        <v>49.874985416666675</v>
      </c>
      <c r="AQ60" s="9">
        <v>49.874985416666675</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row>
    <row r="61" spans="2:67">
      <c r="B61" t="s">
        <v>274</v>
      </c>
      <c r="C61" s="9">
        <f t="shared" si="1"/>
        <v>106653.35499999997</v>
      </c>
      <c r="D61" t="s">
        <v>2645</v>
      </c>
      <c r="E61" s="9">
        <v>0</v>
      </c>
      <c r="F61" s="9">
        <v>0</v>
      </c>
      <c r="G61" s="9">
        <v>0</v>
      </c>
      <c r="H61" s="9">
        <v>0</v>
      </c>
      <c r="I61" s="9">
        <v>0</v>
      </c>
      <c r="J61" s="9">
        <v>0</v>
      </c>
      <c r="K61" s="9">
        <v>0</v>
      </c>
      <c r="L61" s="9">
        <v>0</v>
      </c>
      <c r="M61" s="9">
        <v>0</v>
      </c>
      <c r="N61" s="11">
        <v>0</v>
      </c>
      <c r="O61" s="9">
        <v>0</v>
      </c>
      <c r="P61" s="9">
        <v>0</v>
      </c>
      <c r="Q61" s="9">
        <v>1993.7809999999995</v>
      </c>
      <c r="R61" s="9">
        <v>1993.7809999999995</v>
      </c>
      <c r="S61" s="9">
        <v>1993.7809999999995</v>
      </c>
      <c r="T61" s="9">
        <v>5041.1193333333331</v>
      </c>
      <c r="U61" s="9">
        <v>6638.0568333333331</v>
      </c>
      <c r="V61" s="9">
        <v>5632.8133333333335</v>
      </c>
      <c r="W61" s="9">
        <v>6528.952666666667</v>
      </c>
      <c r="X61" s="9">
        <v>7636.9651666666668</v>
      </c>
      <c r="Y61" s="9">
        <v>7844.931833333334</v>
      </c>
      <c r="Z61" s="9">
        <v>7362.9935000000005</v>
      </c>
      <c r="AA61" s="9">
        <v>7047.3685000000014</v>
      </c>
      <c r="AB61" s="9">
        <v>5493.8374999999996</v>
      </c>
      <c r="AC61" s="9">
        <v>3530.7750000000001</v>
      </c>
      <c r="AD61" s="9">
        <v>2406.4</v>
      </c>
      <c r="AE61" s="9">
        <v>2267.2333333333331</v>
      </c>
      <c r="AF61" s="9">
        <v>2817.6833333333334</v>
      </c>
      <c r="AG61" s="9">
        <v>2817.6833333333334</v>
      </c>
      <c r="AH61" s="9">
        <v>3301.1198333333332</v>
      </c>
      <c r="AI61" s="9">
        <v>3936.056333333333</v>
      </c>
      <c r="AJ61" s="9">
        <v>3936.056333333333</v>
      </c>
      <c r="AK61" s="9">
        <v>3936.056333333333</v>
      </c>
      <c r="AL61" s="9">
        <v>3936.056333333333</v>
      </c>
      <c r="AM61" s="9">
        <v>3301.1198333333332</v>
      </c>
      <c r="AN61" s="9">
        <v>1314.6833333333332</v>
      </c>
      <c r="AO61" s="9">
        <v>1314.6833333333332</v>
      </c>
      <c r="AP61" s="9">
        <v>1314.6833333333332</v>
      </c>
      <c r="AQ61" s="9">
        <v>1314.6833333333332</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row>
    <row r="62" spans="2:67">
      <c r="B62" t="s">
        <v>279</v>
      </c>
      <c r="C62" s="9">
        <f t="shared" si="1"/>
        <v>279219.50206744956</v>
      </c>
      <c r="D62" t="s">
        <v>2646</v>
      </c>
      <c r="E62" s="9">
        <v>0</v>
      </c>
      <c r="F62" s="9">
        <v>0</v>
      </c>
      <c r="G62" s="9">
        <v>0</v>
      </c>
      <c r="H62" s="9">
        <v>0</v>
      </c>
      <c r="I62" s="9">
        <v>0</v>
      </c>
      <c r="J62" s="9">
        <v>0</v>
      </c>
      <c r="K62" s="9">
        <v>0</v>
      </c>
      <c r="L62" s="9">
        <v>560.86</v>
      </c>
      <c r="M62" s="9">
        <v>0</v>
      </c>
      <c r="N62" s="11">
        <v>416.15</v>
      </c>
      <c r="O62" s="9">
        <v>5348.1606518847457</v>
      </c>
      <c r="P62" s="9">
        <v>6893.8451153431424</v>
      </c>
      <c r="Q62" s="9">
        <v>9837.1159853391837</v>
      </c>
      <c r="R62" s="9">
        <v>10148.516614485174</v>
      </c>
      <c r="S62" s="9">
        <v>9689.2035804395746</v>
      </c>
      <c r="T62" s="9">
        <v>14512.96649808584</v>
      </c>
      <c r="U62" s="9">
        <v>13174.202850980639</v>
      </c>
      <c r="V62" s="9">
        <v>10500.530678585088</v>
      </c>
      <c r="W62" s="9">
        <v>12595.534319260818</v>
      </c>
      <c r="X62" s="9">
        <v>12619.15511946991</v>
      </c>
      <c r="Y62" s="9">
        <v>12767.06752436952</v>
      </c>
      <c r="Z62" s="9">
        <v>12660.862298091479</v>
      </c>
      <c r="AA62" s="9">
        <v>11345.834181645123</v>
      </c>
      <c r="AB62" s="9">
        <v>9284.2927478699403</v>
      </c>
      <c r="AC62" s="9">
        <v>8314.3935761893445</v>
      </c>
      <c r="AD62" s="9">
        <v>7344.4944045087468</v>
      </c>
      <c r="AE62" s="9">
        <v>6885.1813704631486</v>
      </c>
      <c r="AF62" s="9">
        <v>7593.1723218571924</v>
      </c>
      <c r="AG62" s="9">
        <v>8805.359329099274</v>
      </c>
      <c r="AH62" s="9">
        <v>11208.416444059478</v>
      </c>
      <c r="AI62" s="9">
        <v>13465.825024768414</v>
      </c>
      <c r="AJ62" s="9">
        <v>13465.825024768414</v>
      </c>
      <c r="AK62" s="9">
        <v>13172.264085617529</v>
      </c>
      <c r="AL62" s="9">
        <v>12878.703146466649</v>
      </c>
      <c r="AM62" s="9">
        <v>10621.294565757713</v>
      </c>
      <c r="AN62" s="9">
        <v>3120.8031164779095</v>
      </c>
      <c r="AO62" s="9">
        <v>3434.3341875438182</v>
      </c>
      <c r="AP62" s="9">
        <v>3434.3341875438182</v>
      </c>
      <c r="AQ62" s="9">
        <v>3120.8031164779095</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9">
        <v>0</v>
      </c>
      <c r="BK62" s="9">
        <v>0</v>
      </c>
      <c r="BL62" s="9">
        <v>0</v>
      </c>
      <c r="BM62" s="9">
        <v>0</v>
      </c>
      <c r="BN62" s="9">
        <v>0</v>
      </c>
      <c r="BO62" s="9">
        <v>0</v>
      </c>
    </row>
    <row r="63" spans="2:67">
      <c r="B63" t="s">
        <v>284</v>
      </c>
      <c r="C63" s="9">
        <f t="shared" si="1"/>
        <v>2541.383157894737</v>
      </c>
      <c r="D63" t="s">
        <v>2647</v>
      </c>
      <c r="E63" s="9">
        <v>0</v>
      </c>
      <c r="F63" s="9">
        <v>0</v>
      </c>
      <c r="G63" s="9">
        <v>0</v>
      </c>
      <c r="H63" s="9">
        <v>0</v>
      </c>
      <c r="I63" s="9">
        <v>0</v>
      </c>
      <c r="J63" s="9">
        <v>0</v>
      </c>
      <c r="K63" s="9">
        <v>0</v>
      </c>
      <c r="L63" s="9">
        <v>0</v>
      </c>
      <c r="M63" s="9">
        <v>0</v>
      </c>
      <c r="N63" s="11">
        <v>0</v>
      </c>
      <c r="O63" s="9">
        <v>0</v>
      </c>
      <c r="P63" s="9">
        <v>0</v>
      </c>
      <c r="Q63" s="9">
        <v>0</v>
      </c>
      <c r="R63" s="9">
        <v>0</v>
      </c>
      <c r="S63" s="9">
        <v>0</v>
      </c>
      <c r="T63" s="9">
        <v>153.43859649122805</v>
      </c>
      <c r="U63" s="9">
        <v>153.43859649122805</v>
      </c>
      <c r="V63" s="9">
        <v>193.07017543859649</v>
      </c>
      <c r="W63" s="9">
        <v>242.74456140350878</v>
      </c>
      <c r="X63" s="9">
        <v>222.79719298245615</v>
      </c>
      <c r="Y63" s="9">
        <v>150.50245614035089</v>
      </c>
      <c r="Z63" s="9">
        <v>130.41122807017541</v>
      </c>
      <c r="AA63" s="9">
        <v>111.09543859649122</v>
      </c>
      <c r="AB63" s="9">
        <v>66.280701754385959</v>
      </c>
      <c r="AC63" s="9">
        <v>44.859649122807014</v>
      </c>
      <c r="AD63" s="9">
        <v>31.859649122807014</v>
      </c>
      <c r="AE63" s="9">
        <v>31.859649122807014</v>
      </c>
      <c r="AF63" s="9">
        <v>54.807017543859644</v>
      </c>
      <c r="AG63" s="9">
        <v>54.807017543859644</v>
      </c>
      <c r="AH63" s="9">
        <v>87.414807017543865</v>
      </c>
      <c r="AI63" s="9">
        <v>126.33838596491228</v>
      </c>
      <c r="AJ63" s="9">
        <v>126.33838596491228</v>
      </c>
      <c r="AK63" s="9">
        <v>126.33838596491228</v>
      </c>
      <c r="AL63" s="9">
        <v>126.33838596491228</v>
      </c>
      <c r="AM63" s="9">
        <v>87.414807017543865</v>
      </c>
      <c r="AN63" s="9">
        <v>54.807017543859644</v>
      </c>
      <c r="AO63" s="9">
        <v>54.807017543859644</v>
      </c>
      <c r="AP63" s="9">
        <v>54.807017543859644</v>
      </c>
      <c r="AQ63" s="9">
        <v>54.807017543859644</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9">
        <v>0</v>
      </c>
      <c r="BM63" s="9">
        <v>0</v>
      </c>
      <c r="BN63" s="9">
        <v>0</v>
      </c>
      <c r="BO63" s="9">
        <v>0</v>
      </c>
    </row>
    <row r="64" spans="2:67">
      <c r="B64" t="s">
        <v>289</v>
      </c>
      <c r="C64" s="9">
        <f t="shared" si="1"/>
        <v>32427.394736842107</v>
      </c>
      <c r="D64" t="s">
        <v>2648</v>
      </c>
      <c r="E64" s="9">
        <v>0</v>
      </c>
      <c r="F64" s="9">
        <v>0</v>
      </c>
      <c r="G64" s="9">
        <v>0</v>
      </c>
      <c r="H64" s="9">
        <v>0</v>
      </c>
      <c r="I64" s="9">
        <v>0</v>
      </c>
      <c r="J64" s="9">
        <v>0</v>
      </c>
      <c r="K64" s="9">
        <v>0</v>
      </c>
      <c r="L64" s="9">
        <v>0</v>
      </c>
      <c r="M64" s="9">
        <v>0</v>
      </c>
      <c r="N64" s="11">
        <v>0</v>
      </c>
      <c r="O64" s="9">
        <v>0</v>
      </c>
      <c r="P64" s="9">
        <v>0</v>
      </c>
      <c r="Q64" s="9">
        <v>0</v>
      </c>
      <c r="R64" s="9">
        <v>0</v>
      </c>
      <c r="S64" s="9">
        <v>0</v>
      </c>
      <c r="T64" s="9">
        <v>2132.8578947368424</v>
      </c>
      <c r="U64" s="9">
        <v>2132.8578947368424</v>
      </c>
      <c r="V64" s="9">
        <v>2477.5552631578948</v>
      </c>
      <c r="W64" s="9">
        <v>2980.4268421052634</v>
      </c>
      <c r="X64" s="9">
        <v>2666.2557894736842</v>
      </c>
      <c r="Y64" s="9">
        <v>1811.4136842105263</v>
      </c>
      <c r="Z64" s="9">
        <v>1494.9768421052631</v>
      </c>
      <c r="AA64" s="9">
        <v>1330.5031578947369</v>
      </c>
      <c r="AB64" s="9">
        <v>764.42105263157896</v>
      </c>
      <c r="AC64" s="9">
        <v>566.78947368421063</v>
      </c>
      <c r="AD64" s="9">
        <v>501.78947368421058</v>
      </c>
      <c r="AE64" s="9">
        <v>501.78947368421058</v>
      </c>
      <c r="AF64" s="9">
        <v>863.21052631578948</v>
      </c>
      <c r="AG64" s="9">
        <v>863.21052631578948</v>
      </c>
      <c r="AH64" s="9">
        <v>1094.1442105263159</v>
      </c>
      <c r="AI64" s="9">
        <v>1424.5515789473686</v>
      </c>
      <c r="AJ64" s="9">
        <v>1424.5515789473684</v>
      </c>
      <c r="AK64" s="9">
        <v>1424.5515789473686</v>
      </c>
      <c r="AL64" s="9">
        <v>1424.5515789473684</v>
      </c>
      <c r="AM64" s="9">
        <v>1094.1442105263159</v>
      </c>
      <c r="AN64" s="9">
        <v>863.21052631578948</v>
      </c>
      <c r="AO64" s="9">
        <v>863.21052631578948</v>
      </c>
      <c r="AP64" s="9">
        <v>863.21052631578948</v>
      </c>
      <c r="AQ64" s="9">
        <v>863.21052631578948</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0</v>
      </c>
    </row>
    <row r="65" spans="2:67">
      <c r="B65" t="s">
        <v>294</v>
      </c>
      <c r="C65" s="9">
        <f t="shared" si="1"/>
        <v>471.64499999999981</v>
      </c>
      <c r="D65" t="s">
        <v>2649</v>
      </c>
      <c r="E65" s="9">
        <v>0</v>
      </c>
      <c r="F65" s="9">
        <v>0</v>
      </c>
      <c r="G65" s="9">
        <v>0</v>
      </c>
      <c r="H65" s="9">
        <v>0</v>
      </c>
      <c r="I65" s="9">
        <v>0</v>
      </c>
      <c r="J65" s="9">
        <v>0</v>
      </c>
      <c r="K65" s="9">
        <v>0</v>
      </c>
      <c r="L65" s="9">
        <v>0</v>
      </c>
      <c r="M65" s="9">
        <v>0</v>
      </c>
      <c r="N65" s="11">
        <v>0</v>
      </c>
      <c r="O65" s="9">
        <v>0</v>
      </c>
      <c r="P65" s="9">
        <v>0</v>
      </c>
      <c r="Q65" s="9">
        <v>0</v>
      </c>
      <c r="R65" s="9">
        <v>0</v>
      </c>
      <c r="S65" s="9">
        <v>0</v>
      </c>
      <c r="T65" s="9">
        <v>30.124499999999991</v>
      </c>
      <c r="U65" s="9">
        <v>30.124499999999991</v>
      </c>
      <c r="V65" s="9">
        <v>35.963249999999995</v>
      </c>
      <c r="W65" s="9">
        <v>43.948649999999986</v>
      </c>
      <c r="X65" s="9">
        <v>39.684899999999992</v>
      </c>
      <c r="Y65" s="9">
        <v>26.904899999999998</v>
      </c>
      <c r="Z65" s="9">
        <v>22.610400000000002</v>
      </c>
      <c r="AA65" s="9">
        <v>19.797899999999998</v>
      </c>
      <c r="AB65" s="9">
        <v>11.535</v>
      </c>
      <c r="AC65" s="9">
        <v>8.2724999999999991</v>
      </c>
      <c r="AD65" s="9">
        <v>6.81</v>
      </c>
      <c r="AE65" s="9">
        <v>6.81</v>
      </c>
      <c r="AF65" s="9">
        <v>11.714999999999998</v>
      </c>
      <c r="AG65" s="9">
        <v>11.714999999999998</v>
      </c>
      <c r="AH65" s="9">
        <v>16.022849999999998</v>
      </c>
      <c r="AI65" s="9">
        <v>21.680699999999998</v>
      </c>
      <c r="AJ65" s="9">
        <v>21.680699999999998</v>
      </c>
      <c r="AK65" s="9">
        <v>21.680699999999998</v>
      </c>
      <c r="AL65" s="9">
        <v>21.680699999999998</v>
      </c>
      <c r="AM65" s="9">
        <v>16.022849999999998</v>
      </c>
      <c r="AN65" s="9">
        <v>11.714999999999998</v>
      </c>
      <c r="AO65" s="9">
        <v>11.714999999999998</v>
      </c>
      <c r="AP65" s="9">
        <v>11.714999999999998</v>
      </c>
      <c r="AQ65" s="9">
        <v>11.714999999999998</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row>
    <row r="66" spans="2:67">
      <c r="B66" t="s">
        <v>299</v>
      </c>
      <c r="C66" s="9">
        <f t="shared" si="1"/>
        <v>825.37875000000008</v>
      </c>
      <c r="D66" t="s">
        <v>2650</v>
      </c>
      <c r="E66" s="9">
        <v>0</v>
      </c>
      <c r="F66" s="9">
        <v>0</v>
      </c>
      <c r="G66" s="9">
        <v>0</v>
      </c>
      <c r="H66" s="9">
        <v>0</v>
      </c>
      <c r="I66" s="9">
        <v>0</v>
      </c>
      <c r="J66" s="9">
        <v>0</v>
      </c>
      <c r="K66" s="9">
        <v>0</v>
      </c>
      <c r="L66" s="9">
        <v>0</v>
      </c>
      <c r="M66" s="9">
        <v>0</v>
      </c>
      <c r="N66" s="11">
        <v>0</v>
      </c>
      <c r="O66" s="9">
        <v>0</v>
      </c>
      <c r="P66" s="9">
        <v>0</v>
      </c>
      <c r="Q66" s="9">
        <v>0</v>
      </c>
      <c r="R66" s="9">
        <v>0</v>
      </c>
      <c r="S66" s="9">
        <v>0</v>
      </c>
      <c r="T66" s="9">
        <v>52.717874999999992</v>
      </c>
      <c r="U66" s="9">
        <v>52.717874999999992</v>
      </c>
      <c r="V66" s="9">
        <v>62.935687499999993</v>
      </c>
      <c r="W66" s="9">
        <v>76.910137500000005</v>
      </c>
      <c r="X66" s="9">
        <v>69.448574999999991</v>
      </c>
      <c r="Y66" s="9">
        <v>47.083574999999989</v>
      </c>
      <c r="Z66" s="9">
        <v>39.568199999999997</v>
      </c>
      <c r="AA66" s="9">
        <v>34.646324999999997</v>
      </c>
      <c r="AB66" s="9">
        <v>20.186249999999998</v>
      </c>
      <c r="AC66" s="9">
        <v>14.476874999999994</v>
      </c>
      <c r="AD66" s="9">
        <v>11.917499999999997</v>
      </c>
      <c r="AE66" s="9">
        <v>11.917499999999997</v>
      </c>
      <c r="AF66" s="9">
        <v>20.501249999999995</v>
      </c>
      <c r="AG66" s="9">
        <v>20.501249999999995</v>
      </c>
      <c r="AH66" s="9">
        <v>28.039987499999992</v>
      </c>
      <c r="AI66" s="9">
        <v>37.941224999999996</v>
      </c>
      <c r="AJ66" s="9">
        <v>37.941224999999996</v>
      </c>
      <c r="AK66" s="9">
        <v>37.941224999999996</v>
      </c>
      <c r="AL66" s="9">
        <v>37.941224999999996</v>
      </c>
      <c r="AM66" s="9">
        <v>28.039987499999992</v>
      </c>
      <c r="AN66" s="9">
        <v>20.501249999999995</v>
      </c>
      <c r="AO66" s="9">
        <v>20.501249999999995</v>
      </c>
      <c r="AP66" s="9">
        <v>20.501249999999995</v>
      </c>
      <c r="AQ66" s="9">
        <v>20.501249999999995</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row>
    <row r="67" spans="2:67">
      <c r="B67" t="s">
        <v>307</v>
      </c>
      <c r="C67" s="9">
        <f t="shared" si="1"/>
        <v>1500264.0682000006</v>
      </c>
      <c r="D67" t="s">
        <v>16</v>
      </c>
      <c r="E67" s="9">
        <v>0</v>
      </c>
      <c r="F67" s="9">
        <v>0</v>
      </c>
      <c r="G67" s="9">
        <v>4394.0691485833531</v>
      </c>
      <c r="H67" s="9">
        <v>10785.229851416645</v>
      </c>
      <c r="I67" s="9">
        <v>0</v>
      </c>
      <c r="J67" s="9">
        <v>0</v>
      </c>
      <c r="K67" s="9">
        <v>0</v>
      </c>
      <c r="L67" s="9">
        <v>70.829698333302076</v>
      </c>
      <c r="M67" s="9">
        <v>6505.2123016667028</v>
      </c>
      <c r="N67" s="11">
        <v>0</v>
      </c>
      <c r="O67" s="9">
        <v>5271.0041972245135</v>
      </c>
      <c r="P67" s="9">
        <v>14037.826435284869</v>
      </c>
      <c r="Q67" s="9">
        <v>16699.769351023173</v>
      </c>
      <c r="R67" s="9">
        <v>20766.658863095105</v>
      </c>
      <c r="S67" s="9">
        <v>39513.910964072369</v>
      </c>
      <c r="T67" s="9">
        <v>27454.305680934955</v>
      </c>
      <c r="U67" s="9">
        <v>27930.28185532624</v>
      </c>
      <c r="V67" s="9">
        <v>27609.900907283391</v>
      </c>
      <c r="W67" s="9">
        <v>28146.537838548295</v>
      </c>
      <c r="X67" s="9">
        <v>36099.782855504622</v>
      </c>
      <c r="Y67" s="9">
        <v>43663.494778863009</v>
      </c>
      <c r="Z67" s="9">
        <v>49882.895147575735</v>
      </c>
      <c r="AA67" s="9">
        <v>55680.161053757147</v>
      </c>
      <c r="AB67" s="9">
        <v>55680.161053757147</v>
      </c>
      <c r="AC67" s="9">
        <v>53362.712527631251</v>
      </c>
      <c r="AD67" s="9">
        <v>59136.414246570872</v>
      </c>
      <c r="AE67" s="9">
        <v>59136.414246570872</v>
      </c>
      <c r="AF67" s="9">
        <v>57621.473578825673</v>
      </c>
      <c r="AG67" s="9">
        <v>57783.250545958392</v>
      </c>
      <c r="AH67" s="9">
        <v>56454.229621901002</v>
      </c>
      <c r="AI67" s="9">
        <v>55305.881896995968</v>
      </c>
      <c r="AJ67" s="9">
        <v>70931.097928501375</v>
      </c>
      <c r="AK67" s="9">
        <v>73897.646399172983</v>
      </c>
      <c r="AL67" s="9">
        <v>70098.493935997962</v>
      </c>
      <c r="AM67" s="9">
        <v>70098.493935997962</v>
      </c>
      <c r="AN67" s="9">
        <v>69902.683917995717</v>
      </c>
      <c r="AO67" s="9">
        <v>67197.416300376004</v>
      </c>
      <c r="AP67" s="9">
        <v>66482.752180801981</v>
      </c>
      <c r="AQ67" s="9">
        <v>48666.68786080322</v>
      </c>
      <c r="AR67" s="9">
        <v>34577.739650772972</v>
      </c>
      <c r="AS67" s="9">
        <v>24120.529884412772</v>
      </c>
      <c r="AT67" s="9">
        <v>12725.501609059571</v>
      </c>
      <c r="AU67" s="9">
        <v>12725.501609059571</v>
      </c>
      <c r="AV67" s="9">
        <v>9847.1143403437145</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row>
    <row r="68" spans="2:67">
      <c r="B68" t="s">
        <v>311</v>
      </c>
      <c r="C68" s="9">
        <f t="shared" si="1"/>
        <v>27310.492999999991</v>
      </c>
      <c r="D68" t="s">
        <v>17</v>
      </c>
      <c r="E68" s="9">
        <v>0</v>
      </c>
      <c r="F68" s="9">
        <v>0</v>
      </c>
      <c r="G68" s="9">
        <v>35.462369054262766</v>
      </c>
      <c r="H68" s="9">
        <v>87.042280945737232</v>
      </c>
      <c r="I68" s="9">
        <v>0</v>
      </c>
      <c r="J68" s="9">
        <v>0</v>
      </c>
      <c r="K68" s="9">
        <v>0</v>
      </c>
      <c r="L68" s="9">
        <v>8.5160705000000121</v>
      </c>
      <c r="M68" s="9">
        <v>68.035311999999976</v>
      </c>
      <c r="N68" s="11">
        <v>0</v>
      </c>
      <c r="O68" s="9">
        <v>160.11287022520182</v>
      </c>
      <c r="P68" s="9">
        <v>99.682085243336815</v>
      </c>
      <c r="Q68" s="9">
        <v>150.13708832075974</v>
      </c>
      <c r="R68" s="9">
        <v>276.91588095279479</v>
      </c>
      <c r="S68" s="9">
        <v>694.31335892990421</v>
      </c>
      <c r="T68" s="9">
        <v>604.81752410166894</v>
      </c>
      <c r="U68" s="9">
        <v>623.84736273150656</v>
      </c>
      <c r="V68" s="9">
        <v>611.40241621602672</v>
      </c>
      <c r="W68" s="9">
        <v>625.51580027110629</v>
      </c>
      <c r="X68" s="9">
        <v>790.68371581853523</v>
      </c>
      <c r="Y68" s="9">
        <v>922.51391548994854</v>
      </c>
      <c r="Z68" s="9">
        <v>1063.5186936693844</v>
      </c>
      <c r="AA68" s="9">
        <v>1202.464863932787</v>
      </c>
      <c r="AB68" s="9">
        <v>1202.464863932787</v>
      </c>
      <c r="AC68" s="9">
        <v>927.68285387104902</v>
      </c>
      <c r="AD68" s="9">
        <v>940.96864374363929</v>
      </c>
      <c r="AE68" s="9">
        <v>940.96864374363929</v>
      </c>
      <c r="AF68" s="9">
        <v>907.85943665881928</v>
      </c>
      <c r="AG68" s="9">
        <v>984.61076768086832</v>
      </c>
      <c r="AH68" s="9">
        <v>1040.6601480911038</v>
      </c>
      <c r="AI68" s="9">
        <v>1031.9271293090155</v>
      </c>
      <c r="AJ68" s="9">
        <v>1194.5070364183284</v>
      </c>
      <c r="AK68" s="9">
        <v>1279.8302708595231</v>
      </c>
      <c r="AL68" s="9">
        <v>1186.6607182429962</v>
      </c>
      <c r="AM68" s="9">
        <v>1186.6607182429962</v>
      </c>
      <c r="AN68" s="9">
        <v>1157.7807894354346</v>
      </c>
      <c r="AO68" s="9">
        <v>1287.4947681409747</v>
      </c>
      <c r="AP68" s="9">
        <v>1283.743763944912</v>
      </c>
      <c r="AQ68" s="9">
        <v>916.01334024520247</v>
      </c>
      <c r="AR68" s="9">
        <v>608.09771435637765</v>
      </c>
      <c r="AS68" s="9">
        <v>436.13525960306686</v>
      </c>
      <c r="AT68" s="9">
        <v>278.11733951248681</v>
      </c>
      <c r="AU68" s="9">
        <v>278.11733951248681</v>
      </c>
      <c r="AV68" s="9">
        <v>215.20984605132909</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row>
    <row r="69" spans="2:67">
      <c r="B69" t="s">
        <v>315</v>
      </c>
      <c r="C69" s="9">
        <f t="shared" si="1"/>
        <v>2472982</v>
      </c>
      <c r="D69" t="s">
        <v>18</v>
      </c>
      <c r="E69" s="9">
        <v>0</v>
      </c>
      <c r="F69" s="9">
        <v>0</v>
      </c>
      <c r="G69" s="9">
        <v>0</v>
      </c>
      <c r="H69" s="9">
        <v>0</v>
      </c>
      <c r="I69" s="9">
        <v>2177.1750000380562</v>
      </c>
      <c r="J69" s="9">
        <v>684.96562512844002</v>
      </c>
      <c r="K69" s="9">
        <v>0</v>
      </c>
      <c r="L69" s="9">
        <v>0</v>
      </c>
      <c r="M69" s="9">
        <v>11100</v>
      </c>
      <c r="N69" s="11">
        <v>0</v>
      </c>
      <c r="O69" s="9">
        <v>18048.05768346721</v>
      </c>
      <c r="P69" s="9">
        <v>9922.0086108969754</v>
      </c>
      <c r="Q69" s="9">
        <v>10316.589007626135</v>
      </c>
      <c r="R69" s="9">
        <v>24180.896805775694</v>
      </c>
      <c r="S69" s="9">
        <v>64514.890408227322</v>
      </c>
      <c r="T69" s="9">
        <v>56076.813299490619</v>
      </c>
      <c r="U69" s="9">
        <v>56157.623158645554</v>
      </c>
      <c r="V69" s="9">
        <v>55211.529740386533</v>
      </c>
      <c r="W69" s="9">
        <v>55587.796923174203</v>
      </c>
      <c r="X69" s="9">
        <v>71329.28326709113</v>
      </c>
      <c r="Y69" s="9">
        <v>83964.861002390026</v>
      </c>
      <c r="Z69" s="9">
        <v>97307.378072062769</v>
      </c>
      <c r="AA69" s="9">
        <v>110223.02942495092</v>
      </c>
      <c r="AB69" s="9">
        <v>110223.02942495092</v>
      </c>
      <c r="AC69" s="9">
        <v>80961.399981159455</v>
      </c>
      <c r="AD69" s="9">
        <v>80294.256501921598</v>
      </c>
      <c r="AE69" s="9">
        <v>80294.256501921598</v>
      </c>
      <c r="AF69" s="9">
        <v>77088.995999156046</v>
      </c>
      <c r="AG69" s="9">
        <v>86704.777507452716</v>
      </c>
      <c r="AH69" s="9">
        <v>93875.927655479551</v>
      </c>
      <c r="AI69" s="9">
        <v>93810.703814419947</v>
      </c>
      <c r="AJ69" s="9">
        <v>107435.85752868427</v>
      </c>
      <c r="AK69" s="9">
        <v>116475.81077748742</v>
      </c>
      <c r="AL69" s="9">
        <v>107435.85752868427</v>
      </c>
      <c r="AM69" s="9">
        <v>107435.85752868427</v>
      </c>
      <c r="AN69" s="9">
        <v>104230.59702591873</v>
      </c>
      <c r="AO69" s="9">
        <v>120897.95164029961</v>
      </c>
      <c r="AP69" s="9">
        <v>120990.35208180072</v>
      </c>
      <c r="AQ69" s="9">
        <v>86221.507524393455</v>
      </c>
      <c r="AR69" s="9">
        <v>56412.584848673789</v>
      </c>
      <c r="AS69" s="9">
        <v>40706.80838512256</v>
      </c>
      <c r="AT69" s="9">
        <v>26924.188223230667</v>
      </c>
      <c r="AU69" s="9">
        <v>26924.188223230667</v>
      </c>
      <c r="AV69" s="9">
        <v>20834.193267976119</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s="9">
        <v>0</v>
      </c>
      <c r="BN69" s="9">
        <v>0</v>
      </c>
      <c r="BO69" s="9">
        <v>0</v>
      </c>
    </row>
    <row r="70" spans="2:67">
      <c r="B70" t="s">
        <v>319</v>
      </c>
      <c r="C70" s="9">
        <f t="shared" si="1"/>
        <v>75617.935000000158</v>
      </c>
      <c r="D70" t="s">
        <v>19</v>
      </c>
      <c r="E70" s="9">
        <v>0</v>
      </c>
      <c r="F70" s="9">
        <v>0</v>
      </c>
      <c r="G70" s="9">
        <v>2754.6701608499307</v>
      </c>
      <c r="H70" s="9">
        <v>6761.3298391500684</v>
      </c>
      <c r="I70" s="9">
        <v>0</v>
      </c>
      <c r="J70" s="9">
        <v>0</v>
      </c>
      <c r="K70" s="9">
        <v>0</v>
      </c>
      <c r="L70" s="9">
        <v>0</v>
      </c>
      <c r="M70" s="9">
        <v>1724</v>
      </c>
      <c r="N70" s="11">
        <v>0</v>
      </c>
      <c r="O70" s="9">
        <v>0</v>
      </c>
      <c r="P70" s="9">
        <v>0</v>
      </c>
      <c r="Q70" s="9">
        <v>0</v>
      </c>
      <c r="R70" s="9">
        <v>0</v>
      </c>
      <c r="S70" s="9">
        <v>0</v>
      </c>
      <c r="T70" s="9">
        <v>0</v>
      </c>
      <c r="U70" s="9">
        <v>0</v>
      </c>
      <c r="V70" s="9">
        <v>0</v>
      </c>
      <c r="W70" s="9">
        <v>0</v>
      </c>
      <c r="X70" s="9">
        <v>490.38579021129772</v>
      </c>
      <c r="Y70" s="9">
        <v>1483.8942628944474</v>
      </c>
      <c r="Z70" s="9">
        <v>1135.7676621327332</v>
      </c>
      <c r="AA70" s="9">
        <v>1219.0356026847435</v>
      </c>
      <c r="AB70" s="9">
        <v>1219.0356026847435</v>
      </c>
      <c r="AC70" s="9">
        <v>1225.7154989677101</v>
      </c>
      <c r="AD70" s="9">
        <v>372.97342391313123</v>
      </c>
      <c r="AE70" s="9">
        <v>5214.6801975615899</v>
      </c>
      <c r="AF70" s="9">
        <v>6581.568327802258</v>
      </c>
      <c r="AG70" s="9">
        <v>4887.3871895806578</v>
      </c>
      <c r="AH70" s="9">
        <v>3948.7371136650113</v>
      </c>
      <c r="AI70" s="9">
        <v>2989.8917590101842</v>
      </c>
      <c r="AJ70" s="9">
        <v>5554.6571240806516</v>
      </c>
      <c r="AK70" s="9">
        <v>4762.1788167094473</v>
      </c>
      <c r="AL70" s="9">
        <v>4660.3641902801246</v>
      </c>
      <c r="AM70" s="9">
        <v>4660.3641902801246</v>
      </c>
      <c r="AN70" s="9">
        <v>5008.1416704631993</v>
      </c>
      <c r="AO70" s="9">
        <v>1679.4063753811606</v>
      </c>
      <c r="AP70" s="9">
        <v>1823.6437628227061</v>
      </c>
      <c r="AQ70" s="9">
        <v>2086.6648810984389</v>
      </c>
      <c r="AR70" s="9">
        <v>2086.6648810984389</v>
      </c>
      <c r="AS70" s="9">
        <v>1286.7766766773705</v>
      </c>
      <c r="AT70" s="9">
        <v>0</v>
      </c>
      <c r="AU70" s="9">
        <v>0</v>
      </c>
      <c r="AV70" s="9">
        <v>0</v>
      </c>
      <c r="AW70" s="9">
        <v>0</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row>
    <row r="71" spans="2:67">
      <c r="B71" t="s">
        <v>323</v>
      </c>
      <c r="C71" s="9">
        <f t="shared" si="1"/>
        <v>10547.572</v>
      </c>
      <c r="D71" t="s">
        <v>20</v>
      </c>
      <c r="E71" s="9">
        <v>0</v>
      </c>
      <c r="F71" s="9">
        <v>0</v>
      </c>
      <c r="G71" s="9">
        <v>15.707639059422386</v>
      </c>
      <c r="H71" s="9">
        <v>38.554354050977615</v>
      </c>
      <c r="I71" s="9">
        <v>9.2771675843921617</v>
      </c>
      <c r="J71" s="9">
        <v>0</v>
      </c>
      <c r="K71" s="9">
        <v>0</v>
      </c>
      <c r="L71" s="9">
        <v>4.9855435333330149</v>
      </c>
      <c r="M71" s="9">
        <v>45.453540466666965</v>
      </c>
      <c r="N71" s="11">
        <v>139.67970099999999</v>
      </c>
      <c r="O71" s="9">
        <v>0</v>
      </c>
      <c r="P71" s="9">
        <v>0</v>
      </c>
      <c r="Q71" s="9">
        <v>0</v>
      </c>
      <c r="R71" s="9">
        <v>0</v>
      </c>
      <c r="S71" s="9">
        <v>111.58810418955279</v>
      </c>
      <c r="T71" s="9">
        <v>102.5403785429334</v>
      </c>
      <c r="U71" s="9">
        <v>119.94376785409983</v>
      </c>
      <c r="V71" s="9">
        <v>103.7263086926913</v>
      </c>
      <c r="W71" s="9">
        <v>165.66031831707369</v>
      </c>
      <c r="X71" s="9">
        <v>271.37485527297662</v>
      </c>
      <c r="Y71" s="9">
        <v>335.23797627953167</v>
      </c>
      <c r="Z71" s="9">
        <v>384.01708059550452</v>
      </c>
      <c r="AA71" s="9">
        <v>437.50105058137819</v>
      </c>
      <c r="AB71" s="9">
        <v>437.50105058137819</v>
      </c>
      <c r="AC71" s="9">
        <v>378.81146626254423</v>
      </c>
      <c r="AD71" s="9">
        <v>403.56463315213796</v>
      </c>
      <c r="AE71" s="9">
        <v>403.56463315213796</v>
      </c>
      <c r="AF71" s="9">
        <v>389.26389220985089</v>
      </c>
      <c r="AG71" s="9">
        <v>413.18250697294667</v>
      </c>
      <c r="AH71" s="9">
        <v>441.03266229833042</v>
      </c>
      <c r="AI71" s="9">
        <v>424.78061754757022</v>
      </c>
      <c r="AJ71" s="9">
        <v>525.82029271042234</v>
      </c>
      <c r="AK71" s="9">
        <v>567.19390822548041</v>
      </c>
      <c r="AL71" s="9">
        <v>522.50398360630925</v>
      </c>
      <c r="AM71" s="9">
        <v>522.50398360630925</v>
      </c>
      <c r="AN71" s="9">
        <v>512.45689508427165</v>
      </c>
      <c r="AO71" s="9">
        <v>547.84497354522603</v>
      </c>
      <c r="AP71" s="9">
        <v>554.30672617252367</v>
      </c>
      <c r="AQ71" s="9">
        <v>410.21184586901961</v>
      </c>
      <c r="AR71" s="9">
        <v>277.21495510574988</v>
      </c>
      <c r="AS71" s="9">
        <v>197.35792392196927</v>
      </c>
      <c r="AT71" s="9">
        <v>120.12622391521137</v>
      </c>
      <c r="AU71" s="9">
        <v>120.12622391521137</v>
      </c>
      <c r="AV71" s="9">
        <v>92.954816124865943</v>
      </c>
      <c r="AW71" s="9">
        <v>0</v>
      </c>
      <c r="AX71" s="9">
        <v>0</v>
      </c>
      <c r="AY71" s="9">
        <v>0</v>
      </c>
      <c r="AZ71" s="9">
        <v>0</v>
      </c>
      <c r="BA71" s="9">
        <v>0</v>
      </c>
      <c r="BB71" s="9">
        <v>0</v>
      </c>
      <c r="BC71" s="9">
        <v>0</v>
      </c>
      <c r="BD71" s="9">
        <v>0</v>
      </c>
      <c r="BE71" s="9">
        <v>0</v>
      </c>
      <c r="BF71" s="9">
        <v>0</v>
      </c>
      <c r="BG71" s="9">
        <v>0</v>
      </c>
      <c r="BH71" s="9">
        <v>0</v>
      </c>
      <c r="BI71" s="9">
        <v>0</v>
      </c>
      <c r="BJ71" s="9">
        <v>0</v>
      </c>
      <c r="BK71" s="9">
        <v>0</v>
      </c>
      <c r="BL71" s="9">
        <v>0</v>
      </c>
      <c r="BM71" s="9">
        <v>0</v>
      </c>
      <c r="BN71" s="9">
        <v>0</v>
      </c>
      <c r="BO71" s="9">
        <v>0</v>
      </c>
    </row>
    <row r="72" spans="2:67">
      <c r="B72" t="s">
        <v>327</v>
      </c>
      <c r="C72" s="9">
        <f t="shared" si="1"/>
        <v>265406.38600000006</v>
      </c>
      <c r="D72" t="s">
        <v>21</v>
      </c>
      <c r="E72" s="9">
        <v>0</v>
      </c>
      <c r="F72" s="9">
        <v>0</v>
      </c>
      <c r="G72" s="9">
        <v>483.00342020770944</v>
      </c>
      <c r="H72" s="9">
        <v>1185.5304797922906</v>
      </c>
      <c r="I72" s="9">
        <v>76.717769065638834</v>
      </c>
      <c r="J72" s="9">
        <v>0</v>
      </c>
      <c r="K72" s="9">
        <v>0</v>
      </c>
      <c r="L72" s="9">
        <v>452.93244999274975</v>
      </c>
      <c r="M72" s="9">
        <v>820.74815000724902</v>
      </c>
      <c r="N72" s="11">
        <v>0</v>
      </c>
      <c r="O72" s="9">
        <v>1782.8544197116523</v>
      </c>
      <c r="P72" s="9">
        <v>1796.6713526961289</v>
      </c>
      <c r="Q72" s="9">
        <v>2477.9867516531267</v>
      </c>
      <c r="R72" s="9">
        <v>3399.3561558615284</v>
      </c>
      <c r="S72" s="9">
        <v>7014.8150817239784</v>
      </c>
      <c r="T72" s="9">
        <v>6055.9102878604272</v>
      </c>
      <c r="U72" s="9">
        <v>6318.6161594765063</v>
      </c>
      <c r="V72" s="9">
        <v>6229.8421199919949</v>
      </c>
      <c r="W72" s="9">
        <v>6122.3269221168084</v>
      </c>
      <c r="X72" s="9">
        <v>7529.3441570034274</v>
      </c>
      <c r="Y72" s="9">
        <v>8803.0364446680524</v>
      </c>
      <c r="Z72" s="9">
        <v>10028.200377763074</v>
      </c>
      <c r="AA72" s="9">
        <v>11028.53866884811</v>
      </c>
      <c r="AB72" s="9">
        <v>11028.53866884811</v>
      </c>
      <c r="AC72" s="9">
        <v>9317.4575411316473</v>
      </c>
      <c r="AD72" s="9">
        <v>9760.3743471047565</v>
      </c>
      <c r="AE72" s="9">
        <v>9760.3743471047565</v>
      </c>
      <c r="AF72" s="9">
        <v>9478.9430231806673</v>
      </c>
      <c r="AG72" s="9">
        <v>9769.1172612946848</v>
      </c>
      <c r="AH72" s="9">
        <v>9951.0999353210645</v>
      </c>
      <c r="AI72" s="9">
        <v>9710.0289060367268</v>
      </c>
      <c r="AJ72" s="9">
        <v>11519.820376152915</v>
      </c>
      <c r="AK72" s="9">
        <v>12142.355605092838</v>
      </c>
      <c r="AL72" s="9">
        <v>11356.272211306403</v>
      </c>
      <c r="AM72" s="9">
        <v>11356.272211306403</v>
      </c>
      <c r="AN72" s="9">
        <v>11186.940826995737</v>
      </c>
      <c r="AO72" s="9">
        <v>11569.394261559666</v>
      </c>
      <c r="AP72" s="9">
        <v>11477.774681302939</v>
      </c>
      <c r="AQ72" s="9">
        <v>8243.1022512386426</v>
      </c>
      <c r="AR72" s="9">
        <v>5625.7909387445789</v>
      </c>
      <c r="AS72" s="9">
        <v>3988.947590405649</v>
      </c>
      <c r="AT72" s="9">
        <v>2364.0231209623789</v>
      </c>
      <c r="AU72" s="9">
        <v>2364.0231209623789</v>
      </c>
      <c r="AV72" s="9">
        <v>1829.3036055066027</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row>
    <row r="73" spans="2:67">
      <c r="B73" t="s">
        <v>331</v>
      </c>
      <c r="C73" s="9">
        <f t="shared" si="1"/>
        <v>197930.61009422655</v>
      </c>
      <c r="D73" t="s">
        <v>22</v>
      </c>
      <c r="E73" s="9">
        <v>0</v>
      </c>
      <c r="F73" s="9">
        <v>0</v>
      </c>
      <c r="G73" s="9">
        <v>2735.5646301000261</v>
      </c>
      <c r="H73" s="9">
        <v>6714.4353698999739</v>
      </c>
      <c r="I73" s="9">
        <v>16633.090625299235</v>
      </c>
      <c r="J73" s="9">
        <v>17802.55586038492</v>
      </c>
      <c r="K73" s="9">
        <v>20647.353514315841</v>
      </c>
      <c r="L73" s="9">
        <v>0</v>
      </c>
      <c r="M73" s="9">
        <v>0</v>
      </c>
      <c r="N73" s="11">
        <v>0</v>
      </c>
      <c r="O73" s="9">
        <v>40.279227313842739</v>
      </c>
      <c r="P73" s="9">
        <v>396.08408157403755</v>
      </c>
      <c r="Q73" s="9">
        <v>1991.1630248259912</v>
      </c>
      <c r="R73" s="9">
        <v>1781.7673632350709</v>
      </c>
      <c r="S73" s="9">
        <v>1724.606734466779</v>
      </c>
      <c r="T73" s="9">
        <v>1881.4446007925558</v>
      </c>
      <c r="U73" s="9">
        <v>3418.52329911687</v>
      </c>
      <c r="V73" s="9">
        <v>4484.7220668981145</v>
      </c>
      <c r="W73" s="9">
        <v>40.279227313842739</v>
      </c>
      <c r="X73" s="9">
        <v>396.08408157403755</v>
      </c>
      <c r="Y73" s="9">
        <v>1991.1630248259912</v>
      </c>
      <c r="Z73" s="9">
        <v>1781.7673632350709</v>
      </c>
      <c r="AA73" s="9">
        <v>1724.606734466779</v>
      </c>
      <c r="AB73" s="9">
        <v>1881.4446007925558</v>
      </c>
      <c r="AC73" s="9">
        <v>3418.52329911687</v>
      </c>
      <c r="AD73" s="9">
        <v>4484.7220668981145</v>
      </c>
      <c r="AE73" s="9">
        <v>10760.156624434549</v>
      </c>
      <c r="AF73" s="9">
        <v>10760.156624434549</v>
      </c>
      <c r="AG73" s="9">
        <v>8019.0406004690612</v>
      </c>
      <c r="AH73" s="9">
        <v>6228.3477216268302</v>
      </c>
      <c r="AI73" s="9">
        <v>5491.1125512791814</v>
      </c>
      <c r="AJ73" s="9">
        <v>9900.3703533366534</v>
      </c>
      <c r="AK73" s="9">
        <v>8462.6468824750027</v>
      </c>
      <c r="AL73" s="9">
        <v>8493.7681601535878</v>
      </c>
      <c r="AM73" s="9">
        <v>8493.7681601535878</v>
      </c>
      <c r="AN73" s="9">
        <v>9073.9915648416118</v>
      </c>
      <c r="AO73" s="9">
        <v>3605.8255388424514</v>
      </c>
      <c r="AP73" s="9">
        <v>3561.7370621311188</v>
      </c>
      <c r="AQ73" s="9">
        <v>3481.3404281280796</v>
      </c>
      <c r="AR73" s="9">
        <v>3481.3404281280796</v>
      </c>
      <c r="AS73" s="9">
        <v>2146.8265973456482</v>
      </c>
      <c r="AT73" s="9">
        <v>0</v>
      </c>
      <c r="AU73" s="9">
        <v>0</v>
      </c>
      <c r="AV73" s="9">
        <v>0</v>
      </c>
      <c r="AW73" s="9">
        <v>0</v>
      </c>
      <c r="AX73" s="9">
        <v>0</v>
      </c>
      <c r="AY73" s="9">
        <v>0</v>
      </c>
      <c r="AZ73" s="9">
        <v>0</v>
      </c>
      <c r="BA73" s="9">
        <v>0</v>
      </c>
      <c r="BB73" s="9">
        <v>0</v>
      </c>
      <c r="BC73" s="9">
        <v>0</v>
      </c>
      <c r="BD73" s="9">
        <v>0</v>
      </c>
      <c r="BE73" s="9">
        <v>0</v>
      </c>
      <c r="BF73" s="9">
        <v>0</v>
      </c>
      <c r="BG73" s="9">
        <v>0</v>
      </c>
      <c r="BH73" s="9">
        <v>0</v>
      </c>
      <c r="BI73" s="9">
        <v>0</v>
      </c>
      <c r="BJ73" s="9">
        <v>0</v>
      </c>
      <c r="BK73" s="9">
        <v>0</v>
      </c>
      <c r="BL73" s="9">
        <v>0</v>
      </c>
      <c r="BM73" s="9">
        <v>0</v>
      </c>
      <c r="BN73" s="9">
        <v>0</v>
      </c>
      <c r="BO73" s="9">
        <v>0</v>
      </c>
    </row>
    <row r="74" spans="2:67">
      <c r="B74" t="s">
        <v>335</v>
      </c>
      <c r="C74" s="9">
        <f t="shared" si="1"/>
        <v>2627078.5999999992</v>
      </c>
      <c r="D74" t="s">
        <v>23</v>
      </c>
      <c r="E74" s="9">
        <v>0</v>
      </c>
      <c r="F74" s="9">
        <v>0</v>
      </c>
      <c r="G74" s="9">
        <v>498.48066592933804</v>
      </c>
      <c r="H74" s="9">
        <v>1223.5193340706619</v>
      </c>
      <c r="I74" s="9">
        <v>6577.1281251400324</v>
      </c>
      <c r="J74" s="9">
        <v>278.68242234760692</v>
      </c>
      <c r="K74" s="9">
        <v>0</v>
      </c>
      <c r="L74" s="9">
        <v>0</v>
      </c>
      <c r="M74" s="9">
        <v>14811</v>
      </c>
      <c r="N74" s="11">
        <v>0</v>
      </c>
      <c r="O74" s="9">
        <v>17444.544453611907</v>
      </c>
      <c r="P74" s="9">
        <v>5188.2558008656943</v>
      </c>
      <c r="Q74" s="9">
        <v>11071.800070808309</v>
      </c>
      <c r="R74" s="9">
        <v>27624.092689452387</v>
      </c>
      <c r="S74" s="9">
        <v>74412.470228249978</v>
      </c>
      <c r="T74" s="9">
        <v>65439.965196233738</v>
      </c>
      <c r="U74" s="9">
        <v>69267.013566811773</v>
      </c>
      <c r="V74" s="9">
        <v>67681.089999932796</v>
      </c>
      <c r="W74" s="9">
        <v>65133.768686250325</v>
      </c>
      <c r="X74" s="9">
        <v>81466.454737397813</v>
      </c>
      <c r="Y74" s="9">
        <v>95837.911647882545</v>
      </c>
      <c r="Z74" s="9">
        <v>111291.90492877828</v>
      </c>
      <c r="AA74" s="9">
        <v>127224.95564518322</v>
      </c>
      <c r="AB74" s="9">
        <v>127224.95564518322</v>
      </c>
      <c r="AC74" s="9">
        <v>93692.276266145287</v>
      </c>
      <c r="AD74" s="9">
        <v>93227.346881842343</v>
      </c>
      <c r="AE74" s="9">
        <v>93227.346881842343</v>
      </c>
      <c r="AF74" s="9">
        <v>89487.89762490672</v>
      </c>
      <c r="AG74" s="9">
        <v>100706.24539571366</v>
      </c>
      <c r="AH74" s="9">
        <v>109184.72735920608</v>
      </c>
      <c r="AI74" s="9">
        <v>109047.43994198754</v>
      </c>
      <c r="AJ74" s="9">
        <v>125096.34536416363</v>
      </c>
      <c r="AK74" s="9">
        <v>135704.09070080199</v>
      </c>
      <c r="AL74" s="9">
        <v>125096.34536416363</v>
      </c>
      <c r="AM74" s="9">
        <v>43.162098732148813</v>
      </c>
      <c r="AN74" s="9">
        <v>43.162098732148813</v>
      </c>
      <c r="AO74" s="9">
        <v>140802.03224329336</v>
      </c>
      <c r="AP74" s="9">
        <v>140996.52275101963</v>
      </c>
      <c r="AQ74" s="9">
        <v>100591.18501156896</v>
      </c>
      <c r="AR74" s="9">
        <v>65814.306922067408</v>
      </c>
      <c r="AS74" s="9">
        <v>47491.005563082748</v>
      </c>
      <c r="AT74" s="9">
        <v>31411.373758259448</v>
      </c>
      <c r="AU74" s="9">
        <v>31411.373758259448</v>
      </c>
      <c r="AV74" s="9">
        <v>24306.420170081714</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row>
    <row r="75" spans="2:67">
      <c r="B75" t="s">
        <v>339</v>
      </c>
      <c r="C75" s="9">
        <f t="shared" si="1"/>
        <v>419681.45729999995</v>
      </c>
      <c r="D75" t="s">
        <v>24</v>
      </c>
      <c r="E75" s="9">
        <v>0</v>
      </c>
      <c r="F75" s="9">
        <v>0</v>
      </c>
      <c r="G75" s="9">
        <v>0</v>
      </c>
      <c r="H75" s="9">
        <v>0</v>
      </c>
      <c r="I75" s="9">
        <v>0</v>
      </c>
      <c r="J75" s="9">
        <v>0</v>
      </c>
      <c r="K75" s="9">
        <v>0</v>
      </c>
      <c r="L75" s="9">
        <v>0</v>
      </c>
      <c r="M75" s="9">
        <v>0</v>
      </c>
      <c r="N75" s="11">
        <v>0</v>
      </c>
      <c r="O75" s="9">
        <v>0</v>
      </c>
      <c r="P75" s="9">
        <v>0</v>
      </c>
      <c r="Q75" s="9">
        <v>2906.9758036510311</v>
      </c>
      <c r="R75" s="9">
        <v>3524.5677865572911</v>
      </c>
      <c r="S75" s="9">
        <v>3509.3564184299175</v>
      </c>
      <c r="T75" s="9">
        <v>9390.4217892952711</v>
      </c>
      <c r="U75" s="9">
        <v>11929.667549039026</v>
      </c>
      <c r="V75" s="9">
        <v>2988.3009358887725</v>
      </c>
      <c r="W75" s="9">
        <v>2531.4842864348593</v>
      </c>
      <c r="X75" s="9">
        <v>4810.7969302508091</v>
      </c>
      <c r="Y75" s="9">
        <v>8200.8446107500713</v>
      </c>
      <c r="Z75" s="9">
        <v>8500.1926519150402</v>
      </c>
      <c r="AA75" s="9">
        <v>8448.1030198464177</v>
      </c>
      <c r="AB75" s="9">
        <v>7351.7378117913677</v>
      </c>
      <c r="AC75" s="9">
        <v>4709.7310825461882</v>
      </c>
      <c r="AD75" s="9">
        <v>2708.9199865666751</v>
      </c>
      <c r="AE75" s="9">
        <v>2052.0400775609201</v>
      </c>
      <c r="AF75" s="9">
        <v>2631.2764993321216</v>
      </c>
      <c r="AG75" s="9">
        <v>7726.5043753005375</v>
      </c>
      <c r="AH75" s="9">
        <v>9740.8967913810757</v>
      </c>
      <c r="AI75" s="9">
        <v>9740.8967913810757</v>
      </c>
      <c r="AJ75" s="9">
        <v>10401.754003903978</v>
      </c>
      <c r="AK75" s="9">
        <v>2805.7302638344895</v>
      </c>
      <c r="AL75" s="9">
        <v>1867.4994233065859</v>
      </c>
      <c r="AM75" s="9">
        <v>1855.7125213020408</v>
      </c>
      <c r="AN75" s="9">
        <v>7423.016196927143</v>
      </c>
      <c r="AO75" s="9">
        <v>7423.016196927143</v>
      </c>
      <c r="AP75" s="9">
        <v>9927.2941660683646</v>
      </c>
      <c r="AQ75" s="9">
        <v>13686.288915788118</v>
      </c>
      <c r="AR75" s="9">
        <v>13597.925743081609</v>
      </c>
      <c r="AS75" s="9">
        <v>15386.330114047394</v>
      </c>
      <c r="AT75" s="9">
        <v>27408.121447419329</v>
      </c>
      <c r="AU75" s="9">
        <v>27369.69859117295</v>
      </c>
      <c r="AV75" s="9">
        <v>27713.247210411682</v>
      </c>
      <c r="AW75" s="9">
        <v>24905.669618078431</v>
      </c>
      <c r="AX75" s="9">
        <v>24905.669618078427</v>
      </c>
      <c r="AY75" s="9">
        <v>24220.114609208213</v>
      </c>
      <c r="AZ75" s="9">
        <v>24011.467432595538</v>
      </c>
      <c r="BA75" s="9">
        <v>20402.910099780758</v>
      </c>
      <c r="BB75" s="9">
        <v>15635.060711112485</v>
      </c>
      <c r="BC75" s="9">
        <v>5332.2152190367142</v>
      </c>
      <c r="BD75" s="9">
        <v>0</v>
      </c>
      <c r="BE75" s="9">
        <v>0</v>
      </c>
      <c r="BF75" s="9">
        <v>0</v>
      </c>
      <c r="BG75" s="9">
        <v>0</v>
      </c>
      <c r="BH75" s="9">
        <v>0</v>
      </c>
      <c r="BI75" s="9">
        <v>0</v>
      </c>
      <c r="BJ75" s="9">
        <v>0</v>
      </c>
      <c r="BK75" s="9">
        <v>0</v>
      </c>
      <c r="BL75" s="9">
        <v>0</v>
      </c>
      <c r="BM75" s="9">
        <v>0</v>
      </c>
      <c r="BN75" s="9">
        <v>0</v>
      </c>
      <c r="BO75" s="9">
        <v>0</v>
      </c>
    </row>
    <row r="76" spans="2:67">
      <c r="B76" t="s">
        <v>343</v>
      </c>
      <c r="C76" s="9">
        <f t="shared" si="1"/>
        <v>357253.00199999992</v>
      </c>
      <c r="D76" t="s">
        <v>25</v>
      </c>
      <c r="E76" s="9">
        <v>0</v>
      </c>
      <c r="F76" s="9">
        <v>0</v>
      </c>
      <c r="G76" s="9">
        <v>0</v>
      </c>
      <c r="H76" s="9">
        <v>0</v>
      </c>
      <c r="I76" s="9">
        <v>0</v>
      </c>
      <c r="J76" s="9">
        <v>0</v>
      </c>
      <c r="K76" s="9">
        <v>0</v>
      </c>
      <c r="L76" s="9">
        <v>0</v>
      </c>
      <c r="M76" s="9">
        <v>0</v>
      </c>
      <c r="N76" s="11">
        <v>0</v>
      </c>
      <c r="O76" s="9">
        <v>0</v>
      </c>
      <c r="P76" s="9">
        <v>0</v>
      </c>
      <c r="Q76" s="9">
        <v>0</v>
      </c>
      <c r="R76" s="9">
        <v>1995.7782101167302</v>
      </c>
      <c r="S76" s="9">
        <v>1703.66077821012</v>
      </c>
      <c r="T76" s="9">
        <v>6929.2623410583692</v>
      </c>
      <c r="U76" s="9">
        <v>6931.0920173333179</v>
      </c>
      <c r="V76" s="9">
        <v>1403.5932400000002</v>
      </c>
      <c r="W76" s="9">
        <v>662.10199733332047</v>
      </c>
      <c r="X76" s="9">
        <v>342.1169773333304</v>
      </c>
      <c r="Y76" s="9">
        <v>415.7995520000004</v>
      </c>
      <c r="Z76" s="9">
        <v>161.94497999999999</v>
      </c>
      <c r="AA76" s="9">
        <v>0</v>
      </c>
      <c r="AB76" s="9">
        <v>0</v>
      </c>
      <c r="AC76" s="9">
        <v>3773.5355294117617</v>
      </c>
      <c r="AD76" s="9">
        <v>2587.8265294117609</v>
      </c>
      <c r="AE76" s="9">
        <v>521.36294117646958</v>
      </c>
      <c r="AF76" s="9">
        <v>0</v>
      </c>
      <c r="AG76" s="9">
        <v>6041.3280000000004</v>
      </c>
      <c r="AH76" s="9">
        <v>8429.76</v>
      </c>
      <c r="AI76" s="9">
        <v>8429.76</v>
      </c>
      <c r="AJ76" s="9">
        <v>10466.612852140081</v>
      </c>
      <c r="AK76" s="9">
        <v>897.97261089493986</v>
      </c>
      <c r="AL76" s="9">
        <v>585.73512062255031</v>
      </c>
      <c r="AM76" s="9">
        <v>637.57712062255086</v>
      </c>
      <c r="AN76" s="9">
        <v>871.75112062254993</v>
      </c>
      <c r="AO76" s="9">
        <v>964.99112062255062</v>
      </c>
      <c r="AP76" s="9">
        <v>12823.53912062255</v>
      </c>
      <c r="AQ76" s="9">
        <v>14819.749840466931</v>
      </c>
      <c r="AR76" s="9">
        <v>14087.28</v>
      </c>
      <c r="AS76" s="9">
        <v>15181.320000000003</v>
      </c>
      <c r="AT76" s="9">
        <v>24871.775000000001</v>
      </c>
      <c r="AU76" s="9">
        <v>27569.348000000002</v>
      </c>
      <c r="AV76" s="9">
        <v>27380.817999999999</v>
      </c>
      <c r="AW76" s="9">
        <v>27663.840000000004</v>
      </c>
      <c r="AX76" s="9">
        <v>27726.000000000004</v>
      </c>
      <c r="AY76" s="9">
        <v>27258.962000000003</v>
      </c>
      <c r="AZ76" s="9">
        <v>26930.340000000004</v>
      </c>
      <c r="BA76" s="9">
        <v>22138.512000000002</v>
      </c>
      <c r="BB76" s="9">
        <v>17725.635000000002</v>
      </c>
      <c r="BC76" s="9">
        <v>6322.3200000000006</v>
      </c>
      <c r="BD76" s="9">
        <v>0</v>
      </c>
      <c r="BE76" s="9">
        <v>0</v>
      </c>
      <c r="BF76" s="9">
        <v>0</v>
      </c>
      <c r="BG76" s="9">
        <v>0</v>
      </c>
      <c r="BH76" s="9">
        <v>0</v>
      </c>
      <c r="BI76" s="9">
        <v>0</v>
      </c>
      <c r="BJ76" s="9">
        <v>0</v>
      </c>
      <c r="BK76" s="9">
        <v>0</v>
      </c>
      <c r="BL76" s="9">
        <v>0</v>
      </c>
      <c r="BM76" s="9">
        <v>0</v>
      </c>
      <c r="BN76" s="9">
        <v>0</v>
      </c>
      <c r="BO76" s="9">
        <v>0</v>
      </c>
    </row>
    <row r="77" spans="2:67">
      <c r="B77" t="s">
        <v>347</v>
      </c>
      <c r="C77" s="9">
        <f t="shared" si="1"/>
        <v>18836</v>
      </c>
      <c r="D77" t="s">
        <v>26</v>
      </c>
      <c r="E77" s="9">
        <v>0</v>
      </c>
      <c r="F77" s="9">
        <v>0</v>
      </c>
      <c r="G77" s="9">
        <v>0</v>
      </c>
      <c r="H77" s="9">
        <v>0</v>
      </c>
      <c r="I77" s="9">
        <v>0</v>
      </c>
      <c r="J77" s="9">
        <v>0</v>
      </c>
      <c r="K77" s="9">
        <v>0</v>
      </c>
      <c r="L77" s="9">
        <v>0</v>
      </c>
      <c r="M77" s="9">
        <v>0</v>
      </c>
      <c r="N77" s="11">
        <v>0</v>
      </c>
      <c r="O77" s="9">
        <v>626.41430998743726</v>
      </c>
      <c r="P77" s="9">
        <v>109.96334022701174</v>
      </c>
      <c r="Q77" s="9">
        <v>159.54815644914666</v>
      </c>
      <c r="R77" s="9">
        <v>202.15276614427984</v>
      </c>
      <c r="S77" s="9">
        <v>431.73950251389726</v>
      </c>
      <c r="T77" s="9">
        <v>240.90002453093442</v>
      </c>
      <c r="U77" s="9">
        <v>251.40813879784363</v>
      </c>
      <c r="V77" s="9">
        <v>248.8522617878225</v>
      </c>
      <c r="W77" s="9">
        <v>289.83022288644395</v>
      </c>
      <c r="X77" s="9">
        <v>390.64251276354969</v>
      </c>
      <c r="Y77" s="9">
        <v>481.27395323718889</v>
      </c>
      <c r="Z77" s="9">
        <v>559.26278033691744</v>
      </c>
      <c r="AA77" s="9">
        <v>645.10644032961397</v>
      </c>
      <c r="AB77" s="9">
        <v>645.10644032961397</v>
      </c>
      <c r="AC77" s="9">
        <v>638.38159879389445</v>
      </c>
      <c r="AD77" s="9">
        <v>727.6688023871427</v>
      </c>
      <c r="AE77" s="9">
        <v>727.6688023871427</v>
      </c>
      <c r="AF77" s="9">
        <v>707.29068993673934</v>
      </c>
      <c r="AG77" s="9">
        <v>721.55536865202157</v>
      </c>
      <c r="AH77" s="9">
        <v>698.5874451683826</v>
      </c>
      <c r="AI77" s="9">
        <v>705.55773640025768</v>
      </c>
      <c r="AJ77" s="9">
        <v>957.12309266589523</v>
      </c>
      <c r="AK77" s="9">
        <v>1007.2115162951502</v>
      </c>
      <c r="AL77" s="9">
        <v>957.12309266589523</v>
      </c>
      <c r="AM77" s="9">
        <v>957.12309266589523</v>
      </c>
      <c r="AN77" s="9">
        <v>957.12309266589523</v>
      </c>
      <c r="AO77" s="9">
        <v>920.44249025516899</v>
      </c>
      <c r="AP77" s="9">
        <v>910.56791101001318</v>
      </c>
      <c r="AQ77" s="9">
        <v>670.43989961827265</v>
      </c>
      <c r="AR77" s="9">
        <v>480.92345382952072</v>
      </c>
      <c r="AS77" s="9">
        <v>334.20104418661612</v>
      </c>
      <c r="AT77" s="9">
        <v>171.17614458338878</v>
      </c>
      <c r="AU77" s="9">
        <v>171.17614458338878</v>
      </c>
      <c r="AV77" s="9">
        <v>132.45773092762224</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s="9">
        <v>0</v>
      </c>
      <c r="BN77" s="9">
        <v>0</v>
      </c>
      <c r="BO77" s="9">
        <v>0</v>
      </c>
    </row>
    <row r="78" spans="2:67">
      <c r="B78" t="s">
        <v>351</v>
      </c>
      <c r="C78" s="9">
        <f t="shared" si="1"/>
        <v>0</v>
      </c>
      <c r="D78" t="s">
        <v>27</v>
      </c>
      <c r="E78" s="9">
        <v>0</v>
      </c>
      <c r="F78" s="9">
        <v>0</v>
      </c>
      <c r="G78" s="9">
        <v>0</v>
      </c>
      <c r="H78" s="9">
        <v>0</v>
      </c>
      <c r="I78" s="9">
        <v>0</v>
      </c>
      <c r="J78" s="9">
        <v>0</v>
      </c>
      <c r="K78" s="9">
        <v>0</v>
      </c>
      <c r="L78" s="9">
        <v>0</v>
      </c>
      <c r="M78" s="9">
        <v>0</v>
      </c>
      <c r="N78" s="11">
        <v>0</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0</v>
      </c>
      <c r="BI78" s="9">
        <v>0</v>
      </c>
      <c r="BJ78" s="9">
        <v>0</v>
      </c>
      <c r="BK78" s="9">
        <v>0</v>
      </c>
      <c r="BL78" s="9">
        <v>0</v>
      </c>
      <c r="BM78" s="9">
        <v>0</v>
      </c>
      <c r="BN78" s="9">
        <v>0</v>
      </c>
      <c r="BO78" s="9">
        <v>0</v>
      </c>
    </row>
    <row r="79" spans="2:67">
      <c r="B79" t="s">
        <v>355</v>
      </c>
      <c r="C79" s="9">
        <f t="shared" si="1"/>
        <v>0</v>
      </c>
      <c r="D79" t="s">
        <v>28</v>
      </c>
      <c r="E79" s="9">
        <v>0</v>
      </c>
      <c r="F79" s="9">
        <v>0</v>
      </c>
      <c r="G79" s="9">
        <v>0</v>
      </c>
      <c r="H79" s="9">
        <v>0</v>
      </c>
      <c r="I79" s="9">
        <v>0</v>
      </c>
      <c r="J79" s="9">
        <v>0</v>
      </c>
      <c r="K79" s="9">
        <v>0</v>
      </c>
      <c r="L79" s="9">
        <v>0</v>
      </c>
      <c r="M79" s="9">
        <v>0</v>
      </c>
      <c r="N79" s="11">
        <v>0</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9">
        <v>0</v>
      </c>
      <c r="BK79" s="9">
        <v>0</v>
      </c>
      <c r="BL79" s="9">
        <v>0</v>
      </c>
      <c r="BM79" s="9">
        <v>0</v>
      </c>
      <c r="BN79" s="9">
        <v>0</v>
      </c>
      <c r="BO79" s="9">
        <v>0</v>
      </c>
    </row>
    <row r="80" spans="2:67">
      <c r="B80" t="s">
        <v>359</v>
      </c>
      <c r="C80" s="9">
        <f t="shared" si="1"/>
        <v>5006.3510000000015</v>
      </c>
      <c r="D80" t="s">
        <v>29</v>
      </c>
      <c r="E80" s="9">
        <v>0</v>
      </c>
      <c r="F80" s="9">
        <v>0</v>
      </c>
      <c r="G80" s="9">
        <v>0</v>
      </c>
      <c r="H80" s="9">
        <v>0</v>
      </c>
      <c r="I80" s="9">
        <v>0</v>
      </c>
      <c r="J80" s="9">
        <v>0</v>
      </c>
      <c r="K80" s="9">
        <v>0</v>
      </c>
      <c r="L80" s="9">
        <v>0</v>
      </c>
      <c r="M80" s="9">
        <v>0</v>
      </c>
      <c r="N80" s="11">
        <v>0</v>
      </c>
      <c r="O80" s="9">
        <v>43.333041983357937</v>
      </c>
      <c r="P80" s="9">
        <v>56.69405015692729</v>
      </c>
      <c r="Q80" s="9">
        <v>59.081656164075163</v>
      </c>
      <c r="R80" s="9">
        <v>72.38062616959435</v>
      </c>
      <c r="S80" s="9">
        <v>138.43278433146966</v>
      </c>
      <c r="T80" s="9">
        <v>117.47367598672813</v>
      </c>
      <c r="U80" s="9">
        <v>118.73863579956537</v>
      </c>
      <c r="V80" s="9">
        <v>120.4573281744849</v>
      </c>
      <c r="W80" s="9">
        <v>115.10421443360174</v>
      </c>
      <c r="X80" s="9">
        <v>133.94413034383018</v>
      </c>
      <c r="Y80" s="9">
        <v>156.93141710326253</v>
      </c>
      <c r="Z80" s="9">
        <v>180.90815604867299</v>
      </c>
      <c r="AA80" s="9">
        <v>199.28051557427685</v>
      </c>
      <c r="AB80" s="9">
        <v>199.28051557427685</v>
      </c>
      <c r="AC80" s="9">
        <v>165.06408186259782</v>
      </c>
      <c r="AD80" s="9">
        <v>175.11599406178084</v>
      </c>
      <c r="AE80" s="9">
        <v>175.11599406178084</v>
      </c>
      <c r="AF80" s="9">
        <v>169.72741140074189</v>
      </c>
      <c r="AG80" s="9">
        <v>178.9557500624129</v>
      </c>
      <c r="AH80" s="9">
        <v>179.46423043482216</v>
      </c>
      <c r="AI80" s="9">
        <v>180.49825404791594</v>
      </c>
      <c r="AJ80" s="9">
        <v>222.4518631528058</v>
      </c>
      <c r="AK80" s="9">
        <v>238.04844397675998</v>
      </c>
      <c r="AL80" s="9">
        <v>225.44945768532958</v>
      </c>
      <c r="AM80" s="9">
        <v>225.44945768532958</v>
      </c>
      <c r="AN80" s="9">
        <v>222.89587402584303</v>
      </c>
      <c r="AO80" s="9">
        <v>230.65459923450342</v>
      </c>
      <c r="AP80" s="9">
        <v>227.12845192524182</v>
      </c>
      <c r="AQ80" s="9">
        <v>161.96286759126323</v>
      </c>
      <c r="AR80" s="9">
        <v>111.84904884360068</v>
      </c>
      <c r="AS80" s="9">
        <v>78.924496100939095</v>
      </c>
      <c r="AT80" s="9">
        <v>45.264094352727476</v>
      </c>
      <c r="AU80" s="9">
        <v>45.264094352727476</v>
      </c>
      <c r="AV80" s="9">
        <v>35.0257872967534</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row>
    <row r="81" spans="1:67">
      <c r="B81" t="s">
        <v>366</v>
      </c>
      <c r="C81" s="9">
        <f t="shared" si="1"/>
        <v>274292.99999999994</v>
      </c>
      <c r="D81" t="s">
        <v>2655</v>
      </c>
      <c r="E81" s="9">
        <v>0</v>
      </c>
      <c r="F81" s="9">
        <v>0</v>
      </c>
      <c r="G81" s="9">
        <v>0</v>
      </c>
      <c r="H81" s="9">
        <v>0</v>
      </c>
      <c r="I81" s="9">
        <v>0</v>
      </c>
      <c r="J81" s="9">
        <v>0</v>
      </c>
      <c r="K81" s="9">
        <v>0</v>
      </c>
      <c r="L81" s="9">
        <v>0</v>
      </c>
      <c r="M81" s="9">
        <v>0</v>
      </c>
      <c r="N81" s="11">
        <v>0</v>
      </c>
      <c r="O81" s="9">
        <v>0</v>
      </c>
      <c r="P81" s="9">
        <v>0</v>
      </c>
      <c r="Q81" s="9">
        <v>0</v>
      </c>
      <c r="R81" s="9">
        <v>0</v>
      </c>
      <c r="S81" s="9">
        <v>0</v>
      </c>
      <c r="T81" s="9">
        <v>0</v>
      </c>
      <c r="U81" s="9">
        <v>0</v>
      </c>
      <c r="V81" s="9">
        <v>0</v>
      </c>
      <c r="W81" s="9">
        <v>19592.357142857141</v>
      </c>
      <c r="X81" s="9">
        <v>19592.357142857141</v>
      </c>
      <c r="Y81" s="9">
        <v>19592.357142857141</v>
      </c>
      <c r="Z81" s="9">
        <v>19592.357142857141</v>
      </c>
      <c r="AA81" s="9">
        <v>19592.357142857141</v>
      </c>
      <c r="AB81" s="9">
        <v>19592.357142857141</v>
      </c>
      <c r="AC81" s="9">
        <v>19592.357142857141</v>
      </c>
      <c r="AD81" s="9">
        <v>0</v>
      </c>
      <c r="AE81" s="9">
        <v>0</v>
      </c>
      <c r="AF81" s="9">
        <v>0</v>
      </c>
      <c r="AG81" s="9">
        <v>0</v>
      </c>
      <c r="AH81" s="9">
        <v>19592.357142857141</v>
      </c>
      <c r="AI81" s="9">
        <v>19592.357142857141</v>
      </c>
      <c r="AJ81" s="9">
        <v>19592.357142857141</v>
      </c>
      <c r="AK81" s="9">
        <v>19592.357142857141</v>
      </c>
      <c r="AL81" s="9">
        <v>19592.357142857141</v>
      </c>
      <c r="AM81" s="9">
        <v>19592.357142857141</v>
      </c>
      <c r="AN81" s="9">
        <v>19592.357142857141</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row>
    <row r="82" spans="1:67">
      <c r="B82" t="s">
        <v>370</v>
      </c>
      <c r="C82" s="9">
        <f t="shared" si="1"/>
        <v>11147.21</v>
      </c>
      <c r="D82" t="s">
        <v>2656</v>
      </c>
      <c r="E82" s="9">
        <v>0</v>
      </c>
      <c r="F82" s="9">
        <v>0</v>
      </c>
      <c r="G82" s="9">
        <v>0</v>
      </c>
      <c r="H82" s="9">
        <v>0</v>
      </c>
      <c r="I82" s="9">
        <v>0</v>
      </c>
      <c r="J82" s="9">
        <v>0</v>
      </c>
      <c r="K82" s="9">
        <v>0</v>
      </c>
      <c r="L82" s="9">
        <v>0</v>
      </c>
      <c r="M82" s="9">
        <v>0</v>
      </c>
      <c r="N82" s="11">
        <v>0</v>
      </c>
      <c r="O82" s="9">
        <v>0</v>
      </c>
      <c r="P82" s="9">
        <v>0</v>
      </c>
      <c r="Q82" s="9">
        <v>0</v>
      </c>
      <c r="R82" s="9">
        <v>0</v>
      </c>
      <c r="S82" s="9">
        <v>0</v>
      </c>
      <c r="T82" s="9">
        <v>0</v>
      </c>
      <c r="U82" s="9">
        <v>0</v>
      </c>
      <c r="V82" s="9">
        <v>0</v>
      </c>
      <c r="W82" s="9">
        <v>0</v>
      </c>
      <c r="X82" s="9">
        <v>796.22928571428565</v>
      </c>
      <c r="Y82" s="9">
        <v>796.22928571428565</v>
      </c>
      <c r="Z82" s="9">
        <v>796.22928571428565</v>
      </c>
      <c r="AA82" s="9">
        <v>796.22928571428565</v>
      </c>
      <c r="AB82" s="9">
        <v>796.22928571428565</v>
      </c>
      <c r="AC82" s="9">
        <v>796.22928571428565</v>
      </c>
      <c r="AD82" s="9">
        <v>796.22928571428565</v>
      </c>
      <c r="AE82" s="9">
        <v>0</v>
      </c>
      <c r="AF82" s="9">
        <v>0</v>
      </c>
      <c r="AG82" s="9">
        <v>0</v>
      </c>
      <c r="AH82" s="9">
        <v>796.22928571428565</v>
      </c>
      <c r="AI82" s="9">
        <v>796.22928571428565</v>
      </c>
      <c r="AJ82" s="9">
        <v>796.22928571428565</v>
      </c>
      <c r="AK82" s="9">
        <v>796.22928571428565</v>
      </c>
      <c r="AL82" s="9">
        <v>796.22928571428565</v>
      </c>
      <c r="AM82" s="9">
        <v>796.22928571428565</v>
      </c>
      <c r="AN82" s="9">
        <v>796.22928571428565</v>
      </c>
      <c r="AO82" s="9">
        <v>0</v>
      </c>
      <c r="AP82" s="9">
        <v>0</v>
      </c>
      <c r="AQ82" s="9">
        <v>0</v>
      </c>
      <c r="AR82" s="9">
        <v>0</v>
      </c>
      <c r="AS82" s="9">
        <v>0</v>
      </c>
      <c r="AT82" s="9">
        <v>0</v>
      </c>
      <c r="AU82" s="9">
        <v>0</v>
      </c>
      <c r="AV82" s="9">
        <v>0</v>
      </c>
      <c r="AW82" s="9">
        <v>0</v>
      </c>
      <c r="AX82" s="9">
        <v>0</v>
      </c>
      <c r="AY82" s="9">
        <v>0</v>
      </c>
      <c r="AZ82" s="9">
        <v>0</v>
      </c>
      <c r="BA82" s="9">
        <v>0</v>
      </c>
      <c r="BB82" s="9">
        <v>0</v>
      </c>
      <c r="BC82" s="9">
        <v>0</v>
      </c>
      <c r="BD82" s="9">
        <v>0</v>
      </c>
      <c r="BE82" s="9">
        <v>0</v>
      </c>
      <c r="BF82" s="9">
        <v>0</v>
      </c>
      <c r="BG82" s="9">
        <v>0</v>
      </c>
      <c r="BH82" s="9">
        <v>0</v>
      </c>
      <c r="BI82" s="9">
        <v>0</v>
      </c>
      <c r="BJ82" s="9">
        <v>0</v>
      </c>
      <c r="BK82" s="9">
        <v>0</v>
      </c>
      <c r="BL82" s="9">
        <v>0</v>
      </c>
      <c r="BM82" s="9">
        <v>0</v>
      </c>
      <c r="BN82" s="9">
        <v>0</v>
      </c>
      <c r="BO82" s="9">
        <v>0</v>
      </c>
    </row>
    <row r="83" spans="1:67">
      <c r="B83" t="s">
        <v>374</v>
      </c>
      <c r="C83" s="9">
        <f t="shared" si="1"/>
        <v>12256.919999999998</v>
      </c>
      <c r="D83" t="s">
        <v>2657</v>
      </c>
      <c r="E83" s="9">
        <v>0</v>
      </c>
      <c r="F83" s="9">
        <v>0</v>
      </c>
      <c r="G83" s="9">
        <v>0</v>
      </c>
      <c r="H83" s="9">
        <v>0</v>
      </c>
      <c r="I83" s="9">
        <v>0</v>
      </c>
      <c r="J83" s="9">
        <v>0</v>
      </c>
      <c r="K83" s="9">
        <v>0</v>
      </c>
      <c r="L83" s="9">
        <v>0</v>
      </c>
      <c r="M83" s="9">
        <v>0</v>
      </c>
      <c r="N83" s="11">
        <v>0</v>
      </c>
      <c r="O83" s="9">
        <v>0</v>
      </c>
      <c r="P83" s="9">
        <v>0</v>
      </c>
      <c r="Q83" s="9">
        <v>0</v>
      </c>
      <c r="R83" s="9">
        <v>0</v>
      </c>
      <c r="S83" s="9">
        <v>0</v>
      </c>
      <c r="T83" s="9">
        <v>0</v>
      </c>
      <c r="U83" s="9">
        <v>0</v>
      </c>
      <c r="V83" s="9">
        <v>0</v>
      </c>
      <c r="W83" s="9">
        <v>0</v>
      </c>
      <c r="X83" s="9">
        <v>875.49428571428575</v>
      </c>
      <c r="Y83" s="9">
        <v>875.49428571428575</v>
      </c>
      <c r="Z83" s="9">
        <v>875.49428571428575</v>
      </c>
      <c r="AA83" s="9">
        <v>875.49428571428575</v>
      </c>
      <c r="AB83" s="9">
        <v>875.49428571428575</v>
      </c>
      <c r="AC83" s="9">
        <v>875.49428571428575</v>
      </c>
      <c r="AD83" s="9">
        <v>875.49428571428575</v>
      </c>
      <c r="AE83" s="9">
        <v>0</v>
      </c>
      <c r="AF83" s="9">
        <v>0</v>
      </c>
      <c r="AG83" s="9">
        <v>0</v>
      </c>
      <c r="AH83" s="9">
        <v>875.49428571428575</v>
      </c>
      <c r="AI83" s="9">
        <v>875.49428571428575</v>
      </c>
      <c r="AJ83" s="9">
        <v>875.49428571428575</v>
      </c>
      <c r="AK83" s="9">
        <v>875.49428571428575</v>
      </c>
      <c r="AL83" s="9">
        <v>875.49428571428575</v>
      </c>
      <c r="AM83" s="9">
        <v>875.49428571428575</v>
      </c>
      <c r="AN83" s="9">
        <v>875.49428571428575</v>
      </c>
      <c r="AO83" s="9">
        <v>0</v>
      </c>
      <c r="AP83" s="9">
        <v>0</v>
      </c>
      <c r="AQ83" s="9">
        <v>0</v>
      </c>
      <c r="AR83" s="9">
        <v>0</v>
      </c>
      <c r="AS83" s="9">
        <v>0</v>
      </c>
      <c r="AT83" s="9">
        <v>0</v>
      </c>
      <c r="AU83" s="9">
        <v>0</v>
      </c>
      <c r="AV83" s="9">
        <v>0</v>
      </c>
      <c r="AW83" s="9">
        <v>0</v>
      </c>
      <c r="AX83" s="9">
        <v>0</v>
      </c>
      <c r="AY83" s="9">
        <v>0</v>
      </c>
      <c r="AZ83" s="9">
        <v>0</v>
      </c>
      <c r="BA83" s="9">
        <v>0</v>
      </c>
      <c r="BB83" s="9">
        <v>0</v>
      </c>
      <c r="BC83" s="9">
        <v>0</v>
      </c>
      <c r="BD83" s="9">
        <v>0</v>
      </c>
      <c r="BE83" s="9">
        <v>0</v>
      </c>
      <c r="BF83" s="9">
        <v>0</v>
      </c>
      <c r="BG83" s="9">
        <v>0</v>
      </c>
      <c r="BH83" s="9">
        <v>0</v>
      </c>
      <c r="BI83" s="9">
        <v>0</v>
      </c>
      <c r="BJ83" s="9">
        <v>0</v>
      </c>
      <c r="BK83" s="9">
        <v>0</v>
      </c>
      <c r="BL83" s="9">
        <v>0</v>
      </c>
      <c r="BM83" s="9">
        <v>0</v>
      </c>
      <c r="BN83" s="9">
        <v>0</v>
      </c>
      <c r="BO83" s="9">
        <v>0</v>
      </c>
    </row>
    <row r="84" spans="1:67">
      <c r="B84" t="s">
        <v>378</v>
      </c>
      <c r="C84" s="9">
        <f t="shared" si="1"/>
        <v>9699.4599999999991</v>
      </c>
      <c r="D84" t="s">
        <v>2658</v>
      </c>
      <c r="E84" s="9">
        <v>0</v>
      </c>
      <c r="F84" s="9">
        <v>0</v>
      </c>
      <c r="G84" s="9">
        <v>0</v>
      </c>
      <c r="H84" s="9">
        <v>0</v>
      </c>
      <c r="I84" s="9">
        <v>0</v>
      </c>
      <c r="J84" s="9">
        <v>0</v>
      </c>
      <c r="K84" s="9">
        <v>0</v>
      </c>
      <c r="L84" s="9">
        <v>0</v>
      </c>
      <c r="M84" s="9">
        <v>0</v>
      </c>
      <c r="N84" s="11">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c r="AJ84" s="9">
        <v>1616.5766666666666</v>
      </c>
      <c r="AK84" s="9">
        <v>1616.5766666666666</v>
      </c>
      <c r="AL84" s="9">
        <v>1616.5766666666666</v>
      </c>
      <c r="AM84" s="9">
        <v>1616.5766666666666</v>
      </c>
      <c r="AN84" s="9">
        <v>1616.5766666666666</v>
      </c>
      <c r="AO84" s="9">
        <v>1616.5766666666666</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row>
    <row r="85" spans="1:67">
      <c r="B85" t="s">
        <v>382</v>
      </c>
      <c r="C85" s="9">
        <f t="shared" si="1"/>
        <v>148.1</v>
      </c>
      <c r="D85" t="s">
        <v>2659</v>
      </c>
      <c r="E85" s="9">
        <v>0</v>
      </c>
      <c r="F85" s="9">
        <v>0</v>
      </c>
      <c r="G85" s="9">
        <v>0</v>
      </c>
      <c r="H85" s="9">
        <v>0</v>
      </c>
      <c r="I85" s="9">
        <v>0</v>
      </c>
      <c r="J85" s="9">
        <v>0</v>
      </c>
      <c r="K85" s="9">
        <v>0</v>
      </c>
      <c r="L85" s="9">
        <v>0</v>
      </c>
      <c r="M85" s="9">
        <v>0</v>
      </c>
      <c r="N85" s="11">
        <v>0</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c r="AI85" s="9">
        <v>0</v>
      </c>
      <c r="AJ85" s="9">
        <v>0</v>
      </c>
      <c r="AK85" s="9">
        <v>24.683333333333334</v>
      </c>
      <c r="AL85" s="9">
        <v>24.683333333333334</v>
      </c>
      <c r="AM85" s="9">
        <v>24.683333333333334</v>
      </c>
      <c r="AN85" s="9">
        <v>24.683333333333334</v>
      </c>
      <c r="AO85" s="9">
        <v>24.683333333333334</v>
      </c>
      <c r="AP85" s="9">
        <v>24.683333333333334</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s="9">
        <v>0</v>
      </c>
      <c r="BI85" s="9">
        <v>0</v>
      </c>
      <c r="BJ85" s="9">
        <v>0</v>
      </c>
      <c r="BK85" s="9">
        <v>0</v>
      </c>
      <c r="BL85" s="9">
        <v>0</v>
      </c>
      <c r="BM85" s="9">
        <v>0</v>
      </c>
      <c r="BN85" s="9">
        <v>0</v>
      </c>
      <c r="BO85" s="9">
        <v>0</v>
      </c>
    </row>
    <row r="86" spans="1:67">
      <c r="B86" t="s">
        <v>390</v>
      </c>
      <c r="C86" s="9">
        <f t="shared" si="1"/>
        <v>1</v>
      </c>
      <c r="D86" t="s">
        <v>2661</v>
      </c>
      <c r="E86" s="9">
        <v>0</v>
      </c>
      <c r="F86" s="9">
        <v>0</v>
      </c>
      <c r="G86" s="9">
        <v>0</v>
      </c>
      <c r="H86" s="9">
        <v>0</v>
      </c>
      <c r="I86" s="9">
        <v>0</v>
      </c>
      <c r="J86" s="9">
        <v>0</v>
      </c>
      <c r="K86" s="9">
        <v>0</v>
      </c>
      <c r="L86" s="9">
        <v>0</v>
      </c>
      <c r="M86" s="9">
        <v>0</v>
      </c>
      <c r="N86" s="11">
        <v>0</v>
      </c>
      <c r="O86" s="9">
        <v>0</v>
      </c>
      <c r="P86" s="9">
        <v>0</v>
      </c>
      <c r="Q86" s="9">
        <v>0</v>
      </c>
      <c r="R86" s="9">
        <v>0</v>
      </c>
      <c r="S86" s="9">
        <v>0</v>
      </c>
      <c r="T86" s="9">
        <v>0.10000000000000002</v>
      </c>
      <c r="U86" s="9">
        <v>0.10000000000000002</v>
      </c>
      <c r="V86" s="9">
        <v>0.10000000000000002</v>
      </c>
      <c r="W86" s="9">
        <v>0.10000000000000002</v>
      </c>
      <c r="X86" s="9">
        <v>0.10000000000000002</v>
      </c>
      <c r="Y86" s="9">
        <v>0.10000000000000002</v>
      </c>
      <c r="Z86" s="9">
        <v>0.10000000000000002</v>
      </c>
      <c r="AA86" s="9">
        <v>0.10000000000000002</v>
      </c>
      <c r="AB86" s="9">
        <v>0.10000000000000002</v>
      </c>
      <c r="AC86" s="9">
        <v>0.10000000000000002</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c r="AU86" s="9">
        <v>0</v>
      </c>
      <c r="AV86" s="9">
        <v>0</v>
      </c>
      <c r="AW86" s="9">
        <v>0</v>
      </c>
      <c r="AX86" s="9">
        <v>0</v>
      </c>
      <c r="AY86" s="9">
        <v>0</v>
      </c>
      <c r="AZ86" s="9">
        <v>0</v>
      </c>
      <c r="BA86" s="9">
        <v>0</v>
      </c>
      <c r="BB86" s="9">
        <v>0</v>
      </c>
      <c r="BC86" s="9">
        <v>0</v>
      </c>
      <c r="BD86" s="9">
        <v>0</v>
      </c>
      <c r="BE86" s="9">
        <v>0</v>
      </c>
      <c r="BF86" s="9">
        <v>0</v>
      </c>
      <c r="BG86" s="9">
        <v>0</v>
      </c>
      <c r="BH86" s="9">
        <v>0</v>
      </c>
      <c r="BI86" s="9">
        <v>0</v>
      </c>
      <c r="BJ86" s="9">
        <v>0</v>
      </c>
      <c r="BK86" s="9">
        <v>0</v>
      </c>
      <c r="BL86" s="9">
        <v>0</v>
      </c>
      <c r="BM86" s="9">
        <v>0</v>
      </c>
      <c r="BN86" s="9">
        <v>0</v>
      </c>
      <c r="BO86" s="9">
        <v>0</v>
      </c>
    </row>
    <row r="87" spans="1:67">
      <c r="B87" t="s">
        <v>399</v>
      </c>
      <c r="C87" s="9">
        <f t="shared" si="1"/>
        <v>1</v>
      </c>
      <c r="D87" t="s">
        <v>2665</v>
      </c>
      <c r="E87" s="9">
        <v>0</v>
      </c>
      <c r="F87" s="9">
        <v>0</v>
      </c>
      <c r="G87" s="9">
        <v>0</v>
      </c>
      <c r="H87" s="9">
        <v>0</v>
      </c>
      <c r="I87" s="9">
        <v>0</v>
      </c>
      <c r="J87" s="9">
        <v>0</v>
      </c>
      <c r="K87" s="9">
        <v>0</v>
      </c>
      <c r="L87" s="9">
        <v>0</v>
      </c>
      <c r="M87" s="9">
        <v>0</v>
      </c>
      <c r="N87" s="11">
        <v>0</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c r="AI87" s="9">
        <v>0</v>
      </c>
      <c r="AJ87" s="9">
        <v>0</v>
      </c>
      <c r="AK87" s="9">
        <v>0</v>
      </c>
      <c r="AL87" s="9">
        <v>0</v>
      </c>
      <c r="AM87" s="9">
        <v>0</v>
      </c>
      <c r="AN87" s="9">
        <v>0</v>
      </c>
      <c r="AO87" s="9">
        <v>0</v>
      </c>
      <c r="AP87" s="9">
        <v>0</v>
      </c>
      <c r="AQ87" s="9">
        <v>1</v>
      </c>
      <c r="AR87" s="9">
        <v>0</v>
      </c>
      <c r="AS87" s="9">
        <v>0</v>
      </c>
      <c r="AT87" s="9">
        <v>0</v>
      </c>
      <c r="AU87" s="9">
        <v>0</v>
      </c>
      <c r="AV87" s="9">
        <v>0</v>
      </c>
      <c r="AW87" s="9">
        <v>0</v>
      </c>
      <c r="AX87" s="9">
        <v>0</v>
      </c>
      <c r="AY87" s="9">
        <v>0</v>
      </c>
      <c r="AZ87" s="9">
        <v>0</v>
      </c>
      <c r="BA87" s="9">
        <v>0</v>
      </c>
      <c r="BB87" s="9">
        <v>0</v>
      </c>
      <c r="BC87" s="9">
        <v>0</v>
      </c>
      <c r="BD87" s="9">
        <v>0</v>
      </c>
      <c r="BE87" s="9">
        <v>0</v>
      </c>
      <c r="BF87" s="9">
        <v>0</v>
      </c>
      <c r="BG87" s="9">
        <v>0</v>
      </c>
      <c r="BH87" s="9">
        <v>0</v>
      </c>
      <c r="BI87" s="9">
        <v>0</v>
      </c>
      <c r="BJ87" s="9">
        <v>0</v>
      </c>
      <c r="BK87" s="9">
        <v>0</v>
      </c>
      <c r="BL87" s="9">
        <v>0</v>
      </c>
      <c r="BM87" s="9">
        <v>0</v>
      </c>
      <c r="BN87" s="9">
        <v>0</v>
      </c>
      <c r="BO87" s="9">
        <v>0</v>
      </c>
    </row>
    <row r="88" spans="1:67" ht="15" thickBot="1">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row>
    <row r="89" spans="1:67" ht="15" thickBot="1">
      <c r="B89" s="89" t="s">
        <v>5191</v>
      </c>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row>
    <row r="90" spans="1:67">
      <c r="A90" s="84">
        <f>+B90-C90</f>
        <v>0</v>
      </c>
      <c r="B90">
        <v>39023825.254000001</v>
      </c>
      <c r="C90" s="9">
        <f>+SUM(E90:BN90)</f>
        <v>39023825.254000001</v>
      </c>
      <c r="D90" t="s">
        <v>2</v>
      </c>
      <c r="E90" s="9">
        <f>+SUMIFS(E$1:E$87,$D$1:$D$87,$D90)</f>
        <v>0</v>
      </c>
      <c r="F90" s="9">
        <f t="shared" ref="F90:BO94" si="2">+SUMIFS(F$1:F$87,$D$1:$D$87,$D90)</f>
        <v>120974.3291025712</v>
      </c>
      <c r="G90" s="9">
        <f t="shared" si="2"/>
        <v>1821919.9053489452</v>
      </c>
      <c r="H90" s="9">
        <f t="shared" si="2"/>
        <v>817394.88254848321</v>
      </c>
      <c r="I90" s="9">
        <f t="shared" si="2"/>
        <v>775705.79</v>
      </c>
      <c r="J90" s="9">
        <f t="shared" si="2"/>
        <v>1176977.94</v>
      </c>
      <c r="K90" s="9">
        <f t="shared" si="2"/>
        <v>1066585.3280000002</v>
      </c>
      <c r="L90" s="9">
        <f t="shared" si="2"/>
        <v>1193482.6519999998</v>
      </c>
      <c r="M90" s="9">
        <f t="shared" si="2"/>
        <v>967918.98499999987</v>
      </c>
      <c r="N90" s="9">
        <f t="shared" si="2"/>
        <v>1268945.1460000002</v>
      </c>
      <c r="O90" s="9">
        <f t="shared" si="2"/>
        <v>683459.71542932733</v>
      </c>
      <c r="P90" s="9">
        <f t="shared" si="2"/>
        <v>943353.88077141228</v>
      </c>
      <c r="Q90" s="9">
        <f t="shared" si="2"/>
        <v>903181.39715445007</v>
      </c>
      <c r="R90" s="9">
        <f t="shared" si="2"/>
        <v>635794.3475668428</v>
      </c>
      <c r="S90" s="9">
        <f t="shared" si="2"/>
        <v>554720.44413825555</v>
      </c>
      <c r="T90" s="9">
        <f t="shared" si="2"/>
        <v>945791.03107881965</v>
      </c>
      <c r="U90" s="9">
        <f t="shared" si="2"/>
        <v>1075303.6036584557</v>
      </c>
      <c r="V90" s="9">
        <f t="shared" si="2"/>
        <v>1305397.0994484252</v>
      </c>
      <c r="W90" s="9">
        <f t="shared" si="2"/>
        <v>1305397.099448425</v>
      </c>
      <c r="X90" s="9">
        <f t="shared" si="2"/>
        <v>1302329.1861712253</v>
      </c>
      <c r="Y90" s="9">
        <f t="shared" si="2"/>
        <v>1348347.8853292195</v>
      </c>
      <c r="Z90" s="9">
        <f t="shared" si="2"/>
        <v>1348347.8853292195</v>
      </c>
      <c r="AA90" s="9">
        <f t="shared" si="2"/>
        <v>1348347.8853292195</v>
      </c>
      <c r="AB90" s="9">
        <f t="shared" si="2"/>
        <v>1348347.8853292195</v>
      </c>
      <c r="AC90" s="9">
        <f t="shared" si="2"/>
        <v>1348347.8853292195</v>
      </c>
      <c r="AD90" s="9">
        <f t="shared" si="2"/>
        <v>980198.2920652685</v>
      </c>
      <c r="AE90" s="9">
        <f t="shared" si="2"/>
        <v>796123.49543329317</v>
      </c>
      <c r="AF90" s="9">
        <f t="shared" si="2"/>
        <v>796123.49543329317</v>
      </c>
      <c r="AG90" s="9">
        <f t="shared" si="2"/>
        <v>980198.2920652685</v>
      </c>
      <c r="AH90" s="9">
        <f t="shared" si="2"/>
        <v>1164273.0886972437</v>
      </c>
      <c r="AI90" s="9">
        <f t="shared" si="2"/>
        <v>1256310.4870132315</v>
      </c>
      <c r="AJ90" s="9">
        <f t="shared" si="2"/>
        <v>1256310.4870132315</v>
      </c>
      <c r="AK90" s="9">
        <f t="shared" si="2"/>
        <v>1256310.4870132315</v>
      </c>
      <c r="AL90" s="9">
        <f t="shared" si="2"/>
        <v>1256310.4870132315</v>
      </c>
      <c r="AM90" s="9">
        <f t="shared" si="2"/>
        <v>1210291.7878552377</v>
      </c>
      <c r="AN90" s="9">
        <f t="shared" si="2"/>
        <v>1181080.9583777096</v>
      </c>
      <c r="AO90" s="9">
        <f t="shared" si="2"/>
        <v>427973.90216934256</v>
      </c>
      <c r="AP90" s="9">
        <f t="shared" si="2"/>
        <v>427973.90216934256</v>
      </c>
      <c r="AQ90" s="9">
        <f t="shared" si="2"/>
        <v>427973.90216934256</v>
      </c>
      <c r="AR90" s="9">
        <f t="shared" si="2"/>
        <v>0</v>
      </c>
      <c r="AS90" s="9">
        <f t="shared" si="2"/>
        <v>0</v>
      </c>
      <c r="AT90" s="9">
        <f t="shared" si="2"/>
        <v>0</v>
      </c>
      <c r="AU90" s="9">
        <f t="shared" si="2"/>
        <v>0</v>
      </c>
      <c r="AV90" s="9">
        <f t="shared" si="2"/>
        <v>0</v>
      </c>
      <c r="AW90" s="9">
        <f t="shared" si="2"/>
        <v>0</v>
      </c>
      <c r="AX90" s="9">
        <f t="shared" si="2"/>
        <v>0</v>
      </c>
      <c r="AY90" s="9">
        <f t="shared" si="2"/>
        <v>0</v>
      </c>
      <c r="AZ90" s="9">
        <f t="shared" si="2"/>
        <v>0</v>
      </c>
      <c r="BA90" s="9">
        <f t="shared" si="2"/>
        <v>0</v>
      </c>
      <c r="BB90" s="9">
        <f t="shared" si="2"/>
        <v>0</v>
      </c>
      <c r="BC90" s="9">
        <f t="shared" si="2"/>
        <v>0</v>
      </c>
      <c r="BD90" s="9">
        <f t="shared" si="2"/>
        <v>0</v>
      </c>
      <c r="BE90" s="9">
        <f t="shared" si="2"/>
        <v>0</v>
      </c>
      <c r="BF90" s="9">
        <f t="shared" si="2"/>
        <v>0</v>
      </c>
      <c r="BG90" s="9">
        <f t="shared" si="2"/>
        <v>0</v>
      </c>
      <c r="BH90" s="9">
        <f t="shared" si="2"/>
        <v>0</v>
      </c>
      <c r="BI90" s="9">
        <f t="shared" si="2"/>
        <v>0</v>
      </c>
      <c r="BJ90" s="9">
        <f t="shared" si="2"/>
        <v>0</v>
      </c>
      <c r="BK90" s="9">
        <f t="shared" si="2"/>
        <v>0</v>
      </c>
      <c r="BL90" s="9">
        <f t="shared" si="2"/>
        <v>0</v>
      </c>
      <c r="BM90" s="9">
        <f t="shared" si="2"/>
        <v>0</v>
      </c>
      <c r="BN90" s="9">
        <f t="shared" si="2"/>
        <v>0</v>
      </c>
      <c r="BO90" s="9">
        <f t="shared" si="2"/>
        <v>0</v>
      </c>
    </row>
    <row r="91" spans="1:67">
      <c r="A91" s="84">
        <f t="shared" ref="A91:A115" si="3">+B91-C91</f>
        <v>0</v>
      </c>
      <c r="B91">
        <v>185141.09500000006</v>
      </c>
      <c r="C91" s="9">
        <f t="shared" ref="C91:C115" si="4">+SUM(E91:BN91)</f>
        <v>185141.09500000003</v>
      </c>
      <c r="D91" t="s">
        <v>5</v>
      </c>
      <c r="E91" s="9">
        <f t="shared" ref="E91:T110" si="5">+SUMIFS(E$1:E$87,$D$1:$D$87,$D91)</f>
        <v>0</v>
      </c>
      <c r="F91" s="9">
        <f t="shared" si="2"/>
        <v>0</v>
      </c>
      <c r="G91" s="9">
        <f t="shared" si="2"/>
        <v>891.54</v>
      </c>
      <c r="H91" s="9">
        <f t="shared" si="2"/>
        <v>1631.98</v>
      </c>
      <c r="I91" s="9">
        <f t="shared" si="2"/>
        <v>2506.3146062938104</v>
      </c>
      <c r="J91" s="9">
        <f t="shared" si="2"/>
        <v>2950.4280462416073</v>
      </c>
      <c r="K91" s="9">
        <f t="shared" si="2"/>
        <v>3356.6713474645831</v>
      </c>
      <c r="L91" s="9">
        <f t="shared" si="2"/>
        <v>1.7002108499023054E-2</v>
      </c>
      <c r="M91" s="9">
        <f t="shared" si="2"/>
        <v>2729.7690000000007</v>
      </c>
      <c r="N91" s="9">
        <f t="shared" si="2"/>
        <v>33.423000000000002</v>
      </c>
      <c r="O91" s="9">
        <f t="shared" si="2"/>
        <v>1707.5059566295797</v>
      </c>
      <c r="P91" s="9">
        <f t="shared" si="2"/>
        <v>4013.4317692045643</v>
      </c>
      <c r="Q91" s="9">
        <f t="shared" si="2"/>
        <v>2739.6046713274527</v>
      </c>
      <c r="R91" s="9">
        <f t="shared" si="2"/>
        <v>4268.8697343083604</v>
      </c>
      <c r="S91" s="9">
        <f t="shared" si="2"/>
        <v>2995.0426364312498</v>
      </c>
      <c r="T91" s="9">
        <f t="shared" si="2"/>
        <v>3828.6237352261523</v>
      </c>
      <c r="U91" s="9">
        <f t="shared" si="2"/>
        <v>8250.5619217397925</v>
      </c>
      <c r="V91" s="9">
        <f t="shared" si="2"/>
        <v>7287.5284593788465</v>
      </c>
      <c r="W91" s="9">
        <f t="shared" si="2"/>
        <v>6255.4297446809751</v>
      </c>
      <c r="X91" s="9">
        <f t="shared" si="2"/>
        <v>7032.0904942750503</v>
      </c>
      <c r="Y91" s="9">
        <f t="shared" si="2"/>
        <v>7032.0904942750503</v>
      </c>
      <c r="Z91" s="9">
        <f t="shared" si="2"/>
        <v>5999.9917795771771</v>
      </c>
      <c r="AA91" s="9">
        <f t="shared" si="2"/>
        <v>5999.9917795771771</v>
      </c>
      <c r="AB91" s="9">
        <f t="shared" si="2"/>
        <v>5661.9953345516442</v>
      </c>
      <c r="AC91" s="9">
        <f t="shared" si="2"/>
        <v>5661.9953345516442</v>
      </c>
      <c r="AD91" s="9">
        <f t="shared" si="2"/>
        <v>5349.1646620985784</v>
      </c>
      <c r="AE91" s="9">
        <f t="shared" si="2"/>
        <v>4075.337564221466</v>
      </c>
      <c r="AF91" s="9">
        <f t="shared" si="2"/>
        <v>4241.632044583188</v>
      </c>
      <c r="AG91" s="9">
        <f t="shared" si="2"/>
        <v>7821.3849550352852</v>
      </c>
      <c r="AH91" s="9">
        <f t="shared" si="2"/>
        <v>8853.4836697331575</v>
      </c>
      <c r="AI91" s="9">
        <f t="shared" si="2"/>
        <v>8853.4836697331575</v>
      </c>
      <c r="AJ91" s="9">
        <f t="shared" si="2"/>
        <v>8853.4836697331575</v>
      </c>
      <c r="AK91" s="9">
        <f t="shared" si="2"/>
        <v>7821.3849550352852</v>
      </c>
      <c r="AL91" s="9">
        <f t="shared" si="2"/>
        <v>6789.2862403374129</v>
      </c>
      <c r="AM91" s="9">
        <f t="shared" si="2"/>
        <v>6789.2862403374129</v>
      </c>
      <c r="AN91" s="9">
        <f t="shared" si="2"/>
        <v>5095.3083915084471</v>
      </c>
      <c r="AO91" s="9">
        <f t="shared" si="2"/>
        <v>6333.8268491458948</v>
      </c>
      <c r="AP91" s="9">
        <f t="shared" si="2"/>
        <v>6333.8268491458948</v>
      </c>
      <c r="AQ91" s="9">
        <f t="shared" si="2"/>
        <v>5095.3083915084471</v>
      </c>
      <c r="AR91" s="9">
        <f t="shared" si="2"/>
        <v>0</v>
      </c>
      <c r="AS91" s="9">
        <f t="shared" si="2"/>
        <v>0</v>
      </c>
      <c r="AT91" s="9">
        <f t="shared" si="2"/>
        <v>0</v>
      </c>
      <c r="AU91" s="9">
        <f t="shared" si="2"/>
        <v>0</v>
      </c>
      <c r="AV91" s="9">
        <f t="shared" si="2"/>
        <v>0</v>
      </c>
      <c r="AW91" s="9">
        <f t="shared" si="2"/>
        <v>0</v>
      </c>
      <c r="AX91" s="9">
        <f t="shared" si="2"/>
        <v>0</v>
      </c>
      <c r="AY91" s="9">
        <f t="shared" si="2"/>
        <v>0</v>
      </c>
      <c r="AZ91" s="9">
        <f t="shared" si="2"/>
        <v>0</v>
      </c>
      <c r="BA91" s="9">
        <f t="shared" si="2"/>
        <v>0</v>
      </c>
      <c r="BB91" s="9">
        <f t="shared" si="2"/>
        <v>0</v>
      </c>
      <c r="BC91" s="9">
        <f t="shared" si="2"/>
        <v>0</v>
      </c>
      <c r="BD91" s="9">
        <f t="shared" si="2"/>
        <v>0</v>
      </c>
      <c r="BE91" s="9">
        <f t="shared" si="2"/>
        <v>0</v>
      </c>
      <c r="BF91" s="9">
        <f t="shared" si="2"/>
        <v>0</v>
      </c>
      <c r="BG91" s="9">
        <f t="shared" si="2"/>
        <v>0</v>
      </c>
      <c r="BH91" s="9">
        <f t="shared" si="2"/>
        <v>0</v>
      </c>
      <c r="BI91" s="9">
        <f t="shared" si="2"/>
        <v>0</v>
      </c>
      <c r="BJ91" s="9">
        <f t="shared" si="2"/>
        <v>0</v>
      </c>
      <c r="BK91" s="9">
        <f t="shared" si="2"/>
        <v>0</v>
      </c>
      <c r="BL91" s="9">
        <f t="shared" si="2"/>
        <v>0</v>
      </c>
      <c r="BM91" s="9">
        <f t="shared" si="2"/>
        <v>0</v>
      </c>
      <c r="BN91" s="9">
        <f t="shared" si="2"/>
        <v>0</v>
      </c>
      <c r="BO91" s="9">
        <f t="shared" si="2"/>
        <v>0</v>
      </c>
    </row>
    <row r="92" spans="1:67">
      <c r="A92" s="84">
        <f t="shared" si="3"/>
        <v>0</v>
      </c>
      <c r="B92">
        <v>16063.234027685952</v>
      </c>
      <c r="C92" s="9">
        <f t="shared" si="4"/>
        <v>16063.234027685945</v>
      </c>
      <c r="D92" t="s">
        <v>6</v>
      </c>
      <c r="E92" s="9">
        <f t="shared" si="5"/>
        <v>0</v>
      </c>
      <c r="F92" s="9">
        <f t="shared" si="2"/>
        <v>0</v>
      </c>
      <c r="G92" s="9">
        <f t="shared" si="2"/>
        <v>0</v>
      </c>
      <c r="H92" s="9">
        <f t="shared" si="2"/>
        <v>0</v>
      </c>
      <c r="I92" s="9">
        <f t="shared" si="2"/>
        <v>80.261431251402939</v>
      </c>
      <c r="J92" s="9">
        <f t="shared" si="2"/>
        <v>94.483580473484935</v>
      </c>
      <c r="K92" s="9">
        <f t="shared" si="2"/>
        <v>107.49298827511211</v>
      </c>
      <c r="L92" s="9">
        <f t="shared" si="2"/>
        <v>0.8800000000000523</v>
      </c>
      <c r="M92" s="9">
        <f t="shared" si="2"/>
        <v>68.738999999999976</v>
      </c>
      <c r="N92" s="9">
        <f t="shared" si="2"/>
        <v>1.4309999999999832</v>
      </c>
      <c r="O92" s="9">
        <f t="shared" si="2"/>
        <v>175.24559851085826</v>
      </c>
      <c r="P92" s="9">
        <f t="shared" si="2"/>
        <v>228.02736428794049</v>
      </c>
      <c r="Q92" s="9">
        <f t="shared" si="2"/>
        <v>416.65668311192292</v>
      </c>
      <c r="R92" s="9">
        <f t="shared" si="2"/>
        <v>481.42074148732843</v>
      </c>
      <c r="S92" s="9">
        <f t="shared" si="2"/>
        <v>442.87291908065157</v>
      </c>
      <c r="T92" s="9">
        <f t="shared" si="2"/>
        <v>620.34184123930527</v>
      </c>
      <c r="U92" s="9">
        <f t="shared" si="2"/>
        <v>924.40227145242375</v>
      </c>
      <c r="V92" s="9">
        <f t="shared" si="2"/>
        <v>598.38660210877595</v>
      </c>
      <c r="W92" s="9">
        <f t="shared" si="2"/>
        <v>584.15265873837086</v>
      </c>
      <c r="X92" s="9">
        <f t="shared" si="2"/>
        <v>789.22586666215034</v>
      </c>
      <c r="Y92" s="9">
        <f t="shared" si="2"/>
        <v>1013.8973496587123</v>
      </c>
      <c r="Z92" s="9">
        <f t="shared" si="2"/>
        <v>999.66340628830699</v>
      </c>
      <c r="AA92" s="9">
        <f t="shared" si="2"/>
        <v>999.66340628830699</v>
      </c>
      <c r="AB92" s="9">
        <f t="shared" si="2"/>
        <v>879.36875569728534</v>
      </c>
      <c r="AC92" s="9">
        <f t="shared" si="2"/>
        <v>660.88525846122161</v>
      </c>
      <c r="AD92" s="9">
        <f t="shared" si="2"/>
        <v>497.40296799230407</v>
      </c>
      <c r="AE92" s="9">
        <f t="shared" si="2"/>
        <v>439.81518939947716</v>
      </c>
      <c r="AF92" s="9">
        <f t="shared" si="2"/>
        <v>456.7705814936387</v>
      </c>
      <c r="AG92" s="9">
        <f t="shared" si="2"/>
        <v>548.10016967739841</v>
      </c>
      <c r="AH92" s="9">
        <f t="shared" si="2"/>
        <v>562.33411304780259</v>
      </c>
      <c r="AI92" s="9">
        <f t="shared" si="2"/>
        <v>562.33411304780259</v>
      </c>
      <c r="AJ92" s="9">
        <f t="shared" si="2"/>
        <v>562.33411304780259</v>
      </c>
      <c r="AK92" s="9">
        <f t="shared" si="2"/>
        <v>548.10016967739841</v>
      </c>
      <c r="AL92" s="9">
        <f t="shared" si="2"/>
        <v>533.86622630699276</v>
      </c>
      <c r="AM92" s="9">
        <f t="shared" si="2"/>
        <v>533.86622630699276</v>
      </c>
      <c r="AN92" s="9">
        <f t="shared" si="2"/>
        <v>154.19128962670914</v>
      </c>
      <c r="AO92" s="9">
        <f t="shared" si="2"/>
        <v>171.21442768067897</v>
      </c>
      <c r="AP92" s="9">
        <f t="shared" si="2"/>
        <v>171.21442768067897</v>
      </c>
      <c r="AQ92" s="9">
        <f t="shared" si="2"/>
        <v>154.19128962670914</v>
      </c>
      <c r="AR92" s="9">
        <f t="shared" si="2"/>
        <v>0</v>
      </c>
      <c r="AS92" s="9">
        <f t="shared" si="2"/>
        <v>0</v>
      </c>
      <c r="AT92" s="9">
        <f t="shared" si="2"/>
        <v>0</v>
      </c>
      <c r="AU92" s="9">
        <f t="shared" si="2"/>
        <v>0</v>
      </c>
      <c r="AV92" s="9">
        <f t="shared" si="2"/>
        <v>0</v>
      </c>
      <c r="AW92" s="9">
        <f t="shared" si="2"/>
        <v>0</v>
      </c>
      <c r="AX92" s="9">
        <f t="shared" si="2"/>
        <v>0</v>
      </c>
      <c r="AY92" s="9">
        <f t="shared" si="2"/>
        <v>0</v>
      </c>
      <c r="AZ92" s="9">
        <f t="shared" si="2"/>
        <v>0</v>
      </c>
      <c r="BA92" s="9">
        <f t="shared" si="2"/>
        <v>0</v>
      </c>
      <c r="BB92" s="9">
        <f t="shared" si="2"/>
        <v>0</v>
      </c>
      <c r="BC92" s="9">
        <f t="shared" si="2"/>
        <v>0</v>
      </c>
      <c r="BD92" s="9">
        <f t="shared" si="2"/>
        <v>0</v>
      </c>
      <c r="BE92" s="9">
        <f t="shared" si="2"/>
        <v>0</v>
      </c>
      <c r="BF92" s="9">
        <f t="shared" si="2"/>
        <v>0</v>
      </c>
      <c r="BG92" s="9">
        <f t="shared" si="2"/>
        <v>0</v>
      </c>
      <c r="BH92" s="9">
        <f t="shared" si="2"/>
        <v>0</v>
      </c>
      <c r="BI92" s="9">
        <f t="shared" si="2"/>
        <v>0</v>
      </c>
      <c r="BJ92" s="9">
        <f t="shared" si="2"/>
        <v>0</v>
      </c>
      <c r="BK92" s="9">
        <f t="shared" si="2"/>
        <v>0</v>
      </c>
      <c r="BL92" s="9">
        <f t="shared" si="2"/>
        <v>0</v>
      </c>
      <c r="BM92" s="9">
        <f t="shared" si="2"/>
        <v>0</v>
      </c>
      <c r="BN92" s="9">
        <f t="shared" si="2"/>
        <v>0</v>
      </c>
      <c r="BO92" s="9">
        <f t="shared" si="2"/>
        <v>0</v>
      </c>
    </row>
    <row r="93" spans="1:67">
      <c r="A93" s="84">
        <f t="shared" si="3"/>
        <v>0</v>
      </c>
      <c r="B93">
        <v>12799.668</v>
      </c>
      <c r="C93" s="88">
        <f t="shared" si="4"/>
        <v>12799.667999999996</v>
      </c>
      <c r="D93" t="s">
        <v>7</v>
      </c>
      <c r="E93" s="9">
        <f t="shared" si="5"/>
        <v>0</v>
      </c>
      <c r="F93" s="9">
        <f t="shared" si="2"/>
        <v>0</v>
      </c>
      <c r="G93" s="9">
        <f t="shared" si="2"/>
        <v>323.02</v>
      </c>
      <c r="H93" s="9">
        <f t="shared" si="2"/>
        <v>362.56000000000006</v>
      </c>
      <c r="I93" s="9">
        <f t="shared" si="2"/>
        <v>407.77327500712772</v>
      </c>
      <c r="J93" s="9">
        <f t="shared" si="2"/>
        <v>480.02980314905614</v>
      </c>
      <c r="K93" s="9">
        <f t="shared" si="2"/>
        <v>546.12492184381608</v>
      </c>
      <c r="L93" s="9">
        <f t="shared" si="2"/>
        <v>0.17012089999998467</v>
      </c>
      <c r="M93" s="9">
        <f t="shared" si="2"/>
        <v>599.60800000000029</v>
      </c>
      <c r="N93" s="9">
        <f t="shared" si="2"/>
        <v>183.85899999999992</v>
      </c>
      <c r="O93" s="9">
        <f t="shared" si="2"/>
        <v>20.2818705298181</v>
      </c>
      <c r="P93" s="9">
        <f t="shared" si="2"/>
        <v>47.671812333785205</v>
      </c>
      <c r="Q93" s="9">
        <f t="shared" si="2"/>
        <v>280.23476428648905</v>
      </c>
      <c r="R93" s="9">
        <f t="shared" si="2"/>
        <v>298.39947750036021</v>
      </c>
      <c r="S93" s="9">
        <f t="shared" si="2"/>
        <v>283.26887360629593</v>
      </c>
      <c r="T93" s="9">
        <f t="shared" si="2"/>
        <v>293.17020593033271</v>
      </c>
      <c r="U93" s="9">
        <f t="shared" si="2"/>
        <v>583.90907201308028</v>
      </c>
      <c r="V93" s="9">
        <f t="shared" si="2"/>
        <v>324.77653996616965</v>
      </c>
      <c r="W93" s="9">
        <f t="shared" si="2"/>
        <v>312.5172020562668</v>
      </c>
      <c r="X93" s="9">
        <f t="shared" si="2"/>
        <v>558.40025831852438</v>
      </c>
      <c r="Y93" s="9">
        <f t="shared" si="2"/>
        <v>803.36186941777908</v>
      </c>
      <c r="Z93" s="9">
        <f t="shared" si="2"/>
        <v>791.10253150787594</v>
      </c>
      <c r="AA93" s="9">
        <f t="shared" si="2"/>
        <v>791.10253150787594</v>
      </c>
      <c r="AB93" s="9">
        <f t="shared" si="2"/>
        <v>693.67022345925363</v>
      </c>
      <c r="AC93" s="9">
        <f t="shared" si="2"/>
        <v>455.45543639451222</v>
      </c>
      <c r="AD93" s="9">
        <f t="shared" si="2"/>
        <v>308.49934852156542</v>
      </c>
      <c r="AE93" s="9">
        <f t="shared" si="2"/>
        <v>272.60928605976756</v>
      </c>
      <c r="AF93" s="9">
        <f t="shared" si="2"/>
        <v>274.58454307566552</v>
      </c>
      <c r="AG93" s="9">
        <f t="shared" si="2"/>
        <v>317.10508877369693</v>
      </c>
      <c r="AH93" s="9">
        <f t="shared" si="2"/>
        <v>329.36442668359973</v>
      </c>
      <c r="AI93" s="9">
        <f t="shared" si="2"/>
        <v>329.36442668359973</v>
      </c>
      <c r="AJ93" s="9">
        <f t="shared" si="2"/>
        <v>329.36442668359973</v>
      </c>
      <c r="AK93" s="9">
        <f t="shared" si="2"/>
        <v>317.10508877369693</v>
      </c>
      <c r="AL93" s="9">
        <f t="shared" si="2"/>
        <v>304.84575086379414</v>
      </c>
      <c r="AM93" s="9">
        <f t="shared" si="2"/>
        <v>304.84575086379414</v>
      </c>
      <c r="AN93" s="9">
        <f t="shared" si="2"/>
        <v>60.522415576257167</v>
      </c>
      <c r="AO93" s="9">
        <f t="shared" si="2"/>
        <v>75.23362106814065</v>
      </c>
      <c r="AP93" s="9">
        <f t="shared" si="2"/>
        <v>75.23362106814065</v>
      </c>
      <c r="AQ93" s="9">
        <f t="shared" si="2"/>
        <v>60.522415576257167</v>
      </c>
      <c r="AR93" s="9">
        <f t="shared" si="2"/>
        <v>0</v>
      </c>
      <c r="AS93" s="9">
        <f t="shared" si="2"/>
        <v>0</v>
      </c>
      <c r="AT93" s="9">
        <f t="shared" si="2"/>
        <v>0</v>
      </c>
      <c r="AU93" s="9">
        <f t="shared" si="2"/>
        <v>0</v>
      </c>
      <c r="AV93" s="9">
        <f t="shared" si="2"/>
        <v>0</v>
      </c>
      <c r="AW93" s="9">
        <f t="shared" si="2"/>
        <v>0</v>
      </c>
      <c r="AX93" s="9">
        <f t="shared" si="2"/>
        <v>0</v>
      </c>
      <c r="AY93" s="9">
        <f t="shared" si="2"/>
        <v>0</v>
      </c>
      <c r="AZ93" s="9">
        <f t="shared" si="2"/>
        <v>0</v>
      </c>
      <c r="BA93" s="9">
        <f t="shared" si="2"/>
        <v>0</v>
      </c>
      <c r="BB93" s="9">
        <f t="shared" si="2"/>
        <v>0</v>
      </c>
      <c r="BC93" s="9">
        <f t="shared" si="2"/>
        <v>0</v>
      </c>
      <c r="BD93" s="9">
        <f t="shared" si="2"/>
        <v>0</v>
      </c>
      <c r="BE93" s="9">
        <f t="shared" si="2"/>
        <v>0</v>
      </c>
      <c r="BF93" s="9">
        <f t="shared" si="2"/>
        <v>0</v>
      </c>
      <c r="BG93" s="9">
        <f t="shared" si="2"/>
        <v>0</v>
      </c>
      <c r="BH93" s="9">
        <f t="shared" si="2"/>
        <v>0</v>
      </c>
      <c r="BI93" s="9">
        <f t="shared" si="2"/>
        <v>0</v>
      </c>
      <c r="BJ93" s="9">
        <f t="shared" si="2"/>
        <v>0</v>
      </c>
      <c r="BK93" s="9">
        <f t="shared" si="2"/>
        <v>0</v>
      </c>
      <c r="BL93" s="9">
        <f t="shared" si="2"/>
        <v>0</v>
      </c>
      <c r="BM93" s="9">
        <f t="shared" si="2"/>
        <v>0</v>
      </c>
      <c r="BN93" s="9">
        <f t="shared" si="2"/>
        <v>0</v>
      </c>
      <c r="BO93" s="9">
        <f t="shared" si="2"/>
        <v>0</v>
      </c>
    </row>
    <row r="94" spans="1:67">
      <c r="A94" s="84">
        <f t="shared" si="3"/>
        <v>0</v>
      </c>
      <c r="B94">
        <v>74752.437368401646</v>
      </c>
      <c r="C94" s="9">
        <f t="shared" si="4"/>
        <v>74752.437368401632</v>
      </c>
      <c r="D94" t="s">
        <v>8</v>
      </c>
      <c r="E94" s="9">
        <f t="shared" si="5"/>
        <v>0</v>
      </c>
      <c r="F94" s="9">
        <f t="shared" si="2"/>
        <v>0</v>
      </c>
      <c r="G94" s="9">
        <f t="shared" si="2"/>
        <v>0</v>
      </c>
      <c r="H94" s="9">
        <f t="shared" si="2"/>
        <v>0</v>
      </c>
      <c r="I94" s="9">
        <f t="shared" si="2"/>
        <v>20.248921875353943</v>
      </c>
      <c r="J94" s="9">
        <f t="shared" si="2"/>
        <v>23.836986329319561</v>
      </c>
      <c r="K94" s="9">
        <f t="shared" si="2"/>
        <v>33.952000000000005</v>
      </c>
      <c r="L94" s="9">
        <f t="shared" si="2"/>
        <v>83.134999999999977</v>
      </c>
      <c r="M94" s="9">
        <f t="shared" ref="M94:AB109" si="6">+SUMIFS(M$1:M$87,$D$1:$D$87,$D94)</f>
        <v>69.416449624678052</v>
      </c>
      <c r="N94" s="9">
        <f t="shared" si="6"/>
        <v>45.732999999999947</v>
      </c>
      <c r="O94" s="9">
        <f t="shared" si="6"/>
        <v>517.22885766986315</v>
      </c>
      <c r="P94" s="9">
        <f t="shared" si="6"/>
        <v>1086.4550644248811</v>
      </c>
      <c r="Q94" s="9">
        <f t="shared" si="6"/>
        <v>2651.0214844962334</v>
      </c>
      <c r="R94" s="9">
        <f t="shared" si="6"/>
        <v>2705.8542498942916</v>
      </c>
      <c r="S94" s="9">
        <f t="shared" si="6"/>
        <v>2610.9165749404729</v>
      </c>
      <c r="T94" s="9">
        <f t="shared" si="6"/>
        <v>3070.7522271309122</v>
      </c>
      <c r="U94" s="9">
        <f t="shared" si="6"/>
        <v>3743.038164980926</v>
      </c>
      <c r="V94" s="9">
        <f t="shared" si="6"/>
        <v>2827.9520669965982</v>
      </c>
      <c r="W94" s="9">
        <f t="shared" si="6"/>
        <v>3302.659638341343</v>
      </c>
      <c r="X94" s="9">
        <f t="shared" si="6"/>
        <v>3811.2725168910106</v>
      </c>
      <c r="Y94" s="9">
        <f t="shared" si="6"/>
        <v>4414.269488628398</v>
      </c>
      <c r="Z94" s="9">
        <f t="shared" si="6"/>
        <v>4365.1756291476095</v>
      </c>
      <c r="AA94" s="9">
        <f t="shared" si="6"/>
        <v>4047.508582074352</v>
      </c>
      <c r="AB94" s="9">
        <f t="shared" si="6"/>
        <v>3139.343725527629</v>
      </c>
      <c r="AC94" s="9">
        <f t="shared" ref="AC94:AR109" si="7">+SUMIFS(AC$1:AC$87,$D$1:$D$87,$D94)</f>
        <v>2314.8139667120909</v>
      </c>
      <c r="AD94" s="9">
        <f t="shared" si="7"/>
        <v>1744.9081945859609</v>
      </c>
      <c r="AE94" s="9">
        <f t="shared" si="7"/>
        <v>1591.3069611700203</v>
      </c>
      <c r="AF94" s="9">
        <f t="shared" si="7"/>
        <v>1967.2632869905776</v>
      </c>
      <c r="AG94" s="9">
        <f t="shared" si="7"/>
        <v>2233.2786424151464</v>
      </c>
      <c r="AH94" s="9">
        <f t="shared" si="7"/>
        <v>2654.0823008203788</v>
      </c>
      <c r="AI94" s="9">
        <f t="shared" si="7"/>
        <v>3094.0992068720607</v>
      </c>
      <c r="AJ94" s="9">
        <f t="shared" si="7"/>
        <v>3094.0992068720607</v>
      </c>
      <c r="AK94" s="9">
        <f t="shared" si="7"/>
        <v>3017.9592013551287</v>
      </c>
      <c r="AL94" s="9">
        <f t="shared" si="7"/>
        <v>2941.8191958381963</v>
      </c>
      <c r="AM94" s="9">
        <f t="shared" si="7"/>
        <v>2501.8022897865153</v>
      </c>
      <c r="AN94" s="9">
        <f t="shared" si="7"/>
        <v>1207.2050411552789</v>
      </c>
      <c r="AO94" s="9">
        <f t="shared" si="7"/>
        <v>1306.4121018495321</v>
      </c>
      <c r="AP94" s="9">
        <f t="shared" si="7"/>
        <v>1306.4121018495321</v>
      </c>
      <c r="AQ94" s="9">
        <f t="shared" si="7"/>
        <v>1207.2050411552789</v>
      </c>
      <c r="AR94" s="9">
        <f t="shared" si="7"/>
        <v>0</v>
      </c>
      <c r="AS94" s="9">
        <f t="shared" ref="AS94:BH115" si="8">+SUMIFS(AS$1:AS$87,$D$1:$D$87,$D94)</f>
        <v>0</v>
      </c>
      <c r="AT94" s="9">
        <f t="shared" si="8"/>
        <v>0</v>
      </c>
      <c r="AU94" s="9">
        <f t="shared" si="8"/>
        <v>0</v>
      </c>
      <c r="AV94" s="9">
        <f t="shared" si="8"/>
        <v>0</v>
      </c>
      <c r="AW94" s="9">
        <f t="shared" si="8"/>
        <v>0</v>
      </c>
      <c r="AX94" s="9">
        <f t="shared" si="8"/>
        <v>0</v>
      </c>
      <c r="AY94" s="9">
        <f t="shared" si="8"/>
        <v>0</v>
      </c>
      <c r="AZ94" s="9">
        <f t="shared" si="8"/>
        <v>0</v>
      </c>
      <c r="BA94" s="9">
        <f t="shared" si="8"/>
        <v>0</v>
      </c>
      <c r="BB94" s="9">
        <f t="shared" si="8"/>
        <v>0</v>
      </c>
      <c r="BC94" s="9">
        <f t="shared" si="8"/>
        <v>0</v>
      </c>
      <c r="BD94" s="9">
        <f t="shared" si="8"/>
        <v>0</v>
      </c>
      <c r="BE94" s="9">
        <f t="shared" si="8"/>
        <v>0</v>
      </c>
      <c r="BF94" s="9">
        <f t="shared" si="8"/>
        <v>0</v>
      </c>
      <c r="BG94" s="9">
        <f t="shared" si="8"/>
        <v>0</v>
      </c>
      <c r="BH94" s="9">
        <f t="shared" si="8"/>
        <v>0</v>
      </c>
      <c r="BI94" s="9">
        <f t="shared" ref="BI94:BO115" si="9">+SUMIFS(BI$1:BI$87,$D$1:$D$87,$D94)</f>
        <v>0</v>
      </c>
      <c r="BJ94" s="9">
        <f t="shared" si="9"/>
        <v>0</v>
      </c>
      <c r="BK94" s="9">
        <f t="shared" si="9"/>
        <v>0</v>
      </c>
      <c r="BL94" s="9">
        <f t="shared" si="9"/>
        <v>0</v>
      </c>
      <c r="BM94" s="9">
        <f t="shared" si="9"/>
        <v>0</v>
      </c>
      <c r="BN94" s="9">
        <f t="shared" si="9"/>
        <v>0</v>
      </c>
      <c r="BO94" s="9">
        <f t="shared" si="9"/>
        <v>0</v>
      </c>
    </row>
    <row r="95" spans="1:67">
      <c r="A95" s="84">
        <f t="shared" si="3"/>
        <v>0</v>
      </c>
      <c r="B95">
        <v>6314.3</v>
      </c>
      <c r="C95" s="9">
        <f t="shared" si="4"/>
        <v>6314.3000000000011</v>
      </c>
      <c r="D95" t="s">
        <v>9</v>
      </c>
      <c r="E95" s="9">
        <f t="shared" si="5"/>
        <v>0</v>
      </c>
      <c r="F95" s="9">
        <f t="shared" si="5"/>
        <v>0</v>
      </c>
      <c r="G95" s="9">
        <f t="shared" si="5"/>
        <v>0</v>
      </c>
      <c r="H95" s="9">
        <f t="shared" si="5"/>
        <v>0</v>
      </c>
      <c r="I95" s="9">
        <f t="shared" si="5"/>
        <v>0</v>
      </c>
      <c r="J95" s="9">
        <f t="shared" si="5"/>
        <v>0</v>
      </c>
      <c r="K95" s="9">
        <f t="shared" si="5"/>
        <v>0</v>
      </c>
      <c r="L95" s="9">
        <f t="shared" si="5"/>
        <v>0</v>
      </c>
      <c r="M95" s="9">
        <f t="shared" si="5"/>
        <v>0</v>
      </c>
      <c r="N95" s="9">
        <f t="shared" si="5"/>
        <v>0</v>
      </c>
      <c r="O95" s="9">
        <f t="shared" si="5"/>
        <v>8.1389799055260035</v>
      </c>
      <c r="P95" s="9">
        <f t="shared" si="5"/>
        <v>19.130381592479491</v>
      </c>
      <c r="Q95" s="9">
        <f t="shared" si="5"/>
        <v>194.48849418918473</v>
      </c>
      <c r="R95" s="9">
        <f t="shared" si="5"/>
        <v>194.25637238662586</v>
      </c>
      <c r="S95" s="9">
        <f t="shared" si="5"/>
        <v>194.6603771519286</v>
      </c>
      <c r="T95" s="9">
        <f t="shared" si="5"/>
        <v>194.66037715192863</v>
      </c>
      <c r="U95" s="9">
        <f t="shared" si="6"/>
        <v>381.8714660099514</v>
      </c>
      <c r="V95" s="9">
        <f t="shared" si="6"/>
        <v>187.21108885802232</v>
      </c>
      <c r="W95" s="9">
        <f t="shared" si="6"/>
        <v>187.21108885802241</v>
      </c>
      <c r="X95" s="9">
        <f t="shared" si="6"/>
        <v>373.19857582808373</v>
      </c>
      <c r="Y95" s="9">
        <f t="shared" si="6"/>
        <v>565.71193953393743</v>
      </c>
      <c r="Z95" s="9">
        <f t="shared" si="6"/>
        <v>565.71193953393754</v>
      </c>
      <c r="AA95" s="9">
        <f t="shared" si="6"/>
        <v>565.71193953393754</v>
      </c>
      <c r="AB95" s="9">
        <f t="shared" si="6"/>
        <v>492.29582625628137</v>
      </c>
      <c r="AC95" s="9">
        <f t="shared" si="7"/>
        <v>305.08473739825854</v>
      </c>
      <c r="AD95" s="9">
        <f t="shared" si="7"/>
        <v>192.51336370585318</v>
      </c>
      <c r="AE95" s="9">
        <f t="shared" si="7"/>
        <v>176.19867186637407</v>
      </c>
      <c r="AF95" s="9">
        <f t="shared" si="7"/>
        <v>176.19867186637416</v>
      </c>
      <c r="AG95" s="9">
        <f t="shared" si="7"/>
        <v>176.19867186637441</v>
      </c>
      <c r="AH95" s="9">
        <f t="shared" si="7"/>
        <v>176.19867186637424</v>
      </c>
      <c r="AI95" s="9">
        <f t="shared" si="7"/>
        <v>176.19867186637424</v>
      </c>
      <c r="AJ95" s="9">
        <f t="shared" si="7"/>
        <v>176.19867186637424</v>
      </c>
      <c r="AK95" s="9">
        <f t="shared" si="7"/>
        <v>176.19867186637441</v>
      </c>
      <c r="AL95" s="9">
        <f t="shared" si="7"/>
        <v>176.19867186637413</v>
      </c>
      <c r="AM95" s="9">
        <f t="shared" si="7"/>
        <v>173.89768589424739</v>
      </c>
      <c r="AN95" s="9">
        <f t="shared" si="7"/>
        <v>24.287243303562732</v>
      </c>
      <c r="AO95" s="9">
        <f t="shared" si="7"/>
        <v>30.190752336838145</v>
      </c>
      <c r="AP95" s="9">
        <f t="shared" si="7"/>
        <v>30.190752336838145</v>
      </c>
      <c r="AQ95" s="9">
        <f t="shared" si="7"/>
        <v>24.287243303562732</v>
      </c>
      <c r="AR95" s="9">
        <f t="shared" si="7"/>
        <v>0</v>
      </c>
      <c r="AS95" s="9">
        <f t="shared" si="8"/>
        <v>0</v>
      </c>
      <c r="AT95" s="9">
        <f t="shared" si="8"/>
        <v>0</v>
      </c>
      <c r="AU95" s="9">
        <f t="shared" si="8"/>
        <v>0</v>
      </c>
      <c r="AV95" s="9">
        <f t="shared" si="8"/>
        <v>0</v>
      </c>
      <c r="AW95" s="9">
        <f t="shared" si="8"/>
        <v>0</v>
      </c>
      <c r="AX95" s="9">
        <f t="shared" si="8"/>
        <v>0</v>
      </c>
      <c r="AY95" s="9">
        <f t="shared" si="8"/>
        <v>0</v>
      </c>
      <c r="AZ95" s="9">
        <f t="shared" si="8"/>
        <v>0</v>
      </c>
      <c r="BA95" s="9">
        <f t="shared" si="8"/>
        <v>0</v>
      </c>
      <c r="BB95" s="9">
        <f t="shared" si="8"/>
        <v>0</v>
      </c>
      <c r="BC95" s="9">
        <f t="shared" si="8"/>
        <v>0</v>
      </c>
      <c r="BD95" s="9">
        <f t="shared" si="8"/>
        <v>0</v>
      </c>
      <c r="BE95" s="9">
        <f t="shared" si="8"/>
        <v>0</v>
      </c>
      <c r="BF95" s="9">
        <f t="shared" si="8"/>
        <v>0</v>
      </c>
      <c r="BG95" s="9">
        <f t="shared" si="8"/>
        <v>0</v>
      </c>
      <c r="BH95" s="9">
        <f t="shared" si="8"/>
        <v>0</v>
      </c>
      <c r="BI95" s="9">
        <f t="shared" si="9"/>
        <v>0</v>
      </c>
      <c r="BJ95" s="9">
        <f t="shared" si="9"/>
        <v>0</v>
      </c>
      <c r="BK95" s="9">
        <f t="shared" si="9"/>
        <v>0</v>
      </c>
      <c r="BL95" s="9">
        <f t="shared" si="9"/>
        <v>0</v>
      </c>
      <c r="BM95" s="9">
        <f t="shared" si="9"/>
        <v>0</v>
      </c>
      <c r="BN95" s="9">
        <f t="shared" si="9"/>
        <v>0</v>
      </c>
      <c r="BO95" s="9">
        <f t="shared" si="9"/>
        <v>0</v>
      </c>
    </row>
    <row r="96" spans="1:67">
      <c r="A96" s="84">
        <f t="shared" si="3"/>
        <v>-1.6370904631912708E-11</v>
      </c>
      <c r="B96">
        <v>10010.299999999994</v>
      </c>
      <c r="C96" s="88">
        <f t="shared" si="4"/>
        <v>10010.30000000001</v>
      </c>
      <c r="D96" t="s">
        <v>10</v>
      </c>
      <c r="E96" s="9">
        <f t="shared" si="5"/>
        <v>0</v>
      </c>
      <c r="F96" s="9">
        <f t="shared" si="5"/>
        <v>0</v>
      </c>
      <c r="G96" s="9">
        <f t="shared" si="5"/>
        <v>0</v>
      </c>
      <c r="H96" s="9">
        <f t="shared" si="5"/>
        <v>0</v>
      </c>
      <c r="I96" s="9">
        <f t="shared" si="5"/>
        <v>0</v>
      </c>
      <c r="J96" s="9">
        <f t="shared" si="5"/>
        <v>0</v>
      </c>
      <c r="K96" s="9">
        <f t="shared" si="5"/>
        <v>0</v>
      </c>
      <c r="L96" s="9">
        <f t="shared" si="5"/>
        <v>0</v>
      </c>
      <c r="M96" s="9">
        <f t="shared" si="5"/>
        <v>0</v>
      </c>
      <c r="N96" s="9">
        <f t="shared" si="5"/>
        <v>0</v>
      </c>
      <c r="O96" s="9">
        <f t="shared" si="5"/>
        <v>0</v>
      </c>
      <c r="P96" s="9">
        <f t="shared" si="5"/>
        <v>46.200000000000038</v>
      </c>
      <c r="Q96" s="9">
        <f t="shared" si="5"/>
        <v>198.8600000000001</v>
      </c>
      <c r="R96" s="9">
        <f t="shared" si="5"/>
        <v>245.06000000000014</v>
      </c>
      <c r="S96" s="9">
        <f t="shared" si="5"/>
        <v>198.8600000000001</v>
      </c>
      <c r="T96" s="9">
        <f t="shared" si="5"/>
        <v>198.8600000000001</v>
      </c>
      <c r="U96" s="9">
        <f t="shared" si="6"/>
        <v>528.71000000000015</v>
      </c>
      <c r="V96" s="9">
        <f t="shared" si="6"/>
        <v>329.85000000000014</v>
      </c>
      <c r="W96" s="9">
        <f t="shared" si="6"/>
        <v>329.85000000000014</v>
      </c>
      <c r="X96" s="9">
        <f t="shared" si="6"/>
        <v>519.85000000000059</v>
      </c>
      <c r="Y96" s="9">
        <f t="shared" si="6"/>
        <v>716.51666666666745</v>
      </c>
      <c r="Z96" s="9">
        <f t="shared" si="6"/>
        <v>716.51666666666745</v>
      </c>
      <c r="AA96" s="9">
        <f t="shared" si="6"/>
        <v>716.51666666666745</v>
      </c>
      <c r="AB96" s="9">
        <f t="shared" si="6"/>
        <v>641.51666666666722</v>
      </c>
      <c r="AC96" s="9">
        <f t="shared" si="7"/>
        <v>450.26666666666722</v>
      </c>
      <c r="AD96" s="9">
        <f t="shared" si="7"/>
        <v>335.26666666666699</v>
      </c>
      <c r="AE96" s="9">
        <f t="shared" si="7"/>
        <v>272.40000000000055</v>
      </c>
      <c r="AF96" s="9">
        <f t="shared" si="7"/>
        <v>272.40000000000055</v>
      </c>
      <c r="AG96" s="9">
        <f t="shared" si="7"/>
        <v>364.80000000000064</v>
      </c>
      <c r="AH96" s="9">
        <f t="shared" si="7"/>
        <v>364.80000000000064</v>
      </c>
      <c r="AI96" s="9">
        <f t="shared" si="7"/>
        <v>364.80000000000064</v>
      </c>
      <c r="AJ96" s="9">
        <f t="shared" si="7"/>
        <v>364.80000000000064</v>
      </c>
      <c r="AK96" s="9">
        <f t="shared" si="7"/>
        <v>364.80000000000064</v>
      </c>
      <c r="AL96" s="9">
        <f t="shared" si="7"/>
        <v>364.80000000000064</v>
      </c>
      <c r="AM96" s="9">
        <f t="shared" si="7"/>
        <v>364.80000000000064</v>
      </c>
      <c r="AN96" s="9">
        <f t="shared" si="7"/>
        <v>184.80000000000015</v>
      </c>
      <c r="AO96" s="9">
        <f t="shared" si="7"/>
        <v>184.80000000000015</v>
      </c>
      <c r="AP96" s="9">
        <f t="shared" si="7"/>
        <v>184.80000000000015</v>
      </c>
      <c r="AQ96" s="9">
        <f t="shared" si="7"/>
        <v>184.80000000000015</v>
      </c>
      <c r="AR96" s="9">
        <f t="shared" si="7"/>
        <v>0</v>
      </c>
      <c r="AS96" s="9">
        <f t="shared" si="8"/>
        <v>0</v>
      </c>
      <c r="AT96" s="9">
        <f t="shared" si="8"/>
        <v>0</v>
      </c>
      <c r="AU96" s="9">
        <f t="shared" si="8"/>
        <v>0</v>
      </c>
      <c r="AV96" s="9">
        <f t="shared" si="8"/>
        <v>0</v>
      </c>
      <c r="AW96" s="9">
        <f t="shared" si="8"/>
        <v>0</v>
      </c>
      <c r="AX96" s="9">
        <f t="shared" si="8"/>
        <v>0</v>
      </c>
      <c r="AY96" s="9">
        <f t="shared" si="8"/>
        <v>0</v>
      </c>
      <c r="AZ96" s="9">
        <f t="shared" si="8"/>
        <v>0</v>
      </c>
      <c r="BA96" s="9">
        <f t="shared" si="8"/>
        <v>0</v>
      </c>
      <c r="BB96" s="9">
        <f t="shared" si="8"/>
        <v>0</v>
      </c>
      <c r="BC96" s="9">
        <f t="shared" si="8"/>
        <v>0</v>
      </c>
      <c r="BD96" s="9">
        <f t="shared" si="8"/>
        <v>0</v>
      </c>
      <c r="BE96" s="9">
        <f t="shared" si="8"/>
        <v>0</v>
      </c>
      <c r="BF96" s="9">
        <f t="shared" si="8"/>
        <v>0</v>
      </c>
      <c r="BG96" s="9">
        <f t="shared" si="8"/>
        <v>0</v>
      </c>
      <c r="BH96" s="9">
        <f t="shared" si="8"/>
        <v>0</v>
      </c>
      <c r="BI96" s="9">
        <f t="shared" si="9"/>
        <v>0</v>
      </c>
      <c r="BJ96" s="9">
        <f t="shared" si="9"/>
        <v>0</v>
      </c>
      <c r="BK96" s="9">
        <f t="shared" si="9"/>
        <v>0</v>
      </c>
      <c r="BL96" s="9">
        <f t="shared" si="9"/>
        <v>0</v>
      </c>
      <c r="BM96" s="9">
        <f t="shared" si="9"/>
        <v>0</v>
      </c>
      <c r="BN96" s="9">
        <f t="shared" si="9"/>
        <v>0</v>
      </c>
      <c r="BO96" s="9">
        <f t="shared" si="9"/>
        <v>0</v>
      </c>
    </row>
    <row r="97" spans="1:67">
      <c r="A97" s="84">
        <f t="shared" si="3"/>
        <v>0</v>
      </c>
      <c r="B97">
        <v>89205.540000000023</v>
      </c>
      <c r="C97" s="9">
        <f t="shared" si="4"/>
        <v>89205.540000000008</v>
      </c>
      <c r="D97" t="s">
        <v>11</v>
      </c>
      <c r="E97" s="9">
        <f t="shared" si="5"/>
        <v>0</v>
      </c>
      <c r="F97" s="9">
        <f t="shared" si="5"/>
        <v>0</v>
      </c>
      <c r="G97" s="9">
        <f t="shared" si="5"/>
        <v>0</v>
      </c>
      <c r="H97" s="9">
        <f t="shared" si="5"/>
        <v>0</v>
      </c>
      <c r="I97" s="9">
        <f t="shared" si="5"/>
        <v>0</v>
      </c>
      <c r="J97" s="9">
        <f t="shared" si="5"/>
        <v>0</v>
      </c>
      <c r="K97" s="9">
        <f t="shared" si="5"/>
        <v>0</v>
      </c>
      <c r="L97" s="9">
        <f t="shared" si="5"/>
        <v>0</v>
      </c>
      <c r="M97" s="9">
        <f t="shared" si="5"/>
        <v>0</v>
      </c>
      <c r="N97" s="9">
        <f t="shared" si="5"/>
        <v>0</v>
      </c>
      <c r="O97" s="9">
        <f t="shared" si="5"/>
        <v>10.18268464609365</v>
      </c>
      <c r="P97" s="9">
        <f t="shared" si="5"/>
        <v>23.934036596329953</v>
      </c>
      <c r="Q97" s="9">
        <f t="shared" si="5"/>
        <v>16.337588934774203</v>
      </c>
      <c r="R97" s="9">
        <f t="shared" si="5"/>
        <v>25.457336843215224</v>
      </c>
      <c r="S97" s="9">
        <f t="shared" si="5"/>
        <v>17.860889181659473</v>
      </c>
      <c r="T97" s="9">
        <f t="shared" si="5"/>
        <v>22.83193682164972</v>
      </c>
      <c r="U97" s="9">
        <f t="shared" si="6"/>
        <v>49.202094947871487</v>
      </c>
      <c r="V97" s="9">
        <f t="shared" si="6"/>
        <v>5552.1358891385089</v>
      </c>
      <c r="W97" s="9">
        <f t="shared" si="6"/>
        <v>5552.8062127473449</v>
      </c>
      <c r="X97" s="9">
        <f t="shared" si="6"/>
        <v>5552.8062127473459</v>
      </c>
      <c r="Y97" s="9">
        <f t="shared" si="6"/>
        <v>5552.8062127473459</v>
      </c>
      <c r="Z97" s="9">
        <f t="shared" si="6"/>
        <v>5552.8062127473459</v>
      </c>
      <c r="AA97" s="9">
        <f t="shared" si="6"/>
        <v>5552.8062127473459</v>
      </c>
      <c r="AB97" s="9">
        <f t="shared" si="6"/>
        <v>5552.8062127473459</v>
      </c>
      <c r="AC97" s="9">
        <f t="shared" si="7"/>
        <v>5552.8062127473459</v>
      </c>
      <c r="AD97" s="9">
        <f t="shared" si="7"/>
        <v>31.899658483003638</v>
      </c>
      <c r="AE97" s="9">
        <f t="shared" si="7"/>
        <v>24.303210821447784</v>
      </c>
      <c r="AF97" s="9">
        <f t="shared" si="7"/>
        <v>25.294905313250329</v>
      </c>
      <c r="AG97" s="9">
        <f t="shared" si="7"/>
        <v>46.642704925042395</v>
      </c>
      <c r="AH97" s="9">
        <f t="shared" si="7"/>
        <v>5552.2881657861426</v>
      </c>
      <c r="AI97" s="9">
        <f t="shared" si="7"/>
        <v>5552.8062127473459</v>
      </c>
      <c r="AJ97" s="9">
        <f t="shared" si="7"/>
        <v>5552.8062127473459</v>
      </c>
      <c r="AK97" s="9">
        <f t="shared" si="7"/>
        <v>5552.8062127473459</v>
      </c>
      <c r="AL97" s="9">
        <f t="shared" si="7"/>
        <v>5552.8062127473449</v>
      </c>
      <c r="AM97" s="9">
        <f t="shared" si="7"/>
        <v>5552.8062127473449</v>
      </c>
      <c r="AN97" s="9">
        <f t="shared" si="7"/>
        <v>5552.8062127473459</v>
      </c>
      <c r="AO97" s="9">
        <f t="shared" si="7"/>
        <v>5552.5306654066626</v>
      </c>
      <c r="AP97" s="9">
        <f t="shared" si="7"/>
        <v>37.771675792639734</v>
      </c>
      <c r="AQ97" s="9">
        <f t="shared" si="7"/>
        <v>30.385790646223011</v>
      </c>
      <c r="AR97" s="9">
        <f t="shared" si="7"/>
        <v>0</v>
      </c>
      <c r="AS97" s="9">
        <f t="shared" si="8"/>
        <v>0</v>
      </c>
      <c r="AT97" s="9">
        <f t="shared" si="8"/>
        <v>0</v>
      </c>
      <c r="AU97" s="9">
        <f t="shared" si="8"/>
        <v>0</v>
      </c>
      <c r="AV97" s="9">
        <f t="shared" si="8"/>
        <v>0</v>
      </c>
      <c r="AW97" s="9">
        <f t="shared" si="8"/>
        <v>0</v>
      </c>
      <c r="AX97" s="9">
        <f t="shared" si="8"/>
        <v>0</v>
      </c>
      <c r="AY97" s="9">
        <f t="shared" si="8"/>
        <v>0</v>
      </c>
      <c r="AZ97" s="9">
        <f t="shared" si="8"/>
        <v>0</v>
      </c>
      <c r="BA97" s="9">
        <f t="shared" si="8"/>
        <v>0</v>
      </c>
      <c r="BB97" s="9">
        <f t="shared" si="8"/>
        <v>0</v>
      </c>
      <c r="BC97" s="9">
        <f t="shared" si="8"/>
        <v>0</v>
      </c>
      <c r="BD97" s="9">
        <f t="shared" si="8"/>
        <v>0</v>
      </c>
      <c r="BE97" s="9">
        <f t="shared" si="8"/>
        <v>0</v>
      </c>
      <c r="BF97" s="9">
        <f t="shared" si="8"/>
        <v>0</v>
      </c>
      <c r="BG97" s="9">
        <f t="shared" si="8"/>
        <v>0</v>
      </c>
      <c r="BH97" s="9">
        <f t="shared" si="8"/>
        <v>0</v>
      </c>
      <c r="BI97" s="9">
        <f t="shared" si="9"/>
        <v>0</v>
      </c>
      <c r="BJ97" s="9">
        <f t="shared" si="9"/>
        <v>0</v>
      </c>
      <c r="BK97" s="9">
        <f t="shared" si="9"/>
        <v>0</v>
      </c>
      <c r="BL97" s="9">
        <f t="shared" si="9"/>
        <v>0</v>
      </c>
      <c r="BM97" s="9">
        <f t="shared" si="9"/>
        <v>0</v>
      </c>
      <c r="BN97" s="9">
        <f t="shared" si="9"/>
        <v>0</v>
      </c>
      <c r="BO97" s="9">
        <f t="shared" si="9"/>
        <v>0</v>
      </c>
    </row>
    <row r="98" spans="1:67">
      <c r="A98" s="84">
        <f t="shared" si="3"/>
        <v>0</v>
      </c>
      <c r="B98">
        <v>138654.56926146132</v>
      </c>
      <c r="C98" s="9">
        <f t="shared" si="4"/>
        <v>138654.56926146135</v>
      </c>
      <c r="D98" t="s">
        <v>12</v>
      </c>
      <c r="E98" s="9">
        <f t="shared" si="5"/>
        <v>0</v>
      </c>
      <c r="F98" s="9">
        <f t="shared" si="5"/>
        <v>0</v>
      </c>
      <c r="G98" s="9">
        <f t="shared" si="5"/>
        <v>3130.2159996912669</v>
      </c>
      <c r="H98" s="9">
        <f t="shared" si="5"/>
        <v>7683.1060003087314</v>
      </c>
      <c r="I98" s="9">
        <f t="shared" si="5"/>
        <v>3228.8100000000004</v>
      </c>
      <c r="J98" s="9">
        <f t="shared" si="5"/>
        <v>3703.96</v>
      </c>
      <c r="K98" s="9">
        <f t="shared" si="5"/>
        <v>4405.6789999999992</v>
      </c>
      <c r="L98" s="9">
        <f t="shared" si="5"/>
        <v>5330.574775</v>
      </c>
      <c r="M98" s="9">
        <f t="shared" si="5"/>
        <v>4034.2663249999996</v>
      </c>
      <c r="N98" s="9">
        <f t="shared" si="5"/>
        <v>3635.5100000000029</v>
      </c>
      <c r="O98" s="9">
        <f t="shared" si="5"/>
        <v>4328.1926363617349</v>
      </c>
      <c r="P98" s="9">
        <f t="shared" si="5"/>
        <v>4328.192636361734</v>
      </c>
      <c r="Q98" s="9">
        <f t="shared" si="5"/>
        <v>7264.615816417434</v>
      </c>
      <c r="R98" s="9">
        <f t="shared" si="5"/>
        <v>5385.3853187876675</v>
      </c>
      <c r="S98" s="9">
        <f t="shared" si="5"/>
        <v>5259.8578095943722</v>
      </c>
      <c r="T98" s="9">
        <f t="shared" si="5"/>
        <v>3358.1903157588854</v>
      </c>
      <c r="U98" s="9">
        <f t="shared" si="6"/>
        <v>5496.490763237236</v>
      </c>
      <c r="V98" s="9">
        <f t="shared" si="6"/>
        <v>10157.057295439543</v>
      </c>
      <c r="W98" s="9">
        <f t="shared" si="6"/>
        <v>8102.4418540900579</v>
      </c>
      <c r="X98" s="9">
        <f t="shared" si="6"/>
        <v>6991.4491272864507</v>
      </c>
      <c r="Y98" s="9">
        <f t="shared" si="6"/>
        <v>6991.4491272864507</v>
      </c>
      <c r="Z98" s="9">
        <f t="shared" si="6"/>
        <v>2330.882595084141</v>
      </c>
      <c r="AA98" s="9">
        <f t="shared" si="6"/>
        <v>2330.882595084141</v>
      </c>
      <c r="AB98" s="9">
        <f t="shared" si="6"/>
        <v>2330.882595084141</v>
      </c>
      <c r="AC98" s="9">
        <f t="shared" si="7"/>
        <v>2330.882595084141</v>
      </c>
      <c r="AD98" s="9">
        <f t="shared" si="7"/>
        <v>2330.882595084141</v>
      </c>
      <c r="AE98" s="9">
        <f t="shared" si="7"/>
        <v>2330.882595084141</v>
      </c>
      <c r="AF98" s="9">
        <f t="shared" si="7"/>
        <v>2330.882595084141</v>
      </c>
      <c r="AG98" s="9">
        <f t="shared" si="7"/>
        <v>2330.8825950841415</v>
      </c>
      <c r="AH98" s="9">
        <f t="shared" si="7"/>
        <v>2330.882595084141</v>
      </c>
      <c r="AI98" s="9">
        <f t="shared" si="7"/>
        <v>2330.882595084141</v>
      </c>
      <c r="AJ98" s="9">
        <f t="shared" si="7"/>
        <v>2330.882595084141</v>
      </c>
      <c r="AK98" s="9">
        <f t="shared" si="7"/>
        <v>2330.8825950841415</v>
      </c>
      <c r="AL98" s="9">
        <f t="shared" si="7"/>
        <v>2330.8825950841415</v>
      </c>
      <c r="AM98" s="9">
        <f t="shared" si="7"/>
        <v>2330.8825950841415</v>
      </c>
      <c r="AN98" s="9">
        <f t="shared" si="7"/>
        <v>2264.399882153336</v>
      </c>
      <c r="AO98" s="9">
        <f t="shared" si="7"/>
        <v>336.02488580882545</v>
      </c>
      <c r="AP98" s="9">
        <f t="shared" si="7"/>
        <v>336.02488580882545</v>
      </c>
      <c r="AQ98" s="9">
        <f t="shared" si="7"/>
        <v>270.31847589080439</v>
      </c>
      <c r="AR98" s="9">
        <f t="shared" si="7"/>
        <v>0</v>
      </c>
      <c r="AS98" s="9">
        <f t="shared" si="8"/>
        <v>0</v>
      </c>
      <c r="AT98" s="9">
        <f t="shared" si="8"/>
        <v>0</v>
      </c>
      <c r="AU98" s="9">
        <f t="shared" si="8"/>
        <v>0</v>
      </c>
      <c r="AV98" s="9">
        <f t="shared" si="8"/>
        <v>0</v>
      </c>
      <c r="AW98" s="9">
        <f t="shared" si="8"/>
        <v>0</v>
      </c>
      <c r="AX98" s="9">
        <f t="shared" si="8"/>
        <v>0</v>
      </c>
      <c r="AY98" s="9">
        <f t="shared" si="8"/>
        <v>0</v>
      </c>
      <c r="AZ98" s="9">
        <f t="shared" si="8"/>
        <v>0</v>
      </c>
      <c r="BA98" s="9">
        <f t="shared" si="8"/>
        <v>0</v>
      </c>
      <c r="BB98" s="9">
        <f t="shared" si="8"/>
        <v>0</v>
      </c>
      <c r="BC98" s="9">
        <f t="shared" si="8"/>
        <v>0</v>
      </c>
      <c r="BD98" s="9">
        <f t="shared" si="8"/>
        <v>0</v>
      </c>
      <c r="BE98" s="9">
        <f t="shared" si="8"/>
        <v>0</v>
      </c>
      <c r="BF98" s="9">
        <f t="shared" si="8"/>
        <v>0</v>
      </c>
      <c r="BG98" s="9">
        <f t="shared" si="8"/>
        <v>0</v>
      </c>
      <c r="BH98" s="9">
        <f t="shared" si="8"/>
        <v>0</v>
      </c>
      <c r="BI98" s="9">
        <f t="shared" si="9"/>
        <v>0</v>
      </c>
      <c r="BJ98" s="9">
        <f t="shared" si="9"/>
        <v>0</v>
      </c>
      <c r="BK98" s="9">
        <f t="shared" si="9"/>
        <v>0</v>
      </c>
      <c r="BL98" s="9">
        <f t="shared" si="9"/>
        <v>0</v>
      </c>
      <c r="BM98" s="9">
        <f t="shared" si="9"/>
        <v>0</v>
      </c>
      <c r="BN98" s="9">
        <f t="shared" si="9"/>
        <v>0</v>
      </c>
      <c r="BO98" s="9">
        <f t="shared" si="9"/>
        <v>0</v>
      </c>
    </row>
    <row r="99" spans="1:67">
      <c r="A99" s="84">
        <f t="shared" si="3"/>
        <v>0</v>
      </c>
      <c r="B99">
        <v>5148.8728132011965</v>
      </c>
      <c r="C99" s="9">
        <f t="shared" si="4"/>
        <v>5148.8728132011984</v>
      </c>
      <c r="D99" t="s">
        <v>13</v>
      </c>
      <c r="E99" s="9">
        <f t="shared" si="5"/>
        <v>0</v>
      </c>
      <c r="F99" s="9">
        <f t="shared" si="5"/>
        <v>0</v>
      </c>
      <c r="G99" s="9">
        <f t="shared" si="5"/>
        <v>134.66012289140957</v>
      </c>
      <c r="H99" s="9">
        <f t="shared" si="5"/>
        <v>330.52287710859042</v>
      </c>
      <c r="I99" s="9">
        <f t="shared" si="5"/>
        <v>155.6567584</v>
      </c>
      <c r="J99" s="9">
        <f t="shared" si="5"/>
        <v>148.39913899999999</v>
      </c>
      <c r="K99" s="9">
        <f t="shared" si="5"/>
        <v>200.38778737759998</v>
      </c>
      <c r="L99" s="9">
        <f t="shared" si="5"/>
        <v>197.48400000000001</v>
      </c>
      <c r="M99" s="9">
        <f t="shared" si="5"/>
        <v>146.29188399999995</v>
      </c>
      <c r="N99" s="9">
        <f t="shared" si="5"/>
        <v>122.28700000000029</v>
      </c>
      <c r="O99" s="9">
        <f t="shared" si="5"/>
        <v>139.00377872901106</v>
      </c>
      <c r="P99" s="9">
        <f t="shared" si="5"/>
        <v>139.00377872901097</v>
      </c>
      <c r="Q99" s="9">
        <f t="shared" si="5"/>
        <v>254.46113628452949</v>
      </c>
      <c r="R99" s="9">
        <f t="shared" si="5"/>
        <v>180.57158624700438</v>
      </c>
      <c r="S99" s="9">
        <f t="shared" si="5"/>
        <v>175.63596436170485</v>
      </c>
      <c r="T99" s="9">
        <f t="shared" si="5"/>
        <v>100.8642130423645</v>
      </c>
      <c r="U99" s="9">
        <f t="shared" si="6"/>
        <v>184.94014630786529</v>
      </c>
      <c r="V99" s="9">
        <f t="shared" si="6"/>
        <v>146.79857724942133</v>
      </c>
      <c r="W99" s="9">
        <f t="shared" si="6"/>
        <v>287.40365664668485</v>
      </c>
      <c r="X99" s="9">
        <f t="shared" si="6"/>
        <v>243.72048271883466</v>
      </c>
      <c r="Y99" s="9">
        <f t="shared" si="6"/>
        <v>163.64020801924732</v>
      </c>
      <c r="Z99" s="9">
        <f t="shared" si="6"/>
        <v>88.028422402079968</v>
      </c>
      <c r="AA99" s="9">
        <f t="shared" si="6"/>
        <v>88.028422402079968</v>
      </c>
      <c r="AB99" s="9">
        <f t="shared" si="6"/>
        <v>83.069533302534424</v>
      </c>
      <c r="AC99" s="9">
        <f t="shared" si="7"/>
        <v>83.069533302534424</v>
      </c>
      <c r="AD99" s="9">
        <f t="shared" si="7"/>
        <v>78.479861918523738</v>
      </c>
      <c r="AE99" s="9">
        <f t="shared" si="7"/>
        <v>60.471453704713923</v>
      </c>
      <c r="AF99" s="9">
        <f t="shared" si="7"/>
        <v>62.230781476350749</v>
      </c>
      <c r="AG99" s="9">
        <f t="shared" si="7"/>
        <v>114.75085364860946</v>
      </c>
      <c r="AH99" s="9">
        <f t="shared" si="7"/>
        <v>129.89321133105128</v>
      </c>
      <c r="AI99" s="9">
        <f t="shared" si="7"/>
        <v>129.89321133105128</v>
      </c>
      <c r="AJ99" s="9">
        <f t="shared" si="7"/>
        <v>129.89321133105128</v>
      </c>
      <c r="AK99" s="9">
        <f t="shared" si="7"/>
        <v>114.75085364860946</v>
      </c>
      <c r="AL99" s="9">
        <f t="shared" si="7"/>
        <v>99.608495966167666</v>
      </c>
      <c r="AM99" s="9">
        <f t="shared" si="7"/>
        <v>99.608495966167666</v>
      </c>
      <c r="AN99" s="9">
        <f t="shared" si="7"/>
        <v>74.755428979633805</v>
      </c>
      <c r="AO99" s="9">
        <f t="shared" si="7"/>
        <v>92.926258198564099</v>
      </c>
      <c r="AP99" s="9">
        <f t="shared" si="7"/>
        <v>92.926258198564099</v>
      </c>
      <c r="AQ99" s="9">
        <f t="shared" si="7"/>
        <v>74.755428979633805</v>
      </c>
      <c r="AR99" s="9">
        <f t="shared" si="7"/>
        <v>0</v>
      </c>
      <c r="AS99" s="9">
        <f t="shared" si="8"/>
        <v>0</v>
      </c>
      <c r="AT99" s="9">
        <f t="shared" si="8"/>
        <v>0</v>
      </c>
      <c r="AU99" s="9">
        <f t="shared" si="8"/>
        <v>0</v>
      </c>
      <c r="AV99" s="9">
        <f t="shared" si="8"/>
        <v>0</v>
      </c>
      <c r="AW99" s="9">
        <f t="shared" si="8"/>
        <v>0</v>
      </c>
      <c r="AX99" s="9">
        <f t="shared" si="8"/>
        <v>0</v>
      </c>
      <c r="AY99" s="9">
        <f t="shared" si="8"/>
        <v>0</v>
      </c>
      <c r="AZ99" s="9">
        <f t="shared" si="8"/>
        <v>0</v>
      </c>
      <c r="BA99" s="9">
        <f t="shared" si="8"/>
        <v>0</v>
      </c>
      <c r="BB99" s="9">
        <f t="shared" si="8"/>
        <v>0</v>
      </c>
      <c r="BC99" s="9">
        <f t="shared" si="8"/>
        <v>0</v>
      </c>
      <c r="BD99" s="9">
        <f t="shared" si="8"/>
        <v>0</v>
      </c>
      <c r="BE99" s="9">
        <f t="shared" si="8"/>
        <v>0</v>
      </c>
      <c r="BF99" s="9">
        <f t="shared" si="8"/>
        <v>0</v>
      </c>
      <c r="BG99" s="9">
        <f t="shared" si="8"/>
        <v>0</v>
      </c>
      <c r="BH99" s="9">
        <f t="shared" si="8"/>
        <v>0</v>
      </c>
      <c r="BI99" s="9">
        <f t="shared" si="9"/>
        <v>0</v>
      </c>
      <c r="BJ99" s="9">
        <f t="shared" si="9"/>
        <v>0</v>
      </c>
      <c r="BK99" s="9">
        <f t="shared" si="9"/>
        <v>0</v>
      </c>
      <c r="BL99" s="9">
        <f t="shared" si="9"/>
        <v>0</v>
      </c>
      <c r="BM99" s="9">
        <f t="shared" si="9"/>
        <v>0</v>
      </c>
      <c r="BN99" s="9">
        <f t="shared" si="9"/>
        <v>0</v>
      </c>
      <c r="BO99" s="9">
        <f t="shared" si="9"/>
        <v>0</v>
      </c>
    </row>
    <row r="100" spans="1:67">
      <c r="A100" s="84">
        <f t="shared" si="3"/>
        <v>0</v>
      </c>
      <c r="B100">
        <v>320068.84130219778</v>
      </c>
      <c r="C100" s="9">
        <f t="shared" si="4"/>
        <v>320068.84130219772</v>
      </c>
      <c r="D100" t="s">
        <v>14</v>
      </c>
      <c r="E100" s="9">
        <f t="shared" si="5"/>
        <v>0</v>
      </c>
      <c r="F100" s="9">
        <f t="shared" si="5"/>
        <v>0</v>
      </c>
      <c r="G100" s="9">
        <f t="shared" si="5"/>
        <v>9522</v>
      </c>
      <c r="H100" s="9">
        <f t="shared" si="5"/>
        <v>11805</v>
      </c>
      <c r="I100" s="9">
        <f t="shared" si="5"/>
        <v>9743</v>
      </c>
      <c r="J100" s="9">
        <f t="shared" si="5"/>
        <v>3583</v>
      </c>
      <c r="K100" s="9">
        <f t="shared" si="5"/>
        <v>0</v>
      </c>
      <c r="L100" s="9">
        <f t="shared" si="5"/>
        <v>1180</v>
      </c>
      <c r="M100" s="9">
        <f t="shared" si="5"/>
        <v>4504</v>
      </c>
      <c r="N100" s="9">
        <f t="shared" si="5"/>
        <v>2196</v>
      </c>
      <c r="O100" s="9">
        <f t="shared" si="5"/>
        <v>11330.392253395146</v>
      </c>
      <c r="P100" s="9">
        <f t="shared" si="5"/>
        <v>11330.392253395146</v>
      </c>
      <c r="Q100" s="9">
        <f t="shared" si="5"/>
        <v>24688.720971211638</v>
      </c>
      <c r="R100" s="9">
        <f t="shared" si="5"/>
        <v>16139.75606234314</v>
      </c>
      <c r="S100" s="9">
        <f t="shared" si="5"/>
        <v>15568.708352897876</v>
      </c>
      <c r="T100" s="9">
        <f t="shared" si="5"/>
        <v>8039.8043242845106</v>
      </c>
      <c r="U100" s="9">
        <f t="shared" si="6"/>
        <v>17767.326048291576</v>
      </c>
      <c r="V100" s="9">
        <f t="shared" si="6"/>
        <v>38969.099747418724</v>
      </c>
      <c r="W100" s="9">
        <f t="shared" si="6"/>
        <v>29622.276496375151</v>
      </c>
      <c r="X100" s="9">
        <f t="shared" si="6"/>
        <v>24568.166397889854</v>
      </c>
      <c r="Y100" s="9">
        <f t="shared" si="6"/>
        <v>24568.166397889854</v>
      </c>
      <c r="Z100" s="9">
        <f t="shared" si="6"/>
        <v>3366.3926987627096</v>
      </c>
      <c r="AA100" s="9">
        <f t="shared" si="6"/>
        <v>3366.3926987627096</v>
      </c>
      <c r="AB100" s="9">
        <f t="shared" si="6"/>
        <v>3366.3926987627187</v>
      </c>
      <c r="AC100" s="9">
        <f t="shared" si="7"/>
        <v>3366.3926987627187</v>
      </c>
      <c r="AD100" s="9">
        <f t="shared" si="7"/>
        <v>3366.3926987627169</v>
      </c>
      <c r="AE100" s="9">
        <f t="shared" si="7"/>
        <v>3366.3926987627174</v>
      </c>
      <c r="AF100" s="9">
        <f t="shared" si="7"/>
        <v>3366.3926987627174</v>
      </c>
      <c r="AG100" s="9">
        <f t="shared" si="7"/>
        <v>3366.3926987627169</v>
      </c>
      <c r="AH100" s="9">
        <f t="shared" si="7"/>
        <v>3366.3926987627183</v>
      </c>
      <c r="AI100" s="9">
        <f t="shared" si="7"/>
        <v>3366.3926987627183</v>
      </c>
      <c r="AJ100" s="9">
        <f t="shared" si="7"/>
        <v>3366.3926987627183</v>
      </c>
      <c r="AK100" s="9">
        <f t="shared" si="7"/>
        <v>3366.3926987627169</v>
      </c>
      <c r="AL100" s="9">
        <f t="shared" si="7"/>
        <v>3366.3926987627165</v>
      </c>
      <c r="AM100" s="9">
        <f t="shared" si="7"/>
        <v>3366.3926987627165</v>
      </c>
      <c r="AN100" s="9">
        <f t="shared" si="7"/>
        <v>2729.6623517167295</v>
      </c>
      <c r="AO100" s="9">
        <f t="shared" si="7"/>
        <v>1812.7812206638164</v>
      </c>
      <c r="AP100" s="9">
        <f t="shared" si="7"/>
        <v>1812.7812206638164</v>
      </c>
      <c r="AQ100" s="9">
        <f t="shared" si="7"/>
        <v>1458.3094210828972</v>
      </c>
      <c r="AR100" s="9">
        <f t="shared" si="7"/>
        <v>0</v>
      </c>
      <c r="AS100" s="9">
        <f t="shared" si="8"/>
        <v>0</v>
      </c>
      <c r="AT100" s="9">
        <f t="shared" si="8"/>
        <v>0</v>
      </c>
      <c r="AU100" s="9">
        <f t="shared" si="8"/>
        <v>0</v>
      </c>
      <c r="AV100" s="9">
        <f t="shared" si="8"/>
        <v>0</v>
      </c>
      <c r="AW100" s="9">
        <f t="shared" si="8"/>
        <v>0</v>
      </c>
      <c r="AX100" s="9">
        <f t="shared" si="8"/>
        <v>0</v>
      </c>
      <c r="AY100" s="9">
        <f t="shared" si="8"/>
        <v>0</v>
      </c>
      <c r="AZ100" s="9">
        <f t="shared" si="8"/>
        <v>0</v>
      </c>
      <c r="BA100" s="9">
        <f t="shared" si="8"/>
        <v>0</v>
      </c>
      <c r="BB100" s="9">
        <f t="shared" si="8"/>
        <v>0</v>
      </c>
      <c r="BC100" s="9">
        <f t="shared" si="8"/>
        <v>0</v>
      </c>
      <c r="BD100" s="9">
        <f t="shared" si="8"/>
        <v>0</v>
      </c>
      <c r="BE100" s="9">
        <f t="shared" si="8"/>
        <v>0</v>
      </c>
      <c r="BF100" s="9">
        <f t="shared" si="8"/>
        <v>0</v>
      </c>
      <c r="BG100" s="9">
        <f t="shared" si="8"/>
        <v>0</v>
      </c>
      <c r="BH100" s="9">
        <f t="shared" si="8"/>
        <v>0</v>
      </c>
      <c r="BI100" s="9">
        <f t="shared" si="9"/>
        <v>0</v>
      </c>
      <c r="BJ100" s="9">
        <f t="shared" si="9"/>
        <v>0</v>
      </c>
      <c r="BK100" s="9">
        <f t="shared" si="9"/>
        <v>0</v>
      </c>
      <c r="BL100" s="9">
        <f t="shared" si="9"/>
        <v>0</v>
      </c>
      <c r="BM100" s="9">
        <f t="shared" si="9"/>
        <v>0</v>
      </c>
      <c r="BN100" s="9">
        <f t="shared" si="9"/>
        <v>0</v>
      </c>
      <c r="BO100" s="9">
        <f t="shared" si="9"/>
        <v>0</v>
      </c>
    </row>
    <row r="101" spans="1:67">
      <c r="A101" s="84">
        <f t="shared" si="3"/>
        <v>0</v>
      </c>
      <c r="B101">
        <v>164083.76978177985</v>
      </c>
      <c r="C101" s="9">
        <f t="shared" si="4"/>
        <v>164083.76978177988</v>
      </c>
      <c r="D101" t="s">
        <v>15</v>
      </c>
      <c r="E101" s="9">
        <f t="shared" si="5"/>
        <v>0</v>
      </c>
      <c r="F101" s="9">
        <f t="shared" si="5"/>
        <v>0</v>
      </c>
      <c r="G101" s="9">
        <f t="shared" si="5"/>
        <v>3337.1407663000214</v>
      </c>
      <c r="H101" s="9">
        <f t="shared" si="5"/>
        <v>8191.0022336999782</v>
      </c>
      <c r="I101" s="9">
        <f t="shared" si="5"/>
        <v>1615</v>
      </c>
      <c r="J101" s="9">
        <f t="shared" si="5"/>
        <v>1398</v>
      </c>
      <c r="K101" s="9">
        <f t="shared" si="5"/>
        <v>806</v>
      </c>
      <c r="L101" s="9">
        <f t="shared" si="5"/>
        <v>0</v>
      </c>
      <c r="M101" s="9">
        <f t="shared" si="5"/>
        <v>184</v>
      </c>
      <c r="N101" s="9">
        <f t="shared" si="5"/>
        <v>24</v>
      </c>
      <c r="O101" s="9">
        <f t="shared" si="5"/>
        <v>5120.2829500005555</v>
      </c>
      <c r="P101" s="9">
        <f t="shared" si="5"/>
        <v>5120.2829500005546</v>
      </c>
      <c r="Q101" s="9">
        <f t="shared" si="5"/>
        <v>8911.6259746241431</v>
      </c>
      <c r="R101" s="9">
        <f t="shared" si="5"/>
        <v>6485.2701662241498</v>
      </c>
      <c r="S101" s="9">
        <f t="shared" si="5"/>
        <v>6323.1961676224419</v>
      </c>
      <c r="T101" s="9">
        <f t="shared" si="5"/>
        <v>5138.6057493803273</v>
      </c>
      <c r="U101" s="9">
        <f t="shared" si="6"/>
        <v>7899.4579797944589</v>
      </c>
      <c r="V101" s="9">
        <f t="shared" si="6"/>
        <v>13916.917088778942</v>
      </c>
      <c r="W101" s="9">
        <f t="shared" si="6"/>
        <v>11264.114190765951</v>
      </c>
      <c r="X101" s="9">
        <f t="shared" si="6"/>
        <v>9829.6634093583179</v>
      </c>
      <c r="Y101" s="9">
        <f t="shared" si="6"/>
        <v>9829.6634093583179</v>
      </c>
      <c r="Z101" s="9">
        <f t="shared" si="6"/>
        <v>3812.2043003738322</v>
      </c>
      <c r="AA101" s="9">
        <f t="shared" si="6"/>
        <v>3812.2043003738322</v>
      </c>
      <c r="AB101" s="9">
        <f t="shared" si="6"/>
        <v>3812.2043003738327</v>
      </c>
      <c r="AC101" s="9">
        <f t="shared" si="7"/>
        <v>3812.2043003738327</v>
      </c>
      <c r="AD101" s="9">
        <f t="shared" si="7"/>
        <v>3812.2043003738327</v>
      </c>
      <c r="AE101" s="9">
        <f t="shared" si="7"/>
        <v>3812.2043003738318</v>
      </c>
      <c r="AF101" s="9">
        <f t="shared" si="7"/>
        <v>3812.2043003738322</v>
      </c>
      <c r="AG101" s="9">
        <f t="shared" si="7"/>
        <v>3812.2043003738318</v>
      </c>
      <c r="AH101" s="9">
        <f t="shared" si="7"/>
        <v>3812.2043003738327</v>
      </c>
      <c r="AI101" s="9">
        <f t="shared" si="7"/>
        <v>3812.2043003738327</v>
      </c>
      <c r="AJ101" s="9">
        <f t="shared" si="7"/>
        <v>3812.2043003738327</v>
      </c>
      <c r="AK101" s="9">
        <f t="shared" si="7"/>
        <v>3812.2043003738318</v>
      </c>
      <c r="AL101" s="9">
        <f t="shared" si="7"/>
        <v>3812.2043003738331</v>
      </c>
      <c r="AM101" s="9">
        <f t="shared" si="7"/>
        <v>3812.2043003738331</v>
      </c>
      <c r="AN101" s="9">
        <f t="shared" si="7"/>
        <v>3755.5047280218464</v>
      </c>
      <c r="AO101" s="9">
        <f t="shared" si="7"/>
        <v>557.39143532432672</v>
      </c>
      <c r="AP101" s="9">
        <f t="shared" si="7"/>
        <v>557.39143532432672</v>
      </c>
      <c r="AQ101" s="9">
        <f t="shared" si="7"/>
        <v>448.39894196759678</v>
      </c>
      <c r="AR101" s="9">
        <f t="shared" si="7"/>
        <v>0</v>
      </c>
      <c r="AS101" s="9">
        <f t="shared" si="8"/>
        <v>0</v>
      </c>
      <c r="AT101" s="9">
        <f t="shared" si="8"/>
        <v>0</v>
      </c>
      <c r="AU101" s="9">
        <f t="shared" si="8"/>
        <v>0</v>
      </c>
      <c r="AV101" s="9">
        <f t="shared" si="8"/>
        <v>0</v>
      </c>
      <c r="AW101" s="9">
        <f t="shared" si="8"/>
        <v>0</v>
      </c>
      <c r="AX101" s="9">
        <f t="shared" si="8"/>
        <v>0</v>
      </c>
      <c r="AY101" s="9">
        <f t="shared" si="8"/>
        <v>0</v>
      </c>
      <c r="AZ101" s="9">
        <f t="shared" si="8"/>
        <v>0</v>
      </c>
      <c r="BA101" s="9">
        <f t="shared" si="8"/>
        <v>0</v>
      </c>
      <c r="BB101" s="9">
        <f t="shared" si="8"/>
        <v>0</v>
      </c>
      <c r="BC101" s="9">
        <f t="shared" si="8"/>
        <v>0</v>
      </c>
      <c r="BD101" s="9">
        <f t="shared" si="8"/>
        <v>0</v>
      </c>
      <c r="BE101" s="9">
        <f t="shared" si="8"/>
        <v>0</v>
      </c>
      <c r="BF101" s="9">
        <f t="shared" si="8"/>
        <v>0</v>
      </c>
      <c r="BG101" s="9">
        <f t="shared" si="8"/>
        <v>0</v>
      </c>
      <c r="BH101" s="9">
        <f t="shared" si="8"/>
        <v>0</v>
      </c>
      <c r="BI101" s="9">
        <f t="shared" si="9"/>
        <v>0</v>
      </c>
      <c r="BJ101" s="9">
        <f t="shared" si="9"/>
        <v>0</v>
      </c>
      <c r="BK101" s="9">
        <f t="shared" si="9"/>
        <v>0</v>
      </c>
      <c r="BL101" s="9">
        <f t="shared" si="9"/>
        <v>0</v>
      </c>
      <c r="BM101" s="9">
        <f t="shared" si="9"/>
        <v>0</v>
      </c>
      <c r="BN101" s="9">
        <f t="shared" si="9"/>
        <v>0</v>
      </c>
      <c r="BO101" s="9">
        <f t="shared" si="9"/>
        <v>0</v>
      </c>
    </row>
    <row r="102" spans="1:67">
      <c r="A102" s="84">
        <f t="shared" si="3"/>
        <v>0</v>
      </c>
      <c r="B102">
        <v>2029116.0732</v>
      </c>
      <c r="C102" s="9">
        <f t="shared" si="4"/>
        <v>2029116.0732000005</v>
      </c>
      <c r="D102" t="s">
        <v>16</v>
      </c>
      <c r="E102" s="9">
        <f t="shared" si="5"/>
        <v>0</v>
      </c>
      <c r="F102" s="9">
        <f t="shared" si="5"/>
        <v>0</v>
      </c>
      <c r="G102" s="9">
        <f t="shared" si="5"/>
        <v>4394.0691485833531</v>
      </c>
      <c r="H102" s="9">
        <f t="shared" si="5"/>
        <v>10785.229851416645</v>
      </c>
      <c r="I102" s="9">
        <f t="shared" si="5"/>
        <v>1124.54</v>
      </c>
      <c r="J102" s="9">
        <f t="shared" si="5"/>
        <v>6547.55</v>
      </c>
      <c r="K102" s="9">
        <f t="shared" si="5"/>
        <v>6493.8630000000003</v>
      </c>
      <c r="L102" s="9">
        <f t="shared" si="5"/>
        <v>17431.623999999971</v>
      </c>
      <c r="M102" s="9">
        <f t="shared" si="5"/>
        <v>25013.711000000028</v>
      </c>
      <c r="N102" s="9">
        <f t="shared" si="5"/>
        <v>20784.770999999997</v>
      </c>
      <c r="O102" s="9">
        <f t="shared" si="5"/>
        <v>42482.404615392479</v>
      </c>
      <c r="P102" s="9">
        <f t="shared" si="5"/>
        <v>59337.893931749568</v>
      </c>
      <c r="Q102" s="9">
        <f t="shared" si="5"/>
        <v>52043.768302505705</v>
      </c>
      <c r="R102" s="9">
        <f t="shared" si="5"/>
        <v>49459.981879919804</v>
      </c>
      <c r="S102" s="9">
        <f t="shared" si="5"/>
        <v>69635.23634105816</v>
      </c>
      <c r="T102" s="9">
        <f t="shared" si="5"/>
        <v>59003.772155307539</v>
      </c>
      <c r="U102" s="9">
        <f t="shared" si="6"/>
        <v>57272.835591268253</v>
      </c>
      <c r="V102" s="9">
        <f t="shared" si="6"/>
        <v>59615.46725469036</v>
      </c>
      <c r="W102" s="9">
        <f t="shared" si="6"/>
        <v>51164.682800954746</v>
      </c>
      <c r="X102" s="9">
        <f t="shared" si="6"/>
        <v>51198.828828755832</v>
      </c>
      <c r="Y102" s="9">
        <f t="shared" si="6"/>
        <v>59448.325383005242</v>
      </c>
      <c r="Z102" s="9">
        <f t="shared" si="6"/>
        <v>67644.95373229192</v>
      </c>
      <c r="AA102" s="9">
        <f t="shared" si="6"/>
        <v>73175.918377326831</v>
      </c>
      <c r="AB102" s="9">
        <f t="shared" si="6"/>
        <v>73175.918377326831</v>
      </c>
      <c r="AC102" s="9">
        <f t="shared" si="7"/>
        <v>63002.582647379277</v>
      </c>
      <c r="AD102" s="9">
        <f t="shared" si="7"/>
        <v>67045.326168866668</v>
      </c>
      <c r="AE102" s="9">
        <f t="shared" si="7"/>
        <v>67045.326168866668</v>
      </c>
      <c r="AF102" s="9">
        <f t="shared" si="7"/>
        <v>65530.385501121469</v>
      </c>
      <c r="AG102" s="9">
        <f t="shared" si="7"/>
        <v>65692.162468254188</v>
      </c>
      <c r="AH102" s="9">
        <f t="shared" si="7"/>
        <v>62385.913563622853</v>
      </c>
      <c r="AI102" s="9">
        <f t="shared" si="7"/>
        <v>62316.053828121789</v>
      </c>
      <c r="AJ102" s="9">
        <f t="shared" si="7"/>
        <v>75245.049886117282</v>
      </c>
      <c r="AK102" s="9">
        <f t="shared" si="7"/>
        <v>77133.110367384899</v>
      </c>
      <c r="AL102" s="9">
        <f t="shared" si="7"/>
        <v>74412.445893613869</v>
      </c>
      <c r="AM102" s="9">
        <f t="shared" si="7"/>
        <v>74412.445893613869</v>
      </c>
      <c r="AN102" s="9">
        <f t="shared" si="7"/>
        <v>74216.635875611624</v>
      </c>
      <c r="AO102" s="9">
        <f t="shared" si="7"/>
        <v>71511.368257991911</v>
      </c>
      <c r="AP102" s="9">
        <f t="shared" si="7"/>
        <v>69268.846153428909</v>
      </c>
      <c r="AQ102" s="9">
        <f t="shared" si="7"/>
        <v>48666.68786080322</v>
      </c>
      <c r="AR102" s="9">
        <f t="shared" si="7"/>
        <v>34577.739650772972</v>
      </c>
      <c r="AS102" s="9">
        <f t="shared" si="8"/>
        <v>24120.529884412772</v>
      </c>
      <c r="AT102" s="9">
        <f t="shared" si="8"/>
        <v>12725.501609059571</v>
      </c>
      <c r="AU102" s="9">
        <f t="shared" si="8"/>
        <v>12725.501609059571</v>
      </c>
      <c r="AV102" s="9">
        <f t="shared" si="8"/>
        <v>9847.1143403437145</v>
      </c>
      <c r="AW102" s="9">
        <f t="shared" si="8"/>
        <v>0</v>
      </c>
      <c r="AX102" s="9">
        <f t="shared" si="8"/>
        <v>0</v>
      </c>
      <c r="AY102" s="9">
        <f t="shared" si="8"/>
        <v>0</v>
      </c>
      <c r="AZ102" s="9">
        <f t="shared" si="8"/>
        <v>0</v>
      </c>
      <c r="BA102" s="9">
        <f t="shared" si="8"/>
        <v>0</v>
      </c>
      <c r="BB102" s="9">
        <f t="shared" si="8"/>
        <v>0</v>
      </c>
      <c r="BC102" s="9">
        <f t="shared" si="8"/>
        <v>0</v>
      </c>
      <c r="BD102" s="9">
        <f t="shared" si="8"/>
        <v>0</v>
      </c>
      <c r="BE102" s="9">
        <f t="shared" si="8"/>
        <v>0</v>
      </c>
      <c r="BF102" s="9">
        <f t="shared" si="8"/>
        <v>0</v>
      </c>
      <c r="BG102" s="9">
        <f t="shared" si="8"/>
        <v>0</v>
      </c>
      <c r="BH102" s="9">
        <f t="shared" si="8"/>
        <v>0</v>
      </c>
      <c r="BI102" s="9">
        <f t="shared" si="9"/>
        <v>0</v>
      </c>
      <c r="BJ102" s="9">
        <f t="shared" si="9"/>
        <v>0</v>
      </c>
      <c r="BK102" s="9">
        <f t="shared" si="9"/>
        <v>0</v>
      </c>
      <c r="BL102" s="9">
        <f t="shared" si="9"/>
        <v>0</v>
      </c>
      <c r="BM102" s="9">
        <f t="shared" si="9"/>
        <v>0</v>
      </c>
      <c r="BN102" s="9">
        <f t="shared" si="9"/>
        <v>0</v>
      </c>
      <c r="BO102" s="9">
        <f t="shared" si="9"/>
        <v>0</v>
      </c>
    </row>
    <row r="103" spans="1:67">
      <c r="A103" s="84">
        <f t="shared" si="3"/>
        <v>0</v>
      </c>
      <c r="B103">
        <v>29954.494999999999</v>
      </c>
      <c r="C103" s="9">
        <f t="shared" si="4"/>
        <v>29954.494999999988</v>
      </c>
      <c r="D103" t="s">
        <v>17</v>
      </c>
      <c r="E103" s="9">
        <f t="shared" si="5"/>
        <v>0</v>
      </c>
      <c r="F103" s="9">
        <f t="shared" si="5"/>
        <v>0</v>
      </c>
      <c r="G103" s="9">
        <f t="shared" si="5"/>
        <v>35.462369054262766</v>
      </c>
      <c r="H103" s="9">
        <f t="shared" si="5"/>
        <v>87.042280945737232</v>
      </c>
      <c r="I103" s="9">
        <f t="shared" si="5"/>
        <v>9.6999999999999993</v>
      </c>
      <c r="J103" s="9">
        <f t="shared" si="5"/>
        <v>56.86</v>
      </c>
      <c r="K103" s="9">
        <f t="shared" si="5"/>
        <v>45.959000000000003</v>
      </c>
      <c r="L103" s="9">
        <f t="shared" si="5"/>
        <v>207.60599999999994</v>
      </c>
      <c r="M103" s="9">
        <f t="shared" si="5"/>
        <v>268.28899999999999</v>
      </c>
      <c r="N103" s="9">
        <f t="shared" si="5"/>
        <v>243.09700000000004</v>
      </c>
      <c r="O103" s="9">
        <f t="shared" si="5"/>
        <v>329.51616120441122</v>
      </c>
      <c r="P103" s="9">
        <f t="shared" si="5"/>
        <v>294.28425921281462</v>
      </c>
      <c r="Q103" s="9">
        <f t="shared" si="5"/>
        <v>296.2992082206228</v>
      </c>
      <c r="R103" s="9">
        <f t="shared" si="5"/>
        <v>408.10924221910375</v>
      </c>
      <c r="S103" s="9">
        <f t="shared" si="5"/>
        <v>832.99462160466453</v>
      </c>
      <c r="T103" s="9">
        <f t="shared" si="5"/>
        <v>754.98457680962167</v>
      </c>
      <c r="U103" s="9">
        <f t="shared" si="6"/>
        <v>762.44220417185375</v>
      </c>
      <c r="V103" s="9">
        <f t="shared" si="6"/>
        <v>766.01090946104478</v>
      </c>
      <c r="W103" s="9">
        <f t="shared" si="6"/>
        <v>738.91533329807874</v>
      </c>
      <c r="X103" s="9">
        <f t="shared" si="6"/>
        <v>851.72126163375151</v>
      </c>
      <c r="Y103" s="9">
        <f t="shared" si="6"/>
        <v>995.11494162418455</v>
      </c>
      <c r="Z103" s="9">
        <f t="shared" si="6"/>
        <v>1140.5698912892717</v>
      </c>
      <c r="AA103" s="9">
        <f t="shared" si="6"/>
        <v>1277.9146963722071</v>
      </c>
      <c r="AB103" s="9">
        <f t="shared" si="6"/>
        <v>1277.9146963722071</v>
      </c>
      <c r="AC103" s="9">
        <f t="shared" si="7"/>
        <v>955.89241348668997</v>
      </c>
      <c r="AD103" s="9">
        <f t="shared" si="7"/>
        <v>958.76932968624419</v>
      </c>
      <c r="AE103" s="9">
        <f t="shared" si="7"/>
        <v>958.76932968624419</v>
      </c>
      <c r="AF103" s="9">
        <f t="shared" si="7"/>
        <v>925.66012260142406</v>
      </c>
      <c r="AG103" s="9">
        <f t="shared" si="7"/>
        <v>1002.4114536234731</v>
      </c>
      <c r="AH103" s="9">
        <f t="shared" si="7"/>
        <v>1054.0106625480573</v>
      </c>
      <c r="AI103" s="9">
        <f t="shared" si="7"/>
        <v>1047.7050100308697</v>
      </c>
      <c r="AJ103" s="9">
        <f t="shared" si="7"/>
        <v>1204.2165014779312</v>
      </c>
      <c r="AK103" s="9">
        <f t="shared" si="7"/>
        <v>1287.1123696542252</v>
      </c>
      <c r="AL103" s="9">
        <f t="shared" si="7"/>
        <v>1196.3701833025989</v>
      </c>
      <c r="AM103" s="9">
        <f t="shared" si="7"/>
        <v>1196.3701833025989</v>
      </c>
      <c r="AN103" s="9">
        <f t="shared" si="7"/>
        <v>1167.4902544950373</v>
      </c>
      <c r="AO103" s="9">
        <f t="shared" si="7"/>
        <v>1297.2042332005774</v>
      </c>
      <c r="AP103" s="9">
        <f t="shared" si="7"/>
        <v>1290.0144601292386</v>
      </c>
      <c r="AQ103" s="9">
        <f t="shared" si="7"/>
        <v>916.01334024520247</v>
      </c>
      <c r="AR103" s="9">
        <f t="shared" si="7"/>
        <v>608.09771435637765</v>
      </c>
      <c r="AS103" s="9">
        <f t="shared" si="8"/>
        <v>436.13525960306686</v>
      </c>
      <c r="AT103" s="9">
        <f t="shared" si="8"/>
        <v>278.11733951248681</v>
      </c>
      <c r="AU103" s="9">
        <f t="shared" si="8"/>
        <v>278.11733951248681</v>
      </c>
      <c r="AV103" s="9">
        <f t="shared" si="8"/>
        <v>215.20984605132909</v>
      </c>
      <c r="AW103" s="9">
        <f t="shared" si="8"/>
        <v>0</v>
      </c>
      <c r="AX103" s="9">
        <f t="shared" si="8"/>
        <v>0</v>
      </c>
      <c r="AY103" s="9">
        <f t="shared" si="8"/>
        <v>0</v>
      </c>
      <c r="AZ103" s="9">
        <f t="shared" si="8"/>
        <v>0</v>
      </c>
      <c r="BA103" s="9">
        <f t="shared" si="8"/>
        <v>0</v>
      </c>
      <c r="BB103" s="9">
        <f t="shared" si="8"/>
        <v>0</v>
      </c>
      <c r="BC103" s="9">
        <f t="shared" si="8"/>
        <v>0</v>
      </c>
      <c r="BD103" s="9">
        <f t="shared" si="8"/>
        <v>0</v>
      </c>
      <c r="BE103" s="9">
        <f t="shared" si="8"/>
        <v>0</v>
      </c>
      <c r="BF103" s="9">
        <f t="shared" si="8"/>
        <v>0</v>
      </c>
      <c r="BG103" s="9">
        <f t="shared" si="8"/>
        <v>0</v>
      </c>
      <c r="BH103" s="9">
        <f t="shared" si="8"/>
        <v>0</v>
      </c>
      <c r="BI103" s="9">
        <f t="shared" si="9"/>
        <v>0</v>
      </c>
      <c r="BJ103" s="9">
        <f t="shared" si="9"/>
        <v>0</v>
      </c>
      <c r="BK103" s="9">
        <f t="shared" si="9"/>
        <v>0</v>
      </c>
      <c r="BL103" s="9">
        <f t="shared" si="9"/>
        <v>0</v>
      </c>
      <c r="BM103" s="9">
        <f t="shared" si="9"/>
        <v>0</v>
      </c>
      <c r="BN103" s="9">
        <f t="shared" si="9"/>
        <v>0</v>
      </c>
      <c r="BO103" s="9">
        <f t="shared" si="9"/>
        <v>0</v>
      </c>
    </row>
    <row r="104" spans="1:67">
      <c r="A104" s="84">
        <f t="shared" si="3"/>
        <v>0</v>
      </c>
      <c r="B104">
        <v>2599958.0000000009</v>
      </c>
      <c r="C104" s="9">
        <f t="shared" si="4"/>
        <v>2599957.9999999991</v>
      </c>
      <c r="D104" t="s">
        <v>18</v>
      </c>
      <c r="E104" s="9">
        <f t="shared" si="5"/>
        <v>0</v>
      </c>
      <c r="F104" s="9">
        <f t="shared" si="5"/>
        <v>0</v>
      </c>
      <c r="G104" s="9">
        <f t="shared" si="5"/>
        <v>0</v>
      </c>
      <c r="H104" s="9">
        <f t="shared" si="5"/>
        <v>0</v>
      </c>
      <c r="I104" s="9">
        <f t="shared" si="5"/>
        <v>2177.1750000380562</v>
      </c>
      <c r="J104" s="9">
        <f t="shared" si="5"/>
        <v>2562.96562512844</v>
      </c>
      <c r="K104" s="9">
        <f t="shared" si="5"/>
        <v>3726</v>
      </c>
      <c r="L104" s="9">
        <f t="shared" si="5"/>
        <v>14862</v>
      </c>
      <c r="M104" s="9">
        <f t="shared" si="5"/>
        <v>26925</v>
      </c>
      <c r="N104" s="9">
        <f t="shared" si="5"/>
        <v>29088</v>
      </c>
      <c r="O104" s="9">
        <f t="shared" si="5"/>
        <v>21475.245368529231</v>
      </c>
      <c r="P104" s="9">
        <f t="shared" si="5"/>
        <v>13782.6201618919</v>
      </c>
      <c r="Q104" s="9">
        <f t="shared" si="5"/>
        <v>13782.620161891895</v>
      </c>
      <c r="R104" s="9">
        <f t="shared" si="5"/>
        <v>27244.714273507238</v>
      </c>
      <c r="S104" s="9">
        <f t="shared" si="5"/>
        <v>67630.996608353234</v>
      </c>
      <c r="T104" s="9">
        <f t="shared" si="5"/>
        <v>60899.949552545571</v>
      </c>
      <c r="U104" s="9">
        <f t="shared" si="6"/>
        <v>60899.949552545571</v>
      </c>
      <c r="V104" s="9">
        <f t="shared" si="6"/>
        <v>60899.949552545571</v>
      </c>
      <c r="W104" s="9">
        <f t="shared" si="6"/>
        <v>60899.949552545571</v>
      </c>
      <c r="X104" s="9">
        <f t="shared" si="6"/>
        <v>74362.043664160912</v>
      </c>
      <c r="Y104" s="9">
        <f t="shared" si="6"/>
        <v>87824.137775776224</v>
      </c>
      <c r="Z104" s="9">
        <f t="shared" si="6"/>
        <v>101286.23188739158</v>
      </c>
      <c r="AA104" s="9">
        <f t="shared" si="6"/>
        <v>114107.27389845382</v>
      </c>
      <c r="AB104" s="9">
        <f t="shared" si="6"/>
        <v>114107.27389845382</v>
      </c>
      <c r="AC104" s="9">
        <f t="shared" si="7"/>
        <v>82054.668870798239</v>
      </c>
      <c r="AD104" s="9">
        <f t="shared" si="7"/>
        <v>80772.564669692016</v>
      </c>
      <c r="AE104" s="9">
        <f t="shared" si="7"/>
        <v>80772.564669692016</v>
      </c>
      <c r="AF104" s="9">
        <f t="shared" si="7"/>
        <v>77567.304166926464</v>
      </c>
      <c r="AG104" s="9">
        <f t="shared" si="7"/>
        <v>87183.085675223134</v>
      </c>
      <c r="AH104" s="9">
        <f t="shared" si="7"/>
        <v>94234.658781307371</v>
      </c>
      <c r="AI104" s="9">
        <f t="shared" si="7"/>
        <v>94234.658781307357</v>
      </c>
      <c r="AJ104" s="9">
        <f t="shared" si="7"/>
        <v>107696.75289292268</v>
      </c>
      <c r="AK104" s="9">
        <f t="shared" si="7"/>
        <v>116671.48230066623</v>
      </c>
      <c r="AL104" s="9">
        <f t="shared" si="7"/>
        <v>107696.75289292268</v>
      </c>
      <c r="AM104" s="9">
        <f t="shared" si="7"/>
        <v>107696.75289292268</v>
      </c>
      <c r="AN104" s="9">
        <f t="shared" si="7"/>
        <v>104491.49239015715</v>
      </c>
      <c r="AO104" s="9">
        <f t="shared" si="7"/>
        <v>121158.84700453802</v>
      </c>
      <c r="AP104" s="9">
        <f t="shared" si="7"/>
        <v>121158.84700453802</v>
      </c>
      <c r="AQ104" s="9">
        <f t="shared" si="7"/>
        <v>86221.507524393455</v>
      </c>
      <c r="AR104" s="9">
        <f t="shared" si="7"/>
        <v>56412.584848673789</v>
      </c>
      <c r="AS104" s="9">
        <f t="shared" si="8"/>
        <v>40706.80838512256</v>
      </c>
      <c r="AT104" s="9">
        <f t="shared" si="8"/>
        <v>26924.188223230667</v>
      </c>
      <c r="AU104" s="9">
        <f t="shared" si="8"/>
        <v>26924.188223230667</v>
      </c>
      <c r="AV104" s="9">
        <f t="shared" si="8"/>
        <v>20834.193267976119</v>
      </c>
      <c r="AW104" s="9">
        <f t="shared" si="8"/>
        <v>0</v>
      </c>
      <c r="AX104" s="9">
        <f t="shared" si="8"/>
        <v>0</v>
      </c>
      <c r="AY104" s="9">
        <f t="shared" si="8"/>
        <v>0</v>
      </c>
      <c r="AZ104" s="9">
        <f t="shared" si="8"/>
        <v>0</v>
      </c>
      <c r="BA104" s="9">
        <f t="shared" si="8"/>
        <v>0</v>
      </c>
      <c r="BB104" s="9">
        <f t="shared" si="8"/>
        <v>0</v>
      </c>
      <c r="BC104" s="9">
        <f t="shared" si="8"/>
        <v>0</v>
      </c>
      <c r="BD104" s="9">
        <f t="shared" si="8"/>
        <v>0</v>
      </c>
      <c r="BE104" s="9">
        <f t="shared" si="8"/>
        <v>0</v>
      </c>
      <c r="BF104" s="9">
        <f t="shared" si="8"/>
        <v>0</v>
      </c>
      <c r="BG104" s="9">
        <f t="shared" si="8"/>
        <v>0</v>
      </c>
      <c r="BH104" s="9">
        <f t="shared" si="8"/>
        <v>0</v>
      </c>
      <c r="BI104" s="9">
        <f t="shared" si="9"/>
        <v>0</v>
      </c>
      <c r="BJ104" s="9">
        <f t="shared" si="9"/>
        <v>0</v>
      </c>
      <c r="BK104" s="9">
        <f t="shared" si="9"/>
        <v>0</v>
      </c>
      <c r="BL104" s="9">
        <f t="shared" si="9"/>
        <v>0</v>
      </c>
      <c r="BM104" s="9">
        <f t="shared" si="9"/>
        <v>0</v>
      </c>
      <c r="BN104" s="9">
        <f t="shared" si="9"/>
        <v>0</v>
      </c>
      <c r="BO104" s="9">
        <f t="shared" si="9"/>
        <v>0</v>
      </c>
    </row>
    <row r="105" spans="1:67">
      <c r="A105" s="84">
        <f t="shared" si="3"/>
        <v>0</v>
      </c>
      <c r="B105">
        <v>303361.93500000017</v>
      </c>
      <c r="C105" s="9">
        <f t="shared" si="4"/>
        <v>303361.93500000017</v>
      </c>
      <c r="D105" t="s">
        <v>19</v>
      </c>
      <c r="E105" s="9">
        <f t="shared" si="5"/>
        <v>0</v>
      </c>
      <c r="F105" s="9">
        <f t="shared" si="5"/>
        <v>0</v>
      </c>
      <c r="G105" s="9">
        <f t="shared" si="5"/>
        <v>2754.6701608499307</v>
      </c>
      <c r="H105" s="9">
        <f t="shared" si="5"/>
        <v>6761.3298391500684</v>
      </c>
      <c r="I105" s="9">
        <f t="shared" si="5"/>
        <v>1852</v>
      </c>
      <c r="J105" s="9">
        <f t="shared" si="5"/>
        <v>5608</v>
      </c>
      <c r="K105" s="9">
        <f t="shared" si="5"/>
        <v>4276</v>
      </c>
      <c r="L105" s="9">
        <f t="shared" si="5"/>
        <v>3316</v>
      </c>
      <c r="M105" s="9">
        <f t="shared" si="5"/>
        <v>4984</v>
      </c>
      <c r="N105" s="9">
        <f t="shared" si="5"/>
        <v>5576</v>
      </c>
      <c r="O105" s="9">
        <f t="shared" si="5"/>
        <v>17698.88668663269</v>
      </c>
      <c r="P105" s="9">
        <f t="shared" si="5"/>
        <v>21674.573719674216</v>
      </c>
      <c r="Q105" s="9">
        <f t="shared" si="5"/>
        <v>16576.55219062791</v>
      </c>
      <c r="R105" s="9">
        <f t="shared" si="5"/>
        <v>13375.14197429237</v>
      </c>
      <c r="S105" s="9">
        <f t="shared" si="5"/>
        <v>14112.691863628448</v>
      </c>
      <c r="T105" s="9">
        <f t="shared" si="5"/>
        <v>13791.966996143246</v>
      </c>
      <c r="U105" s="9">
        <f t="shared" si="6"/>
        <v>12652.117167169408</v>
      </c>
      <c r="V105" s="9">
        <f t="shared" si="6"/>
        <v>13484.796572689576</v>
      </c>
      <c r="W105" s="9">
        <f t="shared" si="6"/>
        <v>8912.3265110926186</v>
      </c>
      <c r="X105" s="9">
        <f t="shared" si="6"/>
        <v>6545.7026045418015</v>
      </c>
      <c r="Y105" s="9">
        <f t="shared" si="6"/>
        <v>7420.1198778886119</v>
      </c>
      <c r="Z105" s="9">
        <f t="shared" si="6"/>
        <v>8023.7638819834083</v>
      </c>
      <c r="AA105" s="9">
        <f t="shared" si="6"/>
        <v>8023.763881983401</v>
      </c>
      <c r="AB105" s="9">
        <f t="shared" si="6"/>
        <v>8023.763881983401</v>
      </c>
      <c r="AC105" s="9">
        <f t="shared" si="7"/>
        <v>5574.0395319818663</v>
      </c>
      <c r="AD105" s="9">
        <f t="shared" si="7"/>
        <v>4180.055843339177</v>
      </c>
      <c r="AE105" s="9">
        <f t="shared" si="7"/>
        <v>9021.7626169876348</v>
      </c>
      <c r="AF105" s="9">
        <f t="shared" si="7"/>
        <v>10388.650747228305</v>
      </c>
      <c r="AG105" s="9">
        <f t="shared" si="7"/>
        <v>8694.4696090067046</v>
      </c>
      <c r="AH105" s="9">
        <f t="shared" si="7"/>
        <v>6804.0489282345461</v>
      </c>
      <c r="AI105" s="9">
        <f t="shared" si="7"/>
        <v>6364.3511762287244</v>
      </c>
      <c r="AJ105" s="9">
        <f t="shared" si="7"/>
        <v>7631.2475346766823</v>
      </c>
      <c r="AK105" s="9">
        <f t="shared" si="7"/>
        <v>6319.6216246564636</v>
      </c>
      <c r="AL105" s="9">
        <f t="shared" si="7"/>
        <v>6736.9546008761554</v>
      </c>
      <c r="AM105" s="9">
        <f t="shared" si="7"/>
        <v>6736.9546008761554</v>
      </c>
      <c r="AN105" s="9">
        <f t="shared" si="7"/>
        <v>7084.73208105923</v>
      </c>
      <c r="AO105" s="9">
        <f t="shared" si="7"/>
        <v>3755.9967859771918</v>
      </c>
      <c r="AP105" s="9">
        <f t="shared" si="7"/>
        <v>3164.7750696659691</v>
      </c>
      <c r="AQ105" s="9">
        <f t="shared" si="7"/>
        <v>2086.6648810984389</v>
      </c>
      <c r="AR105" s="9">
        <f t="shared" si="7"/>
        <v>2086.6648810984389</v>
      </c>
      <c r="AS105" s="9">
        <f t="shared" si="8"/>
        <v>1286.7766766773705</v>
      </c>
      <c r="AT105" s="9">
        <f t="shared" si="8"/>
        <v>0</v>
      </c>
      <c r="AU105" s="9">
        <f t="shared" si="8"/>
        <v>0</v>
      </c>
      <c r="AV105" s="9">
        <f t="shared" si="8"/>
        <v>0</v>
      </c>
      <c r="AW105" s="9">
        <f t="shared" si="8"/>
        <v>0</v>
      </c>
      <c r="AX105" s="9">
        <f t="shared" si="8"/>
        <v>0</v>
      </c>
      <c r="AY105" s="9">
        <f t="shared" si="8"/>
        <v>0</v>
      </c>
      <c r="AZ105" s="9">
        <f t="shared" si="8"/>
        <v>0</v>
      </c>
      <c r="BA105" s="9">
        <f t="shared" si="8"/>
        <v>0</v>
      </c>
      <c r="BB105" s="9">
        <f t="shared" si="8"/>
        <v>0</v>
      </c>
      <c r="BC105" s="9">
        <f t="shared" si="8"/>
        <v>0</v>
      </c>
      <c r="BD105" s="9">
        <f t="shared" si="8"/>
        <v>0</v>
      </c>
      <c r="BE105" s="9">
        <f t="shared" si="8"/>
        <v>0</v>
      </c>
      <c r="BF105" s="9">
        <f t="shared" si="8"/>
        <v>0</v>
      </c>
      <c r="BG105" s="9">
        <f t="shared" si="8"/>
        <v>0</v>
      </c>
      <c r="BH105" s="9">
        <f t="shared" si="8"/>
        <v>0</v>
      </c>
      <c r="BI105" s="9">
        <f t="shared" si="9"/>
        <v>0</v>
      </c>
      <c r="BJ105" s="9">
        <f t="shared" si="9"/>
        <v>0</v>
      </c>
      <c r="BK105" s="9">
        <f t="shared" si="9"/>
        <v>0</v>
      </c>
      <c r="BL105" s="9">
        <f t="shared" si="9"/>
        <v>0</v>
      </c>
      <c r="BM105" s="9">
        <f t="shared" si="9"/>
        <v>0</v>
      </c>
      <c r="BN105" s="9">
        <f t="shared" si="9"/>
        <v>0</v>
      </c>
      <c r="BO105" s="9">
        <f t="shared" si="9"/>
        <v>0</v>
      </c>
    </row>
    <row r="106" spans="1:67">
      <c r="A106" s="84">
        <f t="shared" si="3"/>
        <v>0</v>
      </c>
      <c r="B106">
        <v>14998.575999999999</v>
      </c>
      <c r="C106" s="9">
        <f t="shared" si="4"/>
        <v>14998.576000000003</v>
      </c>
      <c r="D106" t="s">
        <v>20</v>
      </c>
      <c r="E106" s="9">
        <f t="shared" si="5"/>
        <v>0</v>
      </c>
      <c r="F106" s="9">
        <f t="shared" si="5"/>
        <v>0</v>
      </c>
      <c r="G106" s="9">
        <f t="shared" si="5"/>
        <v>15.707639059422386</v>
      </c>
      <c r="H106" s="9">
        <f t="shared" si="5"/>
        <v>38.554354050977615</v>
      </c>
      <c r="I106" s="9">
        <f t="shared" si="5"/>
        <v>9.2771675843921617</v>
      </c>
      <c r="J106" s="9">
        <f t="shared" si="5"/>
        <v>41.09</v>
      </c>
      <c r="K106" s="9">
        <f t="shared" si="5"/>
        <v>27.872999999999998</v>
      </c>
      <c r="L106" s="9">
        <f t="shared" si="5"/>
        <v>130.31399999999965</v>
      </c>
      <c r="M106" s="9">
        <f t="shared" si="5"/>
        <v>295.76400000000035</v>
      </c>
      <c r="N106" s="9">
        <f t="shared" si="5"/>
        <v>151.755</v>
      </c>
      <c r="O106" s="9">
        <f t="shared" si="5"/>
        <v>326.71633409241741</v>
      </c>
      <c r="P106" s="9">
        <f t="shared" si="5"/>
        <v>398.94841636022312</v>
      </c>
      <c r="Q106" s="9">
        <f t="shared" si="5"/>
        <v>310.68845520518585</v>
      </c>
      <c r="R106" s="9">
        <f t="shared" si="5"/>
        <v>251.08379821180836</v>
      </c>
      <c r="S106" s="9">
        <f t="shared" si="5"/>
        <v>375.31096879975252</v>
      </c>
      <c r="T106" s="9">
        <f t="shared" si="5"/>
        <v>375.49549803913646</v>
      </c>
      <c r="U106" s="9">
        <f t="shared" si="6"/>
        <v>373.36578473460884</v>
      </c>
      <c r="V106" s="9">
        <f t="shared" si="6"/>
        <v>378.97059733540829</v>
      </c>
      <c r="W106" s="9">
        <f t="shared" si="6"/>
        <v>361.13797757359265</v>
      </c>
      <c r="X106" s="9">
        <f t="shared" si="6"/>
        <v>401.17620275279262</v>
      </c>
      <c r="Y106" s="9">
        <f t="shared" si="6"/>
        <v>469.14129209109223</v>
      </c>
      <c r="Z106" s="9">
        <f t="shared" si="6"/>
        <v>535.6406998375287</v>
      </c>
      <c r="AA106" s="9">
        <f t="shared" si="6"/>
        <v>586.94244264718145</v>
      </c>
      <c r="AB106" s="9">
        <f t="shared" si="6"/>
        <v>586.94244264718145</v>
      </c>
      <c r="AC106" s="9">
        <f t="shared" si="7"/>
        <v>463.87715662983373</v>
      </c>
      <c r="AD106" s="9">
        <f t="shared" si="7"/>
        <v>474.4458468739922</v>
      </c>
      <c r="AE106" s="9">
        <f t="shared" si="7"/>
        <v>474.4458468739922</v>
      </c>
      <c r="AF106" s="9">
        <f t="shared" si="7"/>
        <v>460.14510593170513</v>
      </c>
      <c r="AG106" s="9">
        <f t="shared" si="7"/>
        <v>484.06372069480091</v>
      </c>
      <c r="AH106" s="9">
        <f t="shared" si="7"/>
        <v>494.1935725897211</v>
      </c>
      <c r="AI106" s="9">
        <f t="shared" si="7"/>
        <v>487.607147891941</v>
      </c>
      <c r="AJ106" s="9">
        <f t="shared" si="7"/>
        <v>564.48277292234297</v>
      </c>
      <c r="AK106" s="9">
        <f t="shared" si="7"/>
        <v>596.19076838442072</v>
      </c>
      <c r="AL106" s="9">
        <f t="shared" si="7"/>
        <v>561.16646381822989</v>
      </c>
      <c r="AM106" s="9">
        <f t="shared" si="7"/>
        <v>561.16646381822989</v>
      </c>
      <c r="AN106" s="9">
        <f t="shared" si="7"/>
        <v>551.11937529619229</v>
      </c>
      <c r="AO106" s="9">
        <f t="shared" si="7"/>
        <v>586.50745375714666</v>
      </c>
      <c r="AP106" s="9">
        <f t="shared" si="7"/>
        <v>579.2762446427223</v>
      </c>
      <c r="AQ106" s="9">
        <f t="shared" si="7"/>
        <v>410.21184586901961</v>
      </c>
      <c r="AR106" s="9">
        <f t="shared" si="7"/>
        <v>277.21495510574988</v>
      </c>
      <c r="AS106" s="9">
        <f t="shared" si="8"/>
        <v>197.35792392196927</v>
      </c>
      <c r="AT106" s="9">
        <f t="shared" si="8"/>
        <v>120.12622391521137</v>
      </c>
      <c r="AU106" s="9">
        <f t="shared" si="8"/>
        <v>120.12622391521137</v>
      </c>
      <c r="AV106" s="9">
        <f t="shared" si="8"/>
        <v>92.954816124865943</v>
      </c>
      <c r="AW106" s="9">
        <f t="shared" si="8"/>
        <v>0</v>
      </c>
      <c r="AX106" s="9">
        <f t="shared" si="8"/>
        <v>0</v>
      </c>
      <c r="AY106" s="9">
        <f t="shared" si="8"/>
        <v>0</v>
      </c>
      <c r="AZ106" s="9">
        <f t="shared" si="8"/>
        <v>0</v>
      </c>
      <c r="BA106" s="9">
        <f t="shared" si="8"/>
        <v>0</v>
      </c>
      <c r="BB106" s="9">
        <f t="shared" si="8"/>
        <v>0</v>
      </c>
      <c r="BC106" s="9">
        <f t="shared" si="8"/>
        <v>0</v>
      </c>
      <c r="BD106" s="9">
        <f t="shared" si="8"/>
        <v>0</v>
      </c>
      <c r="BE106" s="9">
        <f t="shared" si="8"/>
        <v>0</v>
      </c>
      <c r="BF106" s="9">
        <f t="shared" si="8"/>
        <v>0</v>
      </c>
      <c r="BG106" s="9">
        <f t="shared" si="8"/>
        <v>0</v>
      </c>
      <c r="BH106" s="9">
        <f t="shared" si="8"/>
        <v>0</v>
      </c>
      <c r="BI106" s="9">
        <f t="shared" si="9"/>
        <v>0</v>
      </c>
      <c r="BJ106" s="9">
        <f t="shared" si="9"/>
        <v>0</v>
      </c>
      <c r="BK106" s="9">
        <f t="shared" si="9"/>
        <v>0</v>
      </c>
      <c r="BL106" s="9">
        <f t="shared" si="9"/>
        <v>0</v>
      </c>
      <c r="BM106" s="9">
        <f t="shared" si="9"/>
        <v>0</v>
      </c>
      <c r="BN106" s="9">
        <f t="shared" si="9"/>
        <v>0</v>
      </c>
      <c r="BO106" s="9">
        <f t="shared" si="9"/>
        <v>0</v>
      </c>
    </row>
    <row r="107" spans="1:67">
      <c r="A107" s="84">
        <f t="shared" si="3"/>
        <v>0</v>
      </c>
      <c r="B107">
        <v>308588.38300000003</v>
      </c>
      <c r="C107" s="9">
        <f t="shared" si="4"/>
        <v>308588.38299999997</v>
      </c>
      <c r="D107" t="s">
        <v>21</v>
      </c>
      <c r="E107" s="9">
        <f t="shared" si="5"/>
        <v>0</v>
      </c>
      <c r="F107" s="9">
        <f t="shared" si="5"/>
        <v>0</v>
      </c>
      <c r="G107" s="9">
        <f t="shared" si="5"/>
        <v>483.00342020770944</v>
      </c>
      <c r="H107" s="9">
        <f t="shared" si="5"/>
        <v>1185.5304797922906</v>
      </c>
      <c r="I107" s="9">
        <f t="shared" si="5"/>
        <v>179.56776906563883</v>
      </c>
      <c r="J107" s="9">
        <f t="shared" si="5"/>
        <v>746.83</v>
      </c>
      <c r="K107" s="9">
        <f t="shared" si="5"/>
        <v>871.33900000000006</v>
      </c>
      <c r="L107" s="9">
        <f t="shared" si="5"/>
        <v>2667.8799999999997</v>
      </c>
      <c r="M107" s="9">
        <f t="shared" si="5"/>
        <v>3322.8309999999997</v>
      </c>
      <c r="N107" s="9">
        <f t="shared" si="5"/>
        <v>3702.8410000000008</v>
      </c>
      <c r="O107" s="9">
        <f t="shared" si="5"/>
        <v>4602.7548347835791</v>
      </c>
      <c r="P107" s="9">
        <f t="shared" si="5"/>
        <v>5178.9140813997819</v>
      </c>
      <c r="Q107" s="9">
        <f t="shared" si="5"/>
        <v>5072.1758350395685</v>
      </c>
      <c r="R107" s="9">
        <f t="shared" si="5"/>
        <v>5562.8203295790954</v>
      </c>
      <c r="S107" s="9">
        <f t="shared" si="5"/>
        <v>9294.2824888419582</v>
      </c>
      <c r="T107" s="9">
        <f t="shared" si="5"/>
        <v>8417.6861925626326</v>
      </c>
      <c r="U107" s="9">
        <f t="shared" si="6"/>
        <v>8501.1143398326367</v>
      </c>
      <c r="V107" s="9">
        <f t="shared" si="6"/>
        <v>8611.3839946156404</v>
      </c>
      <c r="W107" s="9">
        <f t="shared" si="6"/>
        <v>7806.345026706208</v>
      </c>
      <c r="X107" s="9">
        <f t="shared" si="6"/>
        <v>8578.9755376184348</v>
      </c>
      <c r="Y107" s="9">
        <f t="shared" si="6"/>
        <v>9923.6581680273976</v>
      </c>
      <c r="Z107" s="9">
        <f t="shared" si="6"/>
        <v>11276.875452645598</v>
      </c>
      <c r="AA107" s="9">
        <f t="shared" si="6"/>
        <v>12257.309374303883</v>
      </c>
      <c r="AB107" s="9">
        <f t="shared" si="6"/>
        <v>12257.309374303883</v>
      </c>
      <c r="AC107" s="9">
        <f t="shared" si="7"/>
        <v>9959.0493484982471</v>
      </c>
      <c r="AD107" s="9">
        <f t="shared" si="7"/>
        <v>10272.587753197471</v>
      </c>
      <c r="AE107" s="9">
        <f t="shared" si="7"/>
        <v>10272.587753197471</v>
      </c>
      <c r="AF107" s="9">
        <f t="shared" si="7"/>
        <v>9991.1564292733819</v>
      </c>
      <c r="AG107" s="9">
        <f t="shared" si="7"/>
        <v>10281.330667387399</v>
      </c>
      <c r="AH107" s="9">
        <f t="shared" si="7"/>
        <v>10335.259989890601</v>
      </c>
      <c r="AI107" s="9">
        <f t="shared" si="7"/>
        <v>10164.03624325527</v>
      </c>
      <c r="AJ107" s="9">
        <f t="shared" si="7"/>
        <v>11799.209506748943</v>
      </c>
      <c r="AK107" s="9">
        <f t="shared" si="7"/>
        <v>12351.897453039857</v>
      </c>
      <c r="AL107" s="9">
        <f t="shared" si="7"/>
        <v>11635.661341902431</v>
      </c>
      <c r="AM107" s="9">
        <f t="shared" si="7"/>
        <v>11635.661341902431</v>
      </c>
      <c r="AN107" s="9">
        <f t="shared" si="7"/>
        <v>11466.329957591764</v>
      </c>
      <c r="AO107" s="9">
        <f t="shared" si="7"/>
        <v>11848.783392155694</v>
      </c>
      <c r="AP107" s="9">
        <f t="shared" si="7"/>
        <v>11658.213494812871</v>
      </c>
      <c r="AQ107" s="9">
        <f t="shared" si="7"/>
        <v>8243.1022512386426</v>
      </c>
      <c r="AR107" s="9">
        <f t="shared" si="7"/>
        <v>5625.7909387445789</v>
      </c>
      <c r="AS107" s="9">
        <f t="shared" si="8"/>
        <v>3988.947590405649</v>
      </c>
      <c r="AT107" s="9">
        <f t="shared" si="8"/>
        <v>2364.0231209623789</v>
      </c>
      <c r="AU107" s="9">
        <f t="shared" si="8"/>
        <v>2364.0231209623789</v>
      </c>
      <c r="AV107" s="9">
        <f t="shared" si="8"/>
        <v>1829.3036055066027</v>
      </c>
      <c r="AW107" s="9">
        <f t="shared" si="8"/>
        <v>0</v>
      </c>
      <c r="AX107" s="9">
        <f t="shared" si="8"/>
        <v>0</v>
      </c>
      <c r="AY107" s="9">
        <f t="shared" si="8"/>
        <v>0</v>
      </c>
      <c r="AZ107" s="9">
        <f t="shared" si="8"/>
        <v>0</v>
      </c>
      <c r="BA107" s="9">
        <f t="shared" si="8"/>
        <v>0</v>
      </c>
      <c r="BB107" s="9">
        <f t="shared" si="8"/>
        <v>0</v>
      </c>
      <c r="BC107" s="9">
        <f t="shared" si="8"/>
        <v>0</v>
      </c>
      <c r="BD107" s="9">
        <f t="shared" si="8"/>
        <v>0</v>
      </c>
      <c r="BE107" s="9">
        <f t="shared" si="8"/>
        <v>0</v>
      </c>
      <c r="BF107" s="9">
        <f t="shared" si="8"/>
        <v>0</v>
      </c>
      <c r="BG107" s="9">
        <f t="shared" si="8"/>
        <v>0</v>
      </c>
      <c r="BH107" s="9">
        <f t="shared" si="8"/>
        <v>0</v>
      </c>
      <c r="BI107" s="9">
        <f t="shared" si="9"/>
        <v>0</v>
      </c>
      <c r="BJ107" s="9">
        <f t="shared" si="9"/>
        <v>0</v>
      </c>
      <c r="BK107" s="9">
        <f t="shared" si="9"/>
        <v>0</v>
      </c>
      <c r="BL107" s="9">
        <f t="shared" si="9"/>
        <v>0</v>
      </c>
      <c r="BM107" s="9">
        <f t="shared" si="9"/>
        <v>0</v>
      </c>
      <c r="BN107" s="9">
        <f t="shared" si="9"/>
        <v>0</v>
      </c>
      <c r="BO107" s="9">
        <f t="shared" si="9"/>
        <v>0</v>
      </c>
    </row>
    <row r="108" spans="1:67">
      <c r="A108" s="84">
        <f t="shared" si="3"/>
        <v>0</v>
      </c>
      <c r="B108">
        <v>495848.61009422655</v>
      </c>
      <c r="C108" s="9">
        <f t="shared" si="4"/>
        <v>495848.61009422655</v>
      </c>
      <c r="D108" t="s">
        <v>22</v>
      </c>
      <c r="E108" s="9">
        <f t="shared" si="5"/>
        <v>0</v>
      </c>
      <c r="F108" s="9">
        <f t="shared" si="5"/>
        <v>0</v>
      </c>
      <c r="G108" s="9">
        <f t="shared" si="5"/>
        <v>2735.5646301000261</v>
      </c>
      <c r="H108" s="9">
        <f t="shared" si="5"/>
        <v>6714.4353698999739</v>
      </c>
      <c r="I108" s="9">
        <f t="shared" si="5"/>
        <v>17119.090625299235</v>
      </c>
      <c r="J108" s="9">
        <f t="shared" si="5"/>
        <v>20152.55586038492</v>
      </c>
      <c r="K108" s="9">
        <f t="shared" si="5"/>
        <v>22927.353514315841</v>
      </c>
      <c r="L108" s="9">
        <f t="shared" si="5"/>
        <v>1298</v>
      </c>
      <c r="M108" s="9">
        <f t="shared" si="5"/>
        <v>33436</v>
      </c>
      <c r="N108" s="9">
        <f t="shared" si="5"/>
        <v>4314</v>
      </c>
      <c r="O108" s="9">
        <f t="shared" si="5"/>
        <v>25841.859797419624</v>
      </c>
      <c r="P108" s="9">
        <f t="shared" si="5"/>
        <v>31812.730108953281</v>
      </c>
      <c r="Q108" s="9">
        <f t="shared" si="5"/>
        <v>24935.678909734408</v>
      </c>
      <c r="R108" s="9">
        <f t="shared" si="5"/>
        <v>20624.544599136865</v>
      </c>
      <c r="S108" s="9">
        <f t="shared" si="5"/>
        <v>21830.926968356609</v>
      </c>
      <c r="T108" s="9">
        <f t="shared" si="5"/>
        <v>19237.432773397413</v>
      </c>
      <c r="U108" s="9">
        <f t="shared" si="6"/>
        <v>18821.763202104037</v>
      </c>
      <c r="V108" s="9">
        <f t="shared" si="6"/>
        <v>20185.821842496745</v>
      </c>
      <c r="W108" s="9">
        <f t="shared" si="6"/>
        <v>8319.0957436749213</v>
      </c>
      <c r="X108" s="9">
        <f t="shared" si="6"/>
        <v>6078.0489959031347</v>
      </c>
      <c r="Y108" s="9">
        <f t="shared" si="6"/>
        <v>6751.5519971970189</v>
      </c>
      <c r="Z108" s="9">
        <f t="shared" si="6"/>
        <v>7761.5921501756329</v>
      </c>
      <c r="AA108" s="9">
        <f t="shared" si="6"/>
        <v>7674.6455341461951</v>
      </c>
      <c r="AB108" s="9">
        <f t="shared" si="6"/>
        <v>7831.4834004719723</v>
      </c>
      <c r="AC108" s="9">
        <f t="shared" si="7"/>
        <v>8489.8754745924634</v>
      </c>
      <c r="AD108" s="9">
        <f t="shared" si="7"/>
        <v>9362.4653251762575</v>
      </c>
      <c r="AE108" s="9">
        <f t="shared" si="7"/>
        <v>15637.899882712691</v>
      </c>
      <c r="AF108" s="9">
        <f t="shared" si="7"/>
        <v>15637.899882712691</v>
      </c>
      <c r="AG108" s="9">
        <f t="shared" si="7"/>
        <v>12896.783858747203</v>
      </c>
      <c r="AH108" s="9">
        <f t="shared" si="7"/>
        <v>9886.6551653354363</v>
      </c>
      <c r="AI108" s="9">
        <f t="shared" si="7"/>
        <v>9814.5668029348071</v>
      </c>
      <c r="AJ108" s="9">
        <f t="shared" si="7"/>
        <v>12560.957585124739</v>
      </c>
      <c r="AK108" s="9">
        <f t="shared" si="7"/>
        <v>10458.087306316058</v>
      </c>
      <c r="AL108" s="9">
        <f t="shared" si="7"/>
        <v>11154.355391941674</v>
      </c>
      <c r="AM108" s="9">
        <f t="shared" si="7"/>
        <v>11154.355391941674</v>
      </c>
      <c r="AN108" s="9">
        <f t="shared" si="7"/>
        <v>11734.578796629698</v>
      </c>
      <c r="AO108" s="9">
        <f t="shared" si="7"/>
        <v>6266.4127706305371</v>
      </c>
      <c r="AP108" s="9">
        <f t="shared" si="7"/>
        <v>5280.032982660915</v>
      </c>
      <c r="AQ108" s="9">
        <f t="shared" si="7"/>
        <v>3481.3404281280796</v>
      </c>
      <c r="AR108" s="9">
        <f t="shared" si="7"/>
        <v>3481.3404281280796</v>
      </c>
      <c r="AS108" s="9">
        <f t="shared" si="8"/>
        <v>2146.8265973456482</v>
      </c>
      <c r="AT108" s="9">
        <f t="shared" si="8"/>
        <v>0</v>
      </c>
      <c r="AU108" s="9">
        <f t="shared" si="8"/>
        <v>0</v>
      </c>
      <c r="AV108" s="9">
        <f t="shared" si="8"/>
        <v>0</v>
      </c>
      <c r="AW108" s="9">
        <f t="shared" si="8"/>
        <v>0</v>
      </c>
      <c r="AX108" s="9">
        <f t="shared" si="8"/>
        <v>0</v>
      </c>
      <c r="AY108" s="9">
        <f t="shared" si="8"/>
        <v>0</v>
      </c>
      <c r="AZ108" s="9">
        <f t="shared" si="8"/>
        <v>0</v>
      </c>
      <c r="BA108" s="9">
        <f t="shared" si="8"/>
        <v>0</v>
      </c>
      <c r="BB108" s="9">
        <f t="shared" si="8"/>
        <v>0</v>
      </c>
      <c r="BC108" s="9">
        <f t="shared" si="8"/>
        <v>0</v>
      </c>
      <c r="BD108" s="9">
        <f t="shared" si="8"/>
        <v>0</v>
      </c>
      <c r="BE108" s="9">
        <f t="shared" si="8"/>
        <v>0</v>
      </c>
      <c r="BF108" s="9">
        <f t="shared" si="8"/>
        <v>0</v>
      </c>
      <c r="BG108" s="9">
        <f t="shared" si="8"/>
        <v>0</v>
      </c>
      <c r="BH108" s="9">
        <f t="shared" si="8"/>
        <v>0</v>
      </c>
      <c r="BI108" s="9">
        <f t="shared" si="9"/>
        <v>0</v>
      </c>
      <c r="BJ108" s="9">
        <f t="shared" si="9"/>
        <v>0</v>
      </c>
      <c r="BK108" s="9">
        <f t="shared" si="9"/>
        <v>0</v>
      </c>
      <c r="BL108" s="9">
        <f t="shared" si="9"/>
        <v>0</v>
      </c>
      <c r="BM108" s="9">
        <f t="shared" si="9"/>
        <v>0</v>
      </c>
      <c r="BN108" s="9">
        <f t="shared" si="9"/>
        <v>0</v>
      </c>
      <c r="BO108" s="9">
        <f t="shared" si="9"/>
        <v>0</v>
      </c>
    </row>
    <row r="109" spans="1:67">
      <c r="A109" s="84">
        <f t="shared" si="3"/>
        <v>0</v>
      </c>
      <c r="B109">
        <v>2897550.600000001</v>
      </c>
      <c r="C109" s="9">
        <f t="shared" si="4"/>
        <v>2897550.6</v>
      </c>
      <c r="D109" t="s">
        <v>23</v>
      </c>
      <c r="E109" s="9">
        <f t="shared" si="5"/>
        <v>0</v>
      </c>
      <c r="F109" s="9">
        <f t="shared" si="5"/>
        <v>0</v>
      </c>
      <c r="G109" s="9">
        <f t="shared" si="5"/>
        <v>498.48066592933804</v>
      </c>
      <c r="H109" s="9">
        <f t="shared" si="5"/>
        <v>1223.5193340706619</v>
      </c>
      <c r="I109" s="9">
        <f t="shared" si="5"/>
        <v>8011.1281251400324</v>
      </c>
      <c r="J109" s="9">
        <f t="shared" si="5"/>
        <v>9430.6824223476069</v>
      </c>
      <c r="K109" s="9">
        <f t="shared" si="5"/>
        <v>16563</v>
      </c>
      <c r="L109" s="9">
        <f t="shared" si="5"/>
        <v>32256</v>
      </c>
      <c r="M109" s="9">
        <f t="shared" si="5"/>
        <v>47553</v>
      </c>
      <c r="N109" s="9">
        <f t="shared" si="5"/>
        <v>48014</v>
      </c>
      <c r="O109" s="9">
        <f t="shared" si="5"/>
        <v>27065.87582864803</v>
      </c>
      <c r="P109" s="9">
        <f t="shared" si="5"/>
        <v>16079.631804823257</v>
      </c>
      <c r="Q109" s="9">
        <f t="shared" si="5"/>
        <v>19801.028548104776</v>
      </c>
      <c r="R109" s="9">
        <f t="shared" si="5"/>
        <v>35506.715427234507</v>
      </c>
      <c r="S109" s="9">
        <f t="shared" si="5"/>
        <v>82623.776064623671</v>
      </c>
      <c r="T109" s="9">
        <f t="shared" si="5"/>
        <v>75877.293819007347</v>
      </c>
      <c r="U109" s="9">
        <f t="shared" si="6"/>
        <v>79196.377400852987</v>
      </c>
      <c r="V109" s="9">
        <f t="shared" si="6"/>
        <v>79196.377400852987</v>
      </c>
      <c r="W109" s="9">
        <f t="shared" si="6"/>
        <v>74783.827277668912</v>
      </c>
      <c r="X109" s="9">
        <f t="shared" si="6"/>
        <v>86755.22276090704</v>
      </c>
      <c r="Y109" s="9">
        <f t="shared" si="6"/>
        <v>102460.90964003677</v>
      </c>
      <c r="Z109" s="9">
        <f t="shared" si="6"/>
        <v>118166.5965191665</v>
      </c>
      <c r="AA109" s="9">
        <f t="shared" si="6"/>
        <v>133941.05487888353</v>
      </c>
      <c r="AB109" s="9">
        <f t="shared" si="6"/>
        <v>133941.05487888353</v>
      </c>
      <c r="AC109" s="9">
        <f t="shared" si="7"/>
        <v>95729.900977552606</v>
      </c>
      <c r="AD109" s="9">
        <f t="shared" si="7"/>
        <v>94234.121274778328</v>
      </c>
      <c r="AE109" s="9">
        <f t="shared" si="7"/>
        <v>94234.121274778328</v>
      </c>
      <c r="AF109" s="9">
        <f t="shared" si="7"/>
        <v>90494.672017842706</v>
      </c>
      <c r="AG109" s="9">
        <f t="shared" si="7"/>
        <v>101713.01978864965</v>
      </c>
      <c r="AH109" s="9">
        <f t="shared" si="7"/>
        <v>109939.80815390807</v>
      </c>
      <c r="AI109" s="9">
        <f t="shared" si="7"/>
        <v>109939.80815390807</v>
      </c>
      <c r="AJ109" s="9">
        <f t="shared" si="7"/>
        <v>125645.49503303781</v>
      </c>
      <c r="AK109" s="9">
        <f t="shared" si="7"/>
        <v>136115.95295245762</v>
      </c>
      <c r="AL109" s="9">
        <f t="shared" si="7"/>
        <v>125645.49503303781</v>
      </c>
      <c r="AM109" s="9">
        <f t="shared" si="7"/>
        <v>592.31176760632229</v>
      </c>
      <c r="AN109" s="9">
        <f t="shared" si="7"/>
        <v>592.31176760632229</v>
      </c>
      <c r="AO109" s="9">
        <f t="shared" si="7"/>
        <v>141351.18191216752</v>
      </c>
      <c r="AP109" s="9">
        <f t="shared" si="7"/>
        <v>141351.18191216752</v>
      </c>
      <c r="AQ109" s="9">
        <f t="shared" si="7"/>
        <v>100591.18501156896</v>
      </c>
      <c r="AR109" s="9">
        <f t="shared" ref="AR109:BG115" si="10">+SUMIFS(AR$1:AR$87,$D$1:$D$87,$D109)</f>
        <v>65814.306922067408</v>
      </c>
      <c r="AS109" s="9">
        <f t="shared" si="10"/>
        <v>47491.005563082748</v>
      </c>
      <c r="AT109" s="9">
        <f t="shared" si="10"/>
        <v>31411.373758259448</v>
      </c>
      <c r="AU109" s="9">
        <f t="shared" si="10"/>
        <v>31411.373758259448</v>
      </c>
      <c r="AV109" s="9">
        <f t="shared" si="10"/>
        <v>24306.420170081714</v>
      </c>
      <c r="AW109" s="9">
        <f t="shared" si="10"/>
        <v>0</v>
      </c>
      <c r="AX109" s="9">
        <f t="shared" si="10"/>
        <v>0</v>
      </c>
      <c r="AY109" s="9">
        <f t="shared" si="10"/>
        <v>0</v>
      </c>
      <c r="AZ109" s="9">
        <f t="shared" si="10"/>
        <v>0</v>
      </c>
      <c r="BA109" s="9">
        <f t="shared" si="10"/>
        <v>0</v>
      </c>
      <c r="BB109" s="9">
        <f t="shared" si="10"/>
        <v>0</v>
      </c>
      <c r="BC109" s="9">
        <f t="shared" si="10"/>
        <v>0</v>
      </c>
      <c r="BD109" s="9">
        <f t="shared" si="10"/>
        <v>0</v>
      </c>
      <c r="BE109" s="9">
        <f t="shared" si="10"/>
        <v>0</v>
      </c>
      <c r="BF109" s="9">
        <f t="shared" si="10"/>
        <v>0</v>
      </c>
      <c r="BG109" s="9">
        <f t="shared" si="10"/>
        <v>0</v>
      </c>
      <c r="BH109" s="9">
        <f t="shared" si="8"/>
        <v>0</v>
      </c>
      <c r="BI109" s="9">
        <f t="shared" si="9"/>
        <v>0</v>
      </c>
      <c r="BJ109" s="9">
        <f t="shared" si="9"/>
        <v>0</v>
      </c>
      <c r="BK109" s="9">
        <f t="shared" si="9"/>
        <v>0</v>
      </c>
      <c r="BL109" s="9">
        <f t="shared" si="9"/>
        <v>0</v>
      </c>
      <c r="BM109" s="9">
        <f t="shared" si="9"/>
        <v>0</v>
      </c>
      <c r="BN109" s="9">
        <f t="shared" si="9"/>
        <v>0</v>
      </c>
      <c r="BO109" s="9">
        <f t="shared" si="9"/>
        <v>0</v>
      </c>
    </row>
    <row r="110" spans="1:67">
      <c r="A110" s="84">
        <f t="shared" si="3"/>
        <v>0</v>
      </c>
      <c r="B110">
        <v>548056.45730000001</v>
      </c>
      <c r="C110" s="9">
        <f t="shared" si="4"/>
        <v>548056.45730000001</v>
      </c>
      <c r="D110" t="s">
        <v>24</v>
      </c>
      <c r="E110" s="9">
        <f t="shared" si="5"/>
        <v>0</v>
      </c>
      <c r="F110" s="9">
        <f t="shared" si="5"/>
        <v>0</v>
      </c>
      <c r="G110" s="9">
        <f t="shared" si="5"/>
        <v>0</v>
      </c>
      <c r="H110" s="9">
        <f t="shared" si="5"/>
        <v>0</v>
      </c>
      <c r="I110" s="9">
        <f t="shared" si="5"/>
        <v>0</v>
      </c>
      <c r="J110" s="9">
        <f t="shared" si="5"/>
        <v>0</v>
      </c>
      <c r="K110" s="9">
        <f t="shared" si="5"/>
        <v>0</v>
      </c>
      <c r="L110" s="9">
        <f t="shared" si="5"/>
        <v>0</v>
      </c>
      <c r="M110" s="9">
        <f t="shared" si="5"/>
        <v>0</v>
      </c>
      <c r="N110" s="9">
        <f t="shared" si="5"/>
        <v>0</v>
      </c>
      <c r="O110" s="9">
        <f t="shared" si="5"/>
        <v>0</v>
      </c>
      <c r="P110" s="9">
        <f t="shared" ref="P110:AE115" si="11">+SUMIFS(P$1:P$87,$D$1:$D$87,$D110)</f>
        <v>0</v>
      </c>
      <c r="Q110" s="9">
        <f t="shared" si="11"/>
        <v>2906.9758036510311</v>
      </c>
      <c r="R110" s="9">
        <f t="shared" si="11"/>
        <v>5869.3175920047634</v>
      </c>
      <c r="S110" s="9">
        <f t="shared" si="11"/>
        <v>7729.9060682353665</v>
      </c>
      <c r="T110" s="9">
        <f t="shared" si="11"/>
        <v>16229.872540019005</v>
      </c>
      <c r="U110" s="9">
        <f t="shared" si="11"/>
        <v>17389.726927705706</v>
      </c>
      <c r="V110" s="9">
        <f t="shared" si="11"/>
        <v>8422.4832558887738</v>
      </c>
      <c r="W110" s="9">
        <f t="shared" si="11"/>
        <v>9156.0113051015396</v>
      </c>
      <c r="X110" s="9">
        <f t="shared" si="11"/>
        <v>12599.791588917489</v>
      </c>
      <c r="Y110" s="9">
        <f t="shared" si="11"/>
        <v>14877.125746750071</v>
      </c>
      <c r="Z110" s="9">
        <f t="shared" si="11"/>
        <v>9664.6602919150409</v>
      </c>
      <c r="AA110" s="9">
        <f t="shared" si="11"/>
        <v>8448.1030198464177</v>
      </c>
      <c r="AB110" s="9">
        <f t="shared" si="11"/>
        <v>7351.7378117913677</v>
      </c>
      <c r="AC110" s="9">
        <f t="shared" si="11"/>
        <v>15050.675317840298</v>
      </c>
      <c r="AD110" s="9">
        <f t="shared" si="11"/>
        <v>13049.864221860786</v>
      </c>
      <c r="AE110" s="9">
        <f t="shared" si="11"/>
        <v>10669.493606972697</v>
      </c>
      <c r="AF110" s="9">
        <f t="shared" ref="AF110:AU115" si="12">+SUMIFS(AF$1:AF$87,$D$1:$D$87,$D110)</f>
        <v>2631.2764993321216</v>
      </c>
      <c r="AG110" s="9">
        <f t="shared" si="12"/>
        <v>7726.5043753005375</v>
      </c>
      <c r="AH110" s="9">
        <f t="shared" si="12"/>
        <v>9740.8967913810757</v>
      </c>
      <c r="AI110" s="9">
        <f t="shared" si="12"/>
        <v>9740.8967913810757</v>
      </c>
      <c r="AJ110" s="9">
        <f t="shared" si="12"/>
        <v>13215.453770440945</v>
      </c>
      <c r="AK110" s="9">
        <f t="shared" si="12"/>
        <v>6721.4624389317651</v>
      </c>
      <c r="AL110" s="9">
        <f t="shared" si="12"/>
        <v>10355.49371902645</v>
      </c>
      <c r="AM110" s="9">
        <f t="shared" si="12"/>
        <v>10343.706817021904</v>
      </c>
      <c r="AN110" s="9">
        <f t="shared" si="12"/>
        <v>15911.010492647007</v>
      </c>
      <c r="AO110" s="9">
        <f t="shared" si="12"/>
        <v>15911.010492647007</v>
      </c>
      <c r="AP110" s="9">
        <f t="shared" si="12"/>
        <v>18415.28846178823</v>
      </c>
      <c r="AQ110" s="9">
        <f t="shared" si="12"/>
        <v>17039.281137578</v>
      </c>
      <c r="AR110" s="9">
        <f t="shared" si="12"/>
        <v>13597.925743081609</v>
      </c>
      <c r="AS110" s="9">
        <f t="shared" si="12"/>
        <v>15386.330114047394</v>
      </c>
      <c r="AT110" s="9">
        <f t="shared" si="12"/>
        <v>27408.121447419329</v>
      </c>
      <c r="AU110" s="9">
        <f t="shared" si="12"/>
        <v>27369.69859117295</v>
      </c>
      <c r="AV110" s="9">
        <f t="shared" si="10"/>
        <v>27713.247210411682</v>
      </c>
      <c r="AW110" s="9">
        <f t="shared" si="10"/>
        <v>24905.669618078431</v>
      </c>
      <c r="AX110" s="9">
        <f t="shared" si="10"/>
        <v>24905.669618078427</v>
      </c>
      <c r="AY110" s="9">
        <f t="shared" si="10"/>
        <v>24220.114609208213</v>
      </c>
      <c r="AZ110" s="9">
        <f t="shared" si="10"/>
        <v>24011.467432595538</v>
      </c>
      <c r="BA110" s="9">
        <f t="shared" si="10"/>
        <v>20402.910099780758</v>
      </c>
      <c r="BB110" s="9">
        <f t="shared" si="10"/>
        <v>15635.060711112485</v>
      </c>
      <c r="BC110" s="9">
        <f t="shared" si="10"/>
        <v>5332.2152190367142</v>
      </c>
      <c r="BD110" s="9">
        <f t="shared" si="10"/>
        <v>0</v>
      </c>
      <c r="BE110" s="9">
        <f t="shared" si="10"/>
        <v>0</v>
      </c>
      <c r="BF110" s="9">
        <f t="shared" si="10"/>
        <v>0</v>
      </c>
      <c r="BG110" s="9">
        <f t="shared" si="10"/>
        <v>0</v>
      </c>
      <c r="BH110" s="9">
        <f t="shared" si="8"/>
        <v>0</v>
      </c>
      <c r="BI110" s="9">
        <f t="shared" si="9"/>
        <v>0</v>
      </c>
      <c r="BJ110" s="9">
        <f t="shared" si="9"/>
        <v>0</v>
      </c>
      <c r="BK110" s="9">
        <f t="shared" si="9"/>
        <v>0</v>
      </c>
      <c r="BL110" s="9">
        <f t="shared" si="9"/>
        <v>0</v>
      </c>
      <c r="BM110" s="9">
        <f t="shared" si="9"/>
        <v>0</v>
      </c>
      <c r="BN110" s="9">
        <f t="shared" si="9"/>
        <v>0</v>
      </c>
      <c r="BO110" s="9">
        <f t="shared" si="9"/>
        <v>0</v>
      </c>
    </row>
    <row r="111" spans="1:67">
      <c r="A111" s="84">
        <f t="shared" si="3"/>
        <v>0</v>
      </c>
      <c r="B111">
        <v>446502.00200000009</v>
      </c>
      <c r="C111" s="9">
        <f t="shared" si="4"/>
        <v>446502.00199999998</v>
      </c>
      <c r="D111" t="s">
        <v>25</v>
      </c>
      <c r="E111" s="9">
        <f t="shared" ref="E111:T115" si="13">+SUMIFS(E$1:E$87,$D$1:$D$87,$D111)</f>
        <v>0</v>
      </c>
      <c r="F111" s="9">
        <f t="shared" si="13"/>
        <v>0</v>
      </c>
      <c r="G111" s="9">
        <f t="shared" si="13"/>
        <v>0</v>
      </c>
      <c r="H111" s="9">
        <f t="shared" si="13"/>
        <v>0</v>
      </c>
      <c r="I111" s="9">
        <f t="shared" si="13"/>
        <v>0</v>
      </c>
      <c r="J111" s="9">
        <f t="shared" si="13"/>
        <v>0</v>
      </c>
      <c r="K111" s="9">
        <f t="shared" si="13"/>
        <v>0</v>
      </c>
      <c r="L111" s="9">
        <f t="shared" si="13"/>
        <v>0</v>
      </c>
      <c r="M111" s="9">
        <f t="shared" si="13"/>
        <v>0</v>
      </c>
      <c r="N111" s="9">
        <f t="shared" si="13"/>
        <v>0</v>
      </c>
      <c r="O111" s="9">
        <f t="shared" si="13"/>
        <v>0</v>
      </c>
      <c r="P111" s="9">
        <f t="shared" si="13"/>
        <v>0</v>
      </c>
      <c r="Q111" s="9">
        <f t="shared" si="13"/>
        <v>0</v>
      </c>
      <c r="R111" s="9">
        <f t="shared" si="13"/>
        <v>3512.3999999999996</v>
      </c>
      <c r="S111" s="9">
        <f t="shared" si="13"/>
        <v>4433.5800000000045</v>
      </c>
      <c r="T111" s="9">
        <f t="shared" si="13"/>
        <v>11618.015000000001</v>
      </c>
      <c r="U111" s="9">
        <f t="shared" si="11"/>
        <v>10717.955999999993</v>
      </c>
      <c r="V111" s="9">
        <f t="shared" si="11"/>
        <v>5172.51</v>
      </c>
      <c r="W111" s="9">
        <f t="shared" si="11"/>
        <v>5256.5909999999958</v>
      </c>
      <c r="X111" s="9">
        <f t="shared" si="11"/>
        <v>5744.2310000000052</v>
      </c>
      <c r="Y111" s="9">
        <f t="shared" si="11"/>
        <v>5046.183</v>
      </c>
      <c r="Z111" s="9">
        <f t="shared" si="11"/>
        <v>969.56999999999994</v>
      </c>
      <c r="AA111" s="9">
        <f t="shared" si="11"/>
        <v>0</v>
      </c>
      <c r="AB111" s="9">
        <f t="shared" si="11"/>
        <v>0</v>
      </c>
      <c r="AC111" s="9">
        <f t="shared" si="11"/>
        <v>12015.05999999999</v>
      </c>
      <c r="AD111" s="9">
        <f t="shared" si="11"/>
        <v>10829.35099999999</v>
      </c>
      <c r="AE111" s="9">
        <f t="shared" si="11"/>
        <v>7389.3000000000102</v>
      </c>
      <c r="AF111" s="9">
        <f t="shared" si="12"/>
        <v>0</v>
      </c>
      <c r="AG111" s="9">
        <f t="shared" si="12"/>
        <v>6041.3280000000004</v>
      </c>
      <c r="AH111" s="9">
        <f t="shared" si="12"/>
        <v>8429.76</v>
      </c>
      <c r="AI111" s="9">
        <f t="shared" si="12"/>
        <v>8429.76</v>
      </c>
      <c r="AJ111" s="9">
        <f t="shared" si="12"/>
        <v>12286.559000000005</v>
      </c>
      <c r="AK111" s="9">
        <f t="shared" si="12"/>
        <v>3430.7309999999979</v>
      </c>
      <c r="AL111" s="9">
        <f t="shared" si="12"/>
        <v>6075.9059999999954</v>
      </c>
      <c r="AM111" s="9">
        <f t="shared" si="12"/>
        <v>6127.747999999996</v>
      </c>
      <c r="AN111" s="9">
        <f t="shared" si="12"/>
        <v>6361.921999999995</v>
      </c>
      <c r="AO111" s="9">
        <f t="shared" si="12"/>
        <v>6455.1619999999957</v>
      </c>
      <c r="AP111" s="9">
        <f t="shared" si="12"/>
        <v>18313.709999999995</v>
      </c>
      <c r="AQ111" s="9">
        <f t="shared" si="12"/>
        <v>16988.519000000004</v>
      </c>
      <c r="AR111" s="9">
        <f t="shared" si="12"/>
        <v>14087.28</v>
      </c>
      <c r="AS111" s="9">
        <f t="shared" si="12"/>
        <v>15181.320000000003</v>
      </c>
      <c r="AT111" s="9">
        <f t="shared" si="12"/>
        <v>24871.775000000001</v>
      </c>
      <c r="AU111" s="9">
        <f t="shared" si="12"/>
        <v>27569.348000000002</v>
      </c>
      <c r="AV111" s="9">
        <f t="shared" si="10"/>
        <v>27380.817999999999</v>
      </c>
      <c r="AW111" s="9">
        <f t="shared" si="10"/>
        <v>27663.840000000004</v>
      </c>
      <c r="AX111" s="9">
        <f t="shared" si="10"/>
        <v>27726.000000000004</v>
      </c>
      <c r="AY111" s="9">
        <f t="shared" si="10"/>
        <v>27258.962000000003</v>
      </c>
      <c r="AZ111" s="9">
        <f t="shared" si="10"/>
        <v>26930.340000000004</v>
      </c>
      <c r="BA111" s="9">
        <f t="shared" si="10"/>
        <v>22138.512000000002</v>
      </c>
      <c r="BB111" s="9">
        <f t="shared" si="10"/>
        <v>17725.635000000002</v>
      </c>
      <c r="BC111" s="9">
        <f t="shared" si="10"/>
        <v>6322.3200000000006</v>
      </c>
      <c r="BD111" s="9">
        <f t="shared" si="10"/>
        <v>0</v>
      </c>
      <c r="BE111" s="9">
        <f t="shared" si="10"/>
        <v>0</v>
      </c>
      <c r="BF111" s="9">
        <f t="shared" si="10"/>
        <v>0</v>
      </c>
      <c r="BG111" s="9">
        <f t="shared" si="10"/>
        <v>0</v>
      </c>
      <c r="BH111" s="9">
        <f t="shared" si="8"/>
        <v>0</v>
      </c>
      <c r="BI111" s="9">
        <f t="shared" si="9"/>
        <v>0</v>
      </c>
      <c r="BJ111" s="9">
        <f t="shared" si="9"/>
        <v>0</v>
      </c>
      <c r="BK111" s="9">
        <f t="shared" si="9"/>
        <v>0</v>
      </c>
      <c r="BL111" s="9">
        <f t="shared" si="9"/>
        <v>0</v>
      </c>
      <c r="BM111" s="9">
        <f t="shared" si="9"/>
        <v>0</v>
      </c>
      <c r="BN111" s="9">
        <f t="shared" si="9"/>
        <v>0</v>
      </c>
      <c r="BO111" s="9">
        <f t="shared" si="9"/>
        <v>0</v>
      </c>
    </row>
    <row r="112" spans="1:67">
      <c r="A112" s="84">
        <f t="shared" si="3"/>
        <v>0</v>
      </c>
      <c r="B112">
        <v>26816</v>
      </c>
      <c r="C112" s="9">
        <f t="shared" si="4"/>
        <v>26815.999999999993</v>
      </c>
      <c r="D112" t="s">
        <v>26</v>
      </c>
      <c r="E112" s="9">
        <f t="shared" si="13"/>
        <v>0</v>
      </c>
      <c r="F112" s="9">
        <f t="shared" si="13"/>
        <v>0</v>
      </c>
      <c r="G112" s="9">
        <f t="shared" si="13"/>
        <v>0</v>
      </c>
      <c r="H112" s="9">
        <f t="shared" si="13"/>
        <v>0</v>
      </c>
      <c r="I112" s="9">
        <f t="shared" si="13"/>
        <v>0</v>
      </c>
      <c r="J112" s="9">
        <f t="shared" si="13"/>
        <v>0</v>
      </c>
      <c r="K112" s="9">
        <f t="shared" si="13"/>
        <v>0</v>
      </c>
      <c r="L112" s="9">
        <f t="shared" si="13"/>
        <v>0</v>
      </c>
      <c r="M112" s="9">
        <f t="shared" si="13"/>
        <v>0</v>
      </c>
      <c r="N112" s="9">
        <f t="shared" si="13"/>
        <v>0</v>
      </c>
      <c r="O112" s="9">
        <f t="shared" si="13"/>
        <v>1320.9435133002835</v>
      </c>
      <c r="P112" s="9">
        <f t="shared" si="13"/>
        <v>945.5444176987188</v>
      </c>
      <c r="Q112" s="9">
        <f t="shared" si="13"/>
        <v>796.78419681077355</v>
      </c>
      <c r="R112" s="9">
        <f t="shared" si="13"/>
        <v>731.57423696948285</v>
      </c>
      <c r="S112" s="9">
        <f t="shared" si="13"/>
        <v>990.37626508960579</v>
      </c>
      <c r="T112" s="9">
        <f t="shared" si="13"/>
        <v>806.9732530359754</v>
      </c>
      <c r="U112" s="9">
        <f t="shared" si="11"/>
        <v>772.33046187028935</v>
      </c>
      <c r="V112" s="9">
        <f t="shared" si="11"/>
        <v>813.08668677109608</v>
      </c>
      <c r="W112" s="9">
        <f t="shared" si="11"/>
        <v>678.59114459843408</v>
      </c>
      <c r="X112" s="9">
        <f t="shared" si="11"/>
        <v>635.7971084525866</v>
      </c>
      <c r="Y112" s="9">
        <f t="shared" si="11"/>
        <v>737.68767070460353</v>
      </c>
      <c r="Z112" s="9">
        <f t="shared" si="11"/>
        <v>847.72947793678247</v>
      </c>
      <c r="AA112" s="9">
        <f t="shared" si="11"/>
        <v>929.24192773839616</v>
      </c>
      <c r="AB112" s="9">
        <f t="shared" si="11"/>
        <v>929.24192773839616</v>
      </c>
      <c r="AC112" s="9">
        <f t="shared" si="11"/>
        <v>794.74638556573393</v>
      </c>
      <c r="AD112" s="9">
        <f t="shared" si="11"/>
        <v>855.88072291694391</v>
      </c>
      <c r="AE112" s="9">
        <f t="shared" si="11"/>
        <v>855.88072291694391</v>
      </c>
      <c r="AF112" s="9">
        <f t="shared" si="12"/>
        <v>835.50261046654055</v>
      </c>
      <c r="AG112" s="9">
        <f t="shared" si="12"/>
        <v>849.76728918182278</v>
      </c>
      <c r="AH112" s="9">
        <f t="shared" si="12"/>
        <v>794.74638556573359</v>
      </c>
      <c r="AI112" s="9">
        <f t="shared" si="12"/>
        <v>819.2001205062179</v>
      </c>
      <c r="AJ112" s="9">
        <f t="shared" si="12"/>
        <v>1027.0568675003324</v>
      </c>
      <c r="AK112" s="9">
        <f t="shared" si="12"/>
        <v>1059.6618474209779</v>
      </c>
      <c r="AL112" s="9">
        <f t="shared" si="12"/>
        <v>1027.0568675003324</v>
      </c>
      <c r="AM112" s="9">
        <f t="shared" si="12"/>
        <v>1027.0568675003324</v>
      </c>
      <c r="AN112" s="9">
        <f t="shared" si="12"/>
        <v>1027.0568675003324</v>
      </c>
      <c r="AO112" s="9">
        <f t="shared" si="12"/>
        <v>990.37626508960625</v>
      </c>
      <c r="AP112" s="9">
        <f t="shared" si="12"/>
        <v>955.73347392392031</v>
      </c>
      <c r="AQ112" s="9">
        <f t="shared" si="12"/>
        <v>670.43989961827265</v>
      </c>
      <c r="AR112" s="9">
        <f t="shared" si="12"/>
        <v>480.92345382952072</v>
      </c>
      <c r="AS112" s="9">
        <f t="shared" si="12"/>
        <v>334.20104418661612</v>
      </c>
      <c r="AT112" s="9">
        <f t="shared" si="12"/>
        <v>171.17614458338878</v>
      </c>
      <c r="AU112" s="9">
        <f t="shared" si="12"/>
        <v>171.17614458338878</v>
      </c>
      <c r="AV112" s="9">
        <f t="shared" si="10"/>
        <v>132.45773092762224</v>
      </c>
      <c r="AW112" s="9">
        <f t="shared" si="10"/>
        <v>0</v>
      </c>
      <c r="AX112" s="9">
        <f t="shared" si="10"/>
        <v>0</v>
      </c>
      <c r="AY112" s="9">
        <f t="shared" si="10"/>
        <v>0</v>
      </c>
      <c r="AZ112" s="9">
        <f t="shared" si="10"/>
        <v>0</v>
      </c>
      <c r="BA112" s="9">
        <f t="shared" si="10"/>
        <v>0</v>
      </c>
      <c r="BB112" s="9">
        <f t="shared" si="10"/>
        <v>0</v>
      </c>
      <c r="BC112" s="9">
        <f t="shared" si="10"/>
        <v>0</v>
      </c>
      <c r="BD112" s="9">
        <f t="shared" si="10"/>
        <v>0</v>
      </c>
      <c r="BE112" s="9">
        <f t="shared" si="10"/>
        <v>0</v>
      </c>
      <c r="BF112" s="9">
        <f t="shared" si="10"/>
        <v>0</v>
      </c>
      <c r="BG112" s="9">
        <f t="shared" si="10"/>
        <v>0</v>
      </c>
      <c r="BH112" s="9">
        <f t="shared" si="8"/>
        <v>0</v>
      </c>
      <c r="BI112" s="9">
        <f t="shared" si="9"/>
        <v>0</v>
      </c>
      <c r="BJ112" s="9">
        <f t="shared" si="9"/>
        <v>0</v>
      </c>
      <c r="BK112" s="9">
        <f t="shared" si="9"/>
        <v>0</v>
      </c>
      <c r="BL112" s="9">
        <f t="shared" si="9"/>
        <v>0</v>
      </c>
      <c r="BM112" s="9">
        <f t="shared" si="9"/>
        <v>0</v>
      </c>
      <c r="BN112" s="9">
        <f t="shared" si="9"/>
        <v>0</v>
      </c>
      <c r="BO112" s="9">
        <f t="shared" si="9"/>
        <v>0</v>
      </c>
    </row>
    <row r="113" spans="1:67">
      <c r="A113" s="84">
        <f t="shared" si="3"/>
        <v>0</v>
      </c>
      <c r="B113">
        <v>424</v>
      </c>
      <c r="C113" s="9">
        <f t="shared" si="4"/>
        <v>424.00000000000006</v>
      </c>
      <c r="D113" t="s">
        <v>27</v>
      </c>
      <c r="E113" s="9">
        <f t="shared" si="13"/>
        <v>0</v>
      </c>
      <c r="F113" s="9">
        <f t="shared" si="13"/>
        <v>0</v>
      </c>
      <c r="G113" s="9">
        <f t="shared" si="13"/>
        <v>0</v>
      </c>
      <c r="H113" s="9">
        <f t="shared" si="13"/>
        <v>0</v>
      </c>
      <c r="I113" s="9">
        <f t="shared" si="13"/>
        <v>0</v>
      </c>
      <c r="J113" s="9">
        <f t="shared" si="13"/>
        <v>0</v>
      </c>
      <c r="K113" s="9">
        <f t="shared" si="13"/>
        <v>0</v>
      </c>
      <c r="L113" s="9">
        <f t="shared" si="13"/>
        <v>0</v>
      </c>
      <c r="M113" s="9">
        <f t="shared" si="13"/>
        <v>0</v>
      </c>
      <c r="N113" s="9">
        <f t="shared" si="13"/>
        <v>0</v>
      </c>
      <c r="O113" s="9">
        <f t="shared" si="13"/>
        <v>45.6741490887933</v>
      </c>
      <c r="P113" s="9">
        <f t="shared" si="13"/>
        <v>55.503470269742166</v>
      </c>
      <c r="Q113" s="9">
        <f t="shared" si="13"/>
        <v>39.903356563220278</v>
      </c>
      <c r="R113" s="9">
        <f t="shared" si="13"/>
        <v>32.97708724754699</v>
      </c>
      <c r="S113" s="9">
        <f t="shared" si="13"/>
        <v>35.323163706299702</v>
      </c>
      <c r="T113" s="9">
        <f t="shared" si="13"/>
        <v>29.138053042315686</v>
      </c>
      <c r="U113" s="9">
        <f t="shared" si="11"/>
        <v>25.512298515152729</v>
      </c>
      <c r="V113" s="9">
        <f t="shared" si="11"/>
        <v>25.512298515152729</v>
      </c>
      <c r="W113" s="9">
        <f t="shared" si="11"/>
        <v>11.936034751555685</v>
      </c>
      <c r="X113" s="9">
        <f t="shared" si="11"/>
        <v>8.2366445916114728</v>
      </c>
      <c r="Y113" s="9">
        <f t="shared" si="11"/>
        <v>6.1774834437086055</v>
      </c>
      <c r="Z113" s="9">
        <f t="shared" si="11"/>
        <v>8.2366445916114728</v>
      </c>
      <c r="AA113" s="9">
        <f t="shared" si="11"/>
        <v>8.2366445916114728</v>
      </c>
      <c r="AB113" s="9">
        <f t="shared" si="11"/>
        <v>8.2366445916114728</v>
      </c>
      <c r="AC113" s="9">
        <f t="shared" si="11"/>
        <v>8.2366445916114728</v>
      </c>
      <c r="AD113" s="9">
        <f t="shared" si="11"/>
        <v>8.2366445916114728</v>
      </c>
      <c r="AE113" s="9">
        <f t="shared" si="11"/>
        <v>8.2366445916114728</v>
      </c>
      <c r="AF113" s="9">
        <f t="shared" si="12"/>
        <v>8.2366445916114728</v>
      </c>
      <c r="AG113" s="9">
        <f t="shared" si="12"/>
        <v>8.2366445916114728</v>
      </c>
      <c r="AH113" s="9">
        <f t="shared" si="12"/>
        <v>6.1774834437086055</v>
      </c>
      <c r="AI113" s="9">
        <f t="shared" si="12"/>
        <v>7.3006622516556225</v>
      </c>
      <c r="AJ113" s="9">
        <f t="shared" si="12"/>
        <v>4.4927152317880896</v>
      </c>
      <c r="AK113" s="9">
        <f t="shared" si="12"/>
        <v>3.3695364238410517</v>
      </c>
      <c r="AL113" s="9">
        <f t="shared" si="12"/>
        <v>4.4927152317880896</v>
      </c>
      <c r="AM113" s="9">
        <f t="shared" si="12"/>
        <v>4.4927152317880896</v>
      </c>
      <c r="AN113" s="9">
        <f t="shared" si="12"/>
        <v>4.4927152317880896</v>
      </c>
      <c r="AO113" s="9">
        <f t="shared" si="12"/>
        <v>4.4927152317880896</v>
      </c>
      <c r="AP113" s="9">
        <f t="shared" si="12"/>
        <v>2.9015452538631261</v>
      </c>
      <c r="AQ113" s="9">
        <f t="shared" si="12"/>
        <v>0</v>
      </c>
      <c r="AR113" s="9">
        <f t="shared" si="12"/>
        <v>0</v>
      </c>
      <c r="AS113" s="9">
        <f t="shared" si="12"/>
        <v>0</v>
      </c>
      <c r="AT113" s="9">
        <f t="shared" si="12"/>
        <v>0</v>
      </c>
      <c r="AU113" s="9">
        <f t="shared" si="12"/>
        <v>0</v>
      </c>
      <c r="AV113" s="9">
        <f t="shared" si="10"/>
        <v>0</v>
      </c>
      <c r="AW113" s="9">
        <f t="shared" si="10"/>
        <v>0</v>
      </c>
      <c r="AX113" s="9">
        <f t="shared" si="10"/>
        <v>0</v>
      </c>
      <c r="AY113" s="9">
        <f t="shared" si="10"/>
        <v>0</v>
      </c>
      <c r="AZ113" s="9">
        <f t="shared" si="10"/>
        <v>0</v>
      </c>
      <c r="BA113" s="9">
        <f t="shared" si="10"/>
        <v>0</v>
      </c>
      <c r="BB113" s="9">
        <f t="shared" si="10"/>
        <v>0</v>
      </c>
      <c r="BC113" s="9">
        <f t="shared" si="10"/>
        <v>0</v>
      </c>
      <c r="BD113" s="9">
        <f t="shared" si="10"/>
        <v>0</v>
      </c>
      <c r="BE113" s="9">
        <f t="shared" si="10"/>
        <v>0</v>
      </c>
      <c r="BF113" s="9">
        <f t="shared" si="10"/>
        <v>0</v>
      </c>
      <c r="BG113" s="9">
        <f t="shared" si="10"/>
        <v>0</v>
      </c>
      <c r="BH113" s="9">
        <f t="shared" si="8"/>
        <v>0</v>
      </c>
      <c r="BI113" s="9">
        <f t="shared" si="9"/>
        <v>0</v>
      </c>
      <c r="BJ113" s="9">
        <f t="shared" si="9"/>
        <v>0</v>
      </c>
      <c r="BK113" s="9">
        <f t="shared" si="9"/>
        <v>0</v>
      </c>
      <c r="BL113" s="9">
        <f t="shared" si="9"/>
        <v>0</v>
      </c>
      <c r="BM113" s="9">
        <f t="shared" si="9"/>
        <v>0</v>
      </c>
      <c r="BN113" s="9">
        <f t="shared" si="9"/>
        <v>0</v>
      </c>
      <c r="BO113" s="9">
        <f t="shared" si="9"/>
        <v>0</v>
      </c>
    </row>
    <row r="114" spans="1:67">
      <c r="A114" s="84">
        <f>2120-C114</f>
        <v>0</v>
      </c>
      <c r="B114">
        <v>2120</v>
      </c>
      <c r="C114" s="88">
        <f t="shared" si="4"/>
        <v>2120</v>
      </c>
      <c r="D114" t="s">
        <v>28</v>
      </c>
      <c r="E114" s="9">
        <f t="shared" si="13"/>
        <v>0</v>
      </c>
      <c r="F114" s="9">
        <f t="shared" si="13"/>
        <v>0</v>
      </c>
      <c r="G114" s="9">
        <f t="shared" si="13"/>
        <v>0</v>
      </c>
      <c r="H114" s="9">
        <f t="shared" si="13"/>
        <v>0</v>
      </c>
      <c r="I114" s="9">
        <f t="shared" si="13"/>
        <v>0</v>
      </c>
      <c r="J114" s="9">
        <f t="shared" si="13"/>
        <v>0</v>
      </c>
      <c r="K114" s="9">
        <f t="shared" si="13"/>
        <v>0</v>
      </c>
      <c r="L114" s="9">
        <f t="shared" si="13"/>
        <v>0</v>
      </c>
      <c r="M114" s="9">
        <f t="shared" si="13"/>
        <v>0</v>
      </c>
      <c r="N114" s="9">
        <f t="shared" si="13"/>
        <v>0</v>
      </c>
      <c r="O114" s="9">
        <f t="shared" si="13"/>
        <v>228.37074544396651</v>
      </c>
      <c r="P114" s="9">
        <f t="shared" si="13"/>
        <v>277.51735134871086</v>
      </c>
      <c r="Q114" s="9">
        <f t="shared" si="13"/>
        <v>199.5167828161014</v>
      </c>
      <c r="R114" s="9">
        <f t="shared" si="13"/>
        <v>164.88543623773495</v>
      </c>
      <c r="S114" s="9">
        <f t="shared" si="13"/>
        <v>176.61581853149852</v>
      </c>
      <c r="T114" s="9">
        <f t="shared" si="13"/>
        <v>145.69026521157843</v>
      </c>
      <c r="U114" s="9">
        <f t="shared" si="11"/>
        <v>127.56149257576365</v>
      </c>
      <c r="V114" s="9">
        <f t="shared" si="11"/>
        <v>127.56149257576365</v>
      </c>
      <c r="W114" s="9">
        <f t="shared" si="11"/>
        <v>59.680173757778419</v>
      </c>
      <c r="X114" s="9">
        <f t="shared" si="11"/>
        <v>41.183222958057364</v>
      </c>
      <c r="Y114" s="9">
        <f t="shared" si="11"/>
        <v>30.887417218543025</v>
      </c>
      <c r="Z114" s="9">
        <f t="shared" si="11"/>
        <v>41.183222958057364</v>
      </c>
      <c r="AA114" s="9">
        <f t="shared" si="11"/>
        <v>41.183222958057364</v>
      </c>
      <c r="AB114" s="9">
        <f t="shared" si="11"/>
        <v>41.183222958057364</v>
      </c>
      <c r="AC114" s="9">
        <f t="shared" si="11"/>
        <v>41.183222958057364</v>
      </c>
      <c r="AD114" s="9">
        <f t="shared" si="11"/>
        <v>41.183222958057364</v>
      </c>
      <c r="AE114" s="9">
        <f t="shared" si="11"/>
        <v>41.183222958057364</v>
      </c>
      <c r="AF114" s="9">
        <f t="shared" si="12"/>
        <v>41.183222958057364</v>
      </c>
      <c r="AG114" s="9">
        <f t="shared" si="12"/>
        <v>41.183222958057364</v>
      </c>
      <c r="AH114" s="9">
        <f t="shared" si="12"/>
        <v>30.887417218543025</v>
      </c>
      <c r="AI114" s="9">
        <f t="shared" si="12"/>
        <v>36.503311258278117</v>
      </c>
      <c r="AJ114" s="9">
        <f t="shared" si="12"/>
        <v>22.463576158940448</v>
      </c>
      <c r="AK114" s="9">
        <f t="shared" si="12"/>
        <v>16.847682119205256</v>
      </c>
      <c r="AL114" s="9">
        <f t="shared" si="12"/>
        <v>22.463576158940448</v>
      </c>
      <c r="AM114" s="9">
        <f t="shared" si="12"/>
        <v>22.463576158940448</v>
      </c>
      <c r="AN114" s="9">
        <f t="shared" si="12"/>
        <v>22.463576158940448</v>
      </c>
      <c r="AO114" s="9">
        <f t="shared" si="12"/>
        <v>22.463576158940448</v>
      </c>
      <c r="AP114" s="9">
        <f t="shared" si="12"/>
        <v>14.507726269315629</v>
      </c>
      <c r="AQ114" s="9">
        <f t="shared" si="12"/>
        <v>0</v>
      </c>
      <c r="AR114" s="9">
        <f t="shared" si="12"/>
        <v>0</v>
      </c>
      <c r="AS114" s="9">
        <f t="shared" si="12"/>
        <v>0</v>
      </c>
      <c r="AT114" s="9">
        <f t="shared" si="12"/>
        <v>0</v>
      </c>
      <c r="AU114" s="9">
        <f t="shared" si="12"/>
        <v>0</v>
      </c>
      <c r="AV114" s="9">
        <f t="shared" si="10"/>
        <v>0</v>
      </c>
      <c r="AW114" s="9">
        <f t="shared" si="10"/>
        <v>0</v>
      </c>
      <c r="AX114" s="9">
        <f t="shared" si="10"/>
        <v>0</v>
      </c>
      <c r="AY114" s="9">
        <f t="shared" si="10"/>
        <v>0</v>
      </c>
      <c r="AZ114" s="9">
        <f t="shared" si="10"/>
        <v>0</v>
      </c>
      <c r="BA114" s="9">
        <f t="shared" si="10"/>
        <v>0</v>
      </c>
      <c r="BB114" s="9">
        <f t="shared" si="10"/>
        <v>0</v>
      </c>
      <c r="BC114" s="9">
        <f t="shared" si="10"/>
        <v>0</v>
      </c>
      <c r="BD114" s="9">
        <f t="shared" si="10"/>
        <v>0</v>
      </c>
      <c r="BE114" s="9">
        <f t="shared" si="10"/>
        <v>0</v>
      </c>
      <c r="BF114" s="9">
        <f t="shared" si="10"/>
        <v>0</v>
      </c>
      <c r="BG114" s="9">
        <f t="shared" si="10"/>
        <v>0</v>
      </c>
      <c r="BH114" s="9">
        <f t="shared" si="8"/>
        <v>0</v>
      </c>
      <c r="BI114" s="9">
        <f t="shared" si="9"/>
        <v>0</v>
      </c>
      <c r="BJ114" s="9">
        <f t="shared" si="9"/>
        <v>0</v>
      </c>
      <c r="BK114" s="9">
        <f t="shared" si="9"/>
        <v>0</v>
      </c>
      <c r="BL114" s="9">
        <f t="shared" si="9"/>
        <v>0</v>
      </c>
      <c r="BM114" s="9">
        <f t="shared" si="9"/>
        <v>0</v>
      </c>
      <c r="BN114" s="9">
        <f t="shared" si="9"/>
        <v>0</v>
      </c>
      <c r="BO114" s="9">
        <f t="shared" si="9"/>
        <v>0</v>
      </c>
    </row>
    <row r="115" spans="1:67">
      <c r="A115" s="84">
        <f t="shared" si="3"/>
        <v>0</v>
      </c>
      <c r="B115">
        <v>5501.3510000000015</v>
      </c>
      <c r="C115" s="9">
        <f t="shared" si="4"/>
        <v>5501.3510000000015</v>
      </c>
      <c r="D115" t="s">
        <v>29</v>
      </c>
      <c r="E115" s="9">
        <f t="shared" si="13"/>
        <v>0</v>
      </c>
      <c r="F115" s="9">
        <f t="shared" si="13"/>
        <v>0</v>
      </c>
      <c r="G115" s="9">
        <f t="shared" si="13"/>
        <v>0</v>
      </c>
      <c r="H115" s="9">
        <f t="shared" si="13"/>
        <v>0</v>
      </c>
      <c r="I115" s="9">
        <f t="shared" si="13"/>
        <v>0</v>
      </c>
      <c r="J115" s="9">
        <f t="shared" si="13"/>
        <v>0</v>
      </c>
      <c r="K115" s="9">
        <f t="shared" si="13"/>
        <v>0</v>
      </c>
      <c r="L115" s="9">
        <f t="shared" si="13"/>
        <v>0</v>
      </c>
      <c r="M115" s="9">
        <f t="shared" si="13"/>
        <v>0</v>
      </c>
      <c r="N115" s="9">
        <f t="shared" si="13"/>
        <v>0</v>
      </c>
      <c r="O115" s="9">
        <f t="shared" si="13"/>
        <v>92.236484059699279</v>
      </c>
      <c r="P115" s="9">
        <f t="shared" si="13"/>
        <v>114.32654613282494</v>
      </c>
      <c r="Q115" s="9">
        <f t="shared" si="13"/>
        <v>101.28138160950505</v>
      </c>
      <c r="R115" s="9">
        <f t="shared" si="13"/>
        <v>108.95047082032227</v>
      </c>
      <c r="S115" s="9">
        <f t="shared" si="13"/>
        <v>177.36149819748951</v>
      </c>
      <c r="T115" s="9">
        <f t="shared" si="13"/>
        <v>154.71798595163418</v>
      </c>
      <c r="U115" s="9">
        <f t="shared" si="11"/>
        <v>152.337420613566</v>
      </c>
      <c r="V115" s="9">
        <f t="shared" si="11"/>
        <v>156.38146330695687</v>
      </c>
      <c r="W115" s="9">
        <f t="shared" si="11"/>
        <v>137.77469780117968</v>
      </c>
      <c r="X115" s="9">
        <f t="shared" si="11"/>
        <v>146.91756958118623</v>
      </c>
      <c r="Y115" s="9">
        <f t="shared" si="11"/>
        <v>170.55645831471907</v>
      </c>
      <c r="Z115" s="9">
        <f t="shared" si="11"/>
        <v>196.20694560450039</v>
      </c>
      <c r="AA115" s="9">
        <f t="shared" si="11"/>
        <v>214.34677009825711</v>
      </c>
      <c r="AB115" s="9">
        <f t="shared" si="11"/>
        <v>214.34677009825711</v>
      </c>
      <c r="AC115" s="9">
        <f t="shared" si="11"/>
        <v>173.27055294708762</v>
      </c>
      <c r="AD115" s="9">
        <f t="shared" si="11"/>
        <v>181.81098743926427</v>
      </c>
      <c r="AE115" s="9">
        <f t="shared" si="11"/>
        <v>181.81098743926427</v>
      </c>
      <c r="AF115" s="9">
        <f t="shared" si="12"/>
        <v>176.42240477822531</v>
      </c>
      <c r="AG115" s="9">
        <f t="shared" si="12"/>
        <v>185.65074343989633</v>
      </c>
      <c r="AH115" s="9">
        <f t="shared" si="12"/>
        <v>184.48547546793475</v>
      </c>
      <c r="AI115" s="9">
        <f t="shared" si="12"/>
        <v>186.43245272341261</v>
      </c>
      <c r="AJ115" s="9">
        <f t="shared" si="12"/>
        <v>226.10367772234224</v>
      </c>
      <c r="AK115" s="9">
        <f t="shared" si="12"/>
        <v>240.78730490391229</v>
      </c>
      <c r="AL115" s="9">
        <f t="shared" si="12"/>
        <v>229.10127225486602</v>
      </c>
      <c r="AM115" s="9">
        <f t="shared" si="12"/>
        <v>229.10127225486602</v>
      </c>
      <c r="AN115" s="9">
        <f t="shared" si="12"/>
        <v>226.54768859537947</v>
      </c>
      <c r="AO115" s="9">
        <f t="shared" si="12"/>
        <v>234.30641380403986</v>
      </c>
      <c r="AP115" s="9">
        <f t="shared" si="12"/>
        <v>229.48691550140074</v>
      </c>
      <c r="AQ115" s="9">
        <f t="shared" si="12"/>
        <v>161.96286759126323</v>
      </c>
      <c r="AR115" s="9">
        <f t="shared" si="12"/>
        <v>111.84904884360068</v>
      </c>
      <c r="AS115" s="9">
        <f t="shared" si="12"/>
        <v>78.924496100939095</v>
      </c>
      <c r="AT115" s="9">
        <f t="shared" si="12"/>
        <v>45.264094352727476</v>
      </c>
      <c r="AU115" s="9">
        <f t="shared" si="12"/>
        <v>45.264094352727476</v>
      </c>
      <c r="AV115" s="9">
        <f t="shared" si="10"/>
        <v>35.0257872967534</v>
      </c>
      <c r="AW115" s="9">
        <f t="shared" si="10"/>
        <v>0</v>
      </c>
      <c r="AX115" s="9">
        <f t="shared" si="10"/>
        <v>0</v>
      </c>
      <c r="AY115" s="9">
        <f t="shared" si="10"/>
        <v>0</v>
      </c>
      <c r="AZ115" s="9">
        <f t="shared" si="10"/>
        <v>0</v>
      </c>
      <c r="BA115" s="9">
        <f t="shared" si="10"/>
        <v>0</v>
      </c>
      <c r="BB115" s="9">
        <f t="shared" si="10"/>
        <v>0</v>
      </c>
      <c r="BC115" s="9">
        <f t="shared" si="10"/>
        <v>0</v>
      </c>
      <c r="BD115" s="9">
        <f t="shared" si="10"/>
        <v>0</v>
      </c>
      <c r="BE115" s="9">
        <f t="shared" si="10"/>
        <v>0</v>
      </c>
      <c r="BF115" s="9">
        <f t="shared" si="10"/>
        <v>0</v>
      </c>
      <c r="BG115" s="9">
        <f t="shared" si="10"/>
        <v>0</v>
      </c>
      <c r="BH115" s="9">
        <f t="shared" si="8"/>
        <v>0</v>
      </c>
      <c r="BI115" s="9">
        <f t="shared" si="9"/>
        <v>0</v>
      </c>
      <c r="BJ115" s="9">
        <f t="shared" si="9"/>
        <v>0</v>
      </c>
      <c r="BK115" s="9">
        <f t="shared" si="9"/>
        <v>0</v>
      </c>
      <c r="BL115" s="9">
        <f t="shared" si="9"/>
        <v>0</v>
      </c>
      <c r="BM115" s="9">
        <f t="shared" si="9"/>
        <v>0</v>
      </c>
      <c r="BN115" s="9">
        <f t="shared" si="9"/>
        <v>0</v>
      </c>
      <c r="BO115" s="9">
        <f t="shared" si="9"/>
        <v>0</v>
      </c>
    </row>
    <row r="116" spans="1:67" ht="15" thickBot="1">
      <c r="A116" s="84"/>
      <c r="C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row>
    <row r="117" spans="1:67" ht="15" thickBot="1">
      <c r="B117" s="89" t="s">
        <v>5192</v>
      </c>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row>
    <row r="118" spans="1:67">
      <c r="D118" t="s">
        <v>2</v>
      </c>
      <c r="E118" s="9"/>
      <c r="F118" s="9"/>
      <c r="G118" s="9"/>
      <c r="H118" s="9"/>
      <c r="I118" s="9"/>
      <c r="J118" s="9"/>
      <c r="K118" s="9"/>
      <c r="L118" s="9"/>
      <c r="M118" s="9"/>
      <c r="N118" s="9"/>
      <c r="O118" s="9">
        <f t="shared" ref="O118:BI118" si="14">(+O90/SUM($O90:$BE90))*-1620484.737</f>
        <v>-37148.285975534083</v>
      </c>
      <c r="P118" s="9">
        <f t="shared" si="14"/>
        <v>-51274.389620773487</v>
      </c>
      <c r="Q118" s="9">
        <f t="shared" si="14"/>
        <v>-49090.882859423364</v>
      </c>
      <c r="R118" s="9">
        <f t="shared" si="14"/>
        <v>-34557.516283464785</v>
      </c>
      <c r="S118" s="9">
        <f t="shared" si="14"/>
        <v>-30150.882678401311</v>
      </c>
      <c r="T118" s="9">
        <f t="shared" si="14"/>
        <v>-51406.856764836346</v>
      </c>
      <c r="U118" s="9">
        <f t="shared" si="14"/>
        <v>-58446.291533267737</v>
      </c>
      <c r="V118" s="9">
        <f t="shared" si="14"/>
        <v>-70952.630663068281</v>
      </c>
      <c r="W118" s="9">
        <f t="shared" si="14"/>
        <v>-70952.630663068267</v>
      </c>
      <c r="X118" s="9">
        <f t="shared" si="14"/>
        <v>-70785.879474670917</v>
      </c>
      <c r="Y118" s="9">
        <f t="shared" si="14"/>
        <v>-73287.147300631041</v>
      </c>
      <c r="Z118" s="9">
        <f t="shared" si="14"/>
        <v>-73287.147300631041</v>
      </c>
      <c r="AA118" s="9">
        <f t="shared" si="14"/>
        <v>-73287.147300631041</v>
      </c>
      <c r="AB118" s="9">
        <f t="shared" si="14"/>
        <v>-73287.147300631041</v>
      </c>
      <c r="AC118" s="9">
        <f t="shared" si="14"/>
        <v>-73287.147300631041</v>
      </c>
      <c r="AD118" s="9">
        <f t="shared" si="14"/>
        <v>-53277.004692950191</v>
      </c>
      <c r="AE118" s="9">
        <f t="shared" si="14"/>
        <v>-43271.933389109778</v>
      </c>
      <c r="AF118" s="9">
        <f t="shared" si="14"/>
        <v>-43271.933389109778</v>
      </c>
      <c r="AG118" s="9">
        <f t="shared" si="14"/>
        <v>-53277.004692950191</v>
      </c>
      <c r="AH118" s="9">
        <f t="shared" si="14"/>
        <v>-63282.075996790605</v>
      </c>
      <c r="AI118" s="9">
        <f t="shared" si="14"/>
        <v>-68284.611648710808</v>
      </c>
      <c r="AJ118" s="9">
        <f t="shared" si="14"/>
        <v>-68284.611648710808</v>
      </c>
      <c r="AK118" s="9">
        <f t="shared" si="14"/>
        <v>-68284.611648710808</v>
      </c>
      <c r="AL118" s="9">
        <f t="shared" si="14"/>
        <v>-68284.611648710808</v>
      </c>
      <c r="AM118" s="9">
        <f t="shared" si="14"/>
        <v>-65783.343822750714</v>
      </c>
      <c r="AN118" s="9">
        <f t="shared" si="14"/>
        <v>-64195.639057544278</v>
      </c>
      <c r="AO118" s="9">
        <f t="shared" si="14"/>
        <v>-23261.790781428954</v>
      </c>
      <c r="AP118" s="9">
        <f t="shared" si="14"/>
        <v>-23261.790781428954</v>
      </c>
      <c r="AQ118" s="9">
        <f t="shared" si="14"/>
        <v>-23261.790781428954</v>
      </c>
      <c r="AR118" s="9">
        <f t="shared" si="14"/>
        <v>0</v>
      </c>
      <c r="AS118" s="9">
        <f t="shared" si="14"/>
        <v>0</v>
      </c>
      <c r="AT118" s="9">
        <f t="shared" si="14"/>
        <v>0</v>
      </c>
      <c r="AU118" s="9">
        <f t="shared" si="14"/>
        <v>0</v>
      </c>
      <c r="AV118" s="9">
        <f t="shared" si="14"/>
        <v>0</v>
      </c>
      <c r="AW118" s="9">
        <f t="shared" si="14"/>
        <v>0</v>
      </c>
      <c r="AX118" s="9">
        <f t="shared" si="14"/>
        <v>0</v>
      </c>
      <c r="AY118" s="9">
        <f t="shared" si="14"/>
        <v>0</v>
      </c>
      <c r="AZ118" s="9">
        <f t="shared" si="14"/>
        <v>0</v>
      </c>
      <c r="BA118" s="9">
        <f t="shared" si="14"/>
        <v>0</v>
      </c>
      <c r="BB118" s="9">
        <f t="shared" si="14"/>
        <v>0</v>
      </c>
      <c r="BC118" s="9">
        <f t="shared" si="14"/>
        <v>0</v>
      </c>
      <c r="BD118" s="9">
        <f t="shared" si="14"/>
        <v>0</v>
      </c>
      <c r="BE118" s="9">
        <f t="shared" si="14"/>
        <v>0</v>
      </c>
      <c r="BF118" s="9">
        <f t="shared" si="14"/>
        <v>0</v>
      </c>
      <c r="BG118" s="9">
        <f t="shared" si="14"/>
        <v>0</v>
      </c>
      <c r="BH118" s="9">
        <f t="shared" si="14"/>
        <v>0</v>
      </c>
      <c r="BI118" s="9">
        <f t="shared" si="14"/>
        <v>0</v>
      </c>
      <c r="BJ118" s="9">
        <f t="shared" ref="BJ118" si="15">+BJ90/SUM($O90:$BE90)</f>
        <v>0</v>
      </c>
      <c r="BK118" s="9"/>
      <c r="BL118" s="9"/>
      <c r="BM118" s="9"/>
      <c r="BN118" s="9"/>
      <c r="BO118" s="9"/>
    </row>
    <row r="119" spans="1:67">
      <c r="D119" t="s">
        <v>5</v>
      </c>
      <c r="E119" s="9"/>
      <c r="F119" s="9"/>
      <c r="G119" s="9"/>
      <c r="H119" s="9"/>
      <c r="I119" s="9"/>
      <c r="J119" s="9"/>
      <c r="K119" s="9"/>
      <c r="L119" s="9"/>
      <c r="M119" s="9"/>
      <c r="N119" s="9"/>
      <c r="O119" s="9">
        <f t="shared" ref="O119:BI119" si="16">(+O91/SUM($O91:$BE91))*-2639.65200210852</f>
        <v>-26.351709718530184</v>
      </c>
      <c r="P119" s="9">
        <f t="shared" si="16"/>
        <v>-61.93875256866766</v>
      </c>
      <c r="Q119" s="9">
        <f t="shared" si="16"/>
        <v>-42.279950334610561</v>
      </c>
      <c r="R119" s="9">
        <f t="shared" si="16"/>
        <v>-65.880892320141186</v>
      </c>
      <c r="S119" s="9">
        <f t="shared" si="16"/>
        <v>-46.222090086084094</v>
      </c>
      <c r="T119" s="9">
        <f t="shared" si="16"/>
        <v>-59.086635042434132</v>
      </c>
      <c r="U119" s="9">
        <f t="shared" si="16"/>
        <v>-127.3298121932181</v>
      </c>
      <c r="V119" s="9">
        <f t="shared" si="16"/>
        <v>-112.46744632513109</v>
      </c>
      <c r="W119" s="9">
        <f t="shared" si="16"/>
        <v>-96.539205709050719</v>
      </c>
      <c r="X119" s="9">
        <f t="shared" si="16"/>
        <v>-108.52530657365757</v>
      </c>
      <c r="Y119" s="9">
        <f t="shared" si="16"/>
        <v>-108.52530657365757</v>
      </c>
      <c r="Z119" s="9">
        <f t="shared" si="16"/>
        <v>-92.597065957577186</v>
      </c>
      <c r="AA119" s="9">
        <f t="shared" si="16"/>
        <v>-92.597065957577186</v>
      </c>
      <c r="AB119" s="9">
        <f t="shared" si="16"/>
        <v>-87.380812292032758</v>
      </c>
      <c r="AC119" s="9">
        <f t="shared" si="16"/>
        <v>-87.380812292032758</v>
      </c>
      <c r="AD119" s="9">
        <f t="shared" si="16"/>
        <v>-82.552938609057307</v>
      </c>
      <c r="AE119" s="9">
        <f t="shared" si="16"/>
        <v>-62.894136375000187</v>
      </c>
      <c r="AF119" s="9">
        <f t="shared" si="16"/>
        <v>-65.460536718888747</v>
      </c>
      <c r="AG119" s="9">
        <f t="shared" si="16"/>
        <v>-120.70638180308333</v>
      </c>
      <c r="AH119" s="9">
        <f t="shared" si="16"/>
        <v>-136.63462241916372</v>
      </c>
      <c r="AI119" s="9">
        <f t="shared" si="16"/>
        <v>-136.63462241916372</v>
      </c>
      <c r="AJ119" s="9">
        <f t="shared" si="16"/>
        <v>-136.63462241916372</v>
      </c>
      <c r="AK119" s="9">
        <f t="shared" si="16"/>
        <v>-120.70638180308333</v>
      </c>
      <c r="AL119" s="9">
        <f t="shared" si="16"/>
        <v>-104.77814118700297</v>
      </c>
      <c r="AM119" s="9">
        <f t="shared" si="16"/>
        <v>-104.77814118700297</v>
      </c>
      <c r="AN119" s="9">
        <f t="shared" si="16"/>
        <v>-78.635208936228409</v>
      </c>
      <c r="AO119" s="9">
        <f t="shared" si="16"/>
        <v>-97.749097675524865</v>
      </c>
      <c r="AP119" s="9">
        <f t="shared" si="16"/>
        <v>-97.749097675524865</v>
      </c>
      <c r="AQ119" s="9">
        <f t="shared" si="16"/>
        <v>-78.635208936228409</v>
      </c>
      <c r="AR119" s="9">
        <f t="shared" si="16"/>
        <v>0</v>
      </c>
      <c r="AS119" s="9">
        <f t="shared" si="16"/>
        <v>0</v>
      </c>
      <c r="AT119" s="9">
        <f t="shared" si="16"/>
        <v>0</v>
      </c>
      <c r="AU119" s="9">
        <f t="shared" si="16"/>
        <v>0</v>
      </c>
      <c r="AV119" s="9">
        <f t="shared" si="16"/>
        <v>0</v>
      </c>
      <c r="AW119" s="9">
        <f t="shared" si="16"/>
        <v>0</v>
      </c>
      <c r="AX119" s="9">
        <f t="shared" si="16"/>
        <v>0</v>
      </c>
      <c r="AY119" s="9">
        <f t="shared" si="16"/>
        <v>0</v>
      </c>
      <c r="AZ119" s="9">
        <f t="shared" si="16"/>
        <v>0</v>
      </c>
      <c r="BA119" s="9">
        <f t="shared" si="16"/>
        <v>0</v>
      </c>
      <c r="BB119" s="9">
        <f t="shared" si="16"/>
        <v>0</v>
      </c>
      <c r="BC119" s="9">
        <f t="shared" si="16"/>
        <v>0</v>
      </c>
      <c r="BD119" s="9">
        <f t="shared" si="16"/>
        <v>0</v>
      </c>
      <c r="BE119" s="9">
        <f t="shared" si="16"/>
        <v>0</v>
      </c>
      <c r="BF119" s="9">
        <f t="shared" si="16"/>
        <v>0</v>
      </c>
      <c r="BG119" s="9">
        <f t="shared" si="16"/>
        <v>0</v>
      </c>
      <c r="BH119" s="9">
        <f t="shared" si="16"/>
        <v>0</v>
      </c>
      <c r="BI119" s="9">
        <f t="shared" si="16"/>
        <v>0</v>
      </c>
      <c r="BJ119" s="9">
        <f t="shared" ref="BJ119" si="17">+BJ91/SUM($O91:$BE91)</f>
        <v>0</v>
      </c>
      <c r="BK119" s="9"/>
      <c r="BL119" s="9"/>
      <c r="BM119" s="9"/>
      <c r="BN119" s="9"/>
      <c r="BO119" s="9"/>
    </row>
    <row r="120" spans="1:67">
      <c r="D120" t="s">
        <v>6</v>
      </c>
      <c r="E120" s="9"/>
      <c r="F120" s="9"/>
      <c r="G120" s="9"/>
      <c r="H120" s="9"/>
      <c r="I120" s="9"/>
      <c r="J120" s="9"/>
      <c r="K120" s="9"/>
      <c r="L120" s="9"/>
      <c r="M120" s="9"/>
      <c r="N120" s="9"/>
      <c r="O120" s="9">
        <f t="shared" ref="O120:BI120" si="18">(+O92/SUM($O92:$BE92))*0</f>
        <v>0</v>
      </c>
      <c r="P120" s="9">
        <f t="shared" si="18"/>
        <v>0</v>
      </c>
      <c r="Q120" s="9">
        <f t="shared" si="18"/>
        <v>0</v>
      </c>
      <c r="R120" s="9">
        <f t="shared" si="18"/>
        <v>0</v>
      </c>
      <c r="S120" s="9">
        <f t="shared" si="18"/>
        <v>0</v>
      </c>
      <c r="T120" s="9">
        <f t="shared" si="18"/>
        <v>0</v>
      </c>
      <c r="U120" s="9">
        <f t="shared" si="18"/>
        <v>0</v>
      </c>
      <c r="V120" s="9">
        <f t="shared" si="18"/>
        <v>0</v>
      </c>
      <c r="W120" s="9">
        <f t="shared" si="18"/>
        <v>0</v>
      </c>
      <c r="X120" s="9">
        <f t="shared" si="18"/>
        <v>0</v>
      </c>
      <c r="Y120" s="9">
        <f t="shared" si="18"/>
        <v>0</v>
      </c>
      <c r="Z120" s="9">
        <f t="shared" si="18"/>
        <v>0</v>
      </c>
      <c r="AA120" s="9">
        <f t="shared" si="18"/>
        <v>0</v>
      </c>
      <c r="AB120" s="9">
        <f t="shared" si="18"/>
        <v>0</v>
      </c>
      <c r="AC120" s="9">
        <f t="shared" si="18"/>
        <v>0</v>
      </c>
      <c r="AD120" s="9">
        <f t="shared" si="18"/>
        <v>0</v>
      </c>
      <c r="AE120" s="9">
        <f t="shared" si="18"/>
        <v>0</v>
      </c>
      <c r="AF120" s="9">
        <f t="shared" si="18"/>
        <v>0</v>
      </c>
      <c r="AG120" s="9">
        <f t="shared" si="18"/>
        <v>0</v>
      </c>
      <c r="AH120" s="9">
        <f t="shared" si="18"/>
        <v>0</v>
      </c>
      <c r="AI120" s="9">
        <f t="shared" si="18"/>
        <v>0</v>
      </c>
      <c r="AJ120" s="9">
        <f t="shared" si="18"/>
        <v>0</v>
      </c>
      <c r="AK120" s="9">
        <f t="shared" si="18"/>
        <v>0</v>
      </c>
      <c r="AL120" s="9">
        <f t="shared" si="18"/>
        <v>0</v>
      </c>
      <c r="AM120" s="9">
        <f t="shared" si="18"/>
        <v>0</v>
      </c>
      <c r="AN120" s="9">
        <f t="shared" si="18"/>
        <v>0</v>
      </c>
      <c r="AO120" s="9">
        <f t="shared" si="18"/>
        <v>0</v>
      </c>
      <c r="AP120" s="9">
        <f t="shared" si="18"/>
        <v>0</v>
      </c>
      <c r="AQ120" s="9">
        <f t="shared" si="18"/>
        <v>0</v>
      </c>
      <c r="AR120" s="9">
        <f t="shared" si="18"/>
        <v>0</v>
      </c>
      <c r="AS120" s="9">
        <f t="shared" si="18"/>
        <v>0</v>
      </c>
      <c r="AT120" s="9">
        <f t="shared" si="18"/>
        <v>0</v>
      </c>
      <c r="AU120" s="9">
        <f t="shared" si="18"/>
        <v>0</v>
      </c>
      <c r="AV120" s="9">
        <f t="shared" si="18"/>
        <v>0</v>
      </c>
      <c r="AW120" s="9">
        <f t="shared" si="18"/>
        <v>0</v>
      </c>
      <c r="AX120" s="9">
        <f t="shared" si="18"/>
        <v>0</v>
      </c>
      <c r="AY120" s="9">
        <f t="shared" si="18"/>
        <v>0</v>
      </c>
      <c r="AZ120" s="9">
        <f t="shared" si="18"/>
        <v>0</v>
      </c>
      <c r="BA120" s="9">
        <f t="shared" si="18"/>
        <v>0</v>
      </c>
      <c r="BB120" s="9">
        <f t="shared" si="18"/>
        <v>0</v>
      </c>
      <c r="BC120" s="9">
        <f t="shared" si="18"/>
        <v>0</v>
      </c>
      <c r="BD120" s="9">
        <f t="shared" si="18"/>
        <v>0</v>
      </c>
      <c r="BE120" s="9">
        <f t="shared" si="18"/>
        <v>0</v>
      </c>
      <c r="BF120" s="9">
        <f t="shared" si="18"/>
        <v>0</v>
      </c>
      <c r="BG120" s="9">
        <f t="shared" si="18"/>
        <v>0</v>
      </c>
      <c r="BH120" s="9">
        <f t="shared" si="18"/>
        <v>0</v>
      </c>
      <c r="BI120" s="9">
        <f t="shared" si="18"/>
        <v>0</v>
      </c>
      <c r="BJ120" s="9">
        <f t="shared" ref="BJ120" si="19">+BJ92/SUM($O92:$BE92)</f>
        <v>0</v>
      </c>
      <c r="BK120" s="9"/>
      <c r="BL120" s="9"/>
      <c r="BM120" s="9"/>
      <c r="BN120" s="9"/>
      <c r="BO120" s="9"/>
    </row>
    <row r="121" spans="1:67">
      <c r="D121" t="s">
        <v>7</v>
      </c>
      <c r="E121" s="9"/>
      <c r="F121" s="9"/>
      <c r="G121" s="9"/>
      <c r="H121" s="9"/>
      <c r="I121" s="9"/>
      <c r="J121" s="9"/>
      <c r="K121" s="9"/>
      <c r="L121" s="9"/>
      <c r="M121" s="9"/>
      <c r="N121" s="9"/>
      <c r="O121" s="9">
        <f>((+O93/SUM($O93:$BE93)))*$A$93</f>
        <v>0</v>
      </c>
      <c r="P121" s="9">
        <f t="shared" ref="P121:BJ121" si="20">((+P93/SUM($O93:$BE93)))*$A$93</f>
        <v>0</v>
      </c>
      <c r="Q121" s="9">
        <f t="shared" si="20"/>
        <v>0</v>
      </c>
      <c r="R121" s="9">
        <f t="shared" si="20"/>
        <v>0</v>
      </c>
      <c r="S121" s="9">
        <f t="shared" si="20"/>
        <v>0</v>
      </c>
      <c r="T121" s="9">
        <f t="shared" si="20"/>
        <v>0</v>
      </c>
      <c r="U121" s="9">
        <f t="shared" si="20"/>
        <v>0</v>
      </c>
      <c r="V121" s="9">
        <f t="shared" si="20"/>
        <v>0</v>
      </c>
      <c r="W121" s="9">
        <f t="shared" si="20"/>
        <v>0</v>
      </c>
      <c r="X121" s="9">
        <f t="shared" si="20"/>
        <v>0</v>
      </c>
      <c r="Y121" s="9">
        <f t="shared" si="20"/>
        <v>0</v>
      </c>
      <c r="Z121" s="9">
        <f t="shared" si="20"/>
        <v>0</v>
      </c>
      <c r="AA121" s="9">
        <f t="shared" si="20"/>
        <v>0</v>
      </c>
      <c r="AB121" s="9">
        <f t="shared" si="20"/>
        <v>0</v>
      </c>
      <c r="AC121" s="9">
        <f t="shared" si="20"/>
        <v>0</v>
      </c>
      <c r="AD121" s="9">
        <f t="shared" si="20"/>
        <v>0</v>
      </c>
      <c r="AE121" s="9">
        <f t="shared" si="20"/>
        <v>0</v>
      </c>
      <c r="AF121" s="9">
        <f t="shared" si="20"/>
        <v>0</v>
      </c>
      <c r="AG121" s="9">
        <f t="shared" si="20"/>
        <v>0</v>
      </c>
      <c r="AH121" s="9">
        <f t="shared" si="20"/>
        <v>0</v>
      </c>
      <c r="AI121" s="9">
        <f t="shared" si="20"/>
        <v>0</v>
      </c>
      <c r="AJ121" s="9">
        <f t="shared" si="20"/>
        <v>0</v>
      </c>
      <c r="AK121" s="9">
        <f t="shared" si="20"/>
        <v>0</v>
      </c>
      <c r="AL121" s="9">
        <f t="shared" si="20"/>
        <v>0</v>
      </c>
      <c r="AM121" s="9">
        <f t="shared" si="20"/>
        <v>0</v>
      </c>
      <c r="AN121" s="9">
        <f t="shared" si="20"/>
        <v>0</v>
      </c>
      <c r="AO121" s="9">
        <f t="shared" si="20"/>
        <v>0</v>
      </c>
      <c r="AP121" s="9">
        <f t="shared" si="20"/>
        <v>0</v>
      </c>
      <c r="AQ121" s="9">
        <f t="shared" si="20"/>
        <v>0</v>
      </c>
      <c r="AR121" s="9">
        <f t="shared" si="20"/>
        <v>0</v>
      </c>
      <c r="AS121" s="9">
        <f t="shared" si="20"/>
        <v>0</v>
      </c>
      <c r="AT121" s="9">
        <f t="shared" si="20"/>
        <v>0</v>
      </c>
      <c r="AU121" s="9">
        <f t="shared" si="20"/>
        <v>0</v>
      </c>
      <c r="AV121" s="9">
        <f t="shared" si="20"/>
        <v>0</v>
      </c>
      <c r="AW121" s="9">
        <f t="shared" si="20"/>
        <v>0</v>
      </c>
      <c r="AX121" s="9">
        <f t="shared" si="20"/>
        <v>0</v>
      </c>
      <c r="AY121" s="9">
        <f t="shared" si="20"/>
        <v>0</v>
      </c>
      <c r="AZ121" s="9">
        <f t="shared" si="20"/>
        <v>0</v>
      </c>
      <c r="BA121" s="9">
        <f t="shared" si="20"/>
        <v>0</v>
      </c>
      <c r="BB121" s="9">
        <f t="shared" si="20"/>
        <v>0</v>
      </c>
      <c r="BC121" s="9">
        <f t="shared" si="20"/>
        <v>0</v>
      </c>
      <c r="BD121" s="9">
        <f t="shared" si="20"/>
        <v>0</v>
      </c>
      <c r="BE121" s="9">
        <f t="shared" si="20"/>
        <v>0</v>
      </c>
      <c r="BF121" s="9">
        <f t="shared" si="20"/>
        <v>0</v>
      </c>
      <c r="BG121" s="9">
        <f t="shared" si="20"/>
        <v>0</v>
      </c>
      <c r="BH121" s="9">
        <f t="shared" si="20"/>
        <v>0</v>
      </c>
      <c r="BI121" s="9">
        <f t="shared" si="20"/>
        <v>0</v>
      </c>
      <c r="BJ121" s="9">
        <f t="shared" si="20"/>
        <v>0</v>
      </c>
      <c r="BK121" s="9"/>
      <c r="BL121" s="9"/>
      <c r="BM121" s="9"/>
      <c r="BN121" s="9"/>
      <c r="BO121" s="9"/>
    </row>
    <row r="122" spans="1:67">
      <c r="D122" t="s">
        <v>8</v>
      </c>
      <c r="E122" s="9"/>
      <c r="F122" s="9"/>
      <c r="G122" s="9"/>
      <c r="H122" s="9"/>
      <c r="I122" s="9"/>
      <c r="J122" s="9"/>
      <c r="K122" s="9"/>
      <c r="L122" s="9"/>
      <c r="M122" s="9"/>
      <c r="N122" s="9"/>
      <c r="O122" s="9">
        <f t="shared" ref="O122:BI122" si="21">(+O94/SUM($O94:$BE94))*-75.7013578293554</f>
        <v>-0.52573804136503077</v>
      </c>
      <c r="P122" s="9">
        <f t="shared" si="21"/>
        <v>-1.1043288655143735</v>
      </c>
      <c r="Q122" s="9">
        <f t="shared" si="21"/>
        <v>-2.6946347293044202</v>
      </c>
      <c r="R122" s="9">
        <f t="shared" si="21"/>
        <v>-2.7503695752155184</v>
      </c>
      <c r="S122" s="9">
        <f t="shared" si="21"/>
        <v>-2.6538700343607649</v>
      </c>
      <c r="T122" s="9">
        <f t="shared" si="21"/>
        <v>-3.121270666687276</v>
      </c>
      <c r="U122" s="9">
        <f t="shared" si="21"/>
        <v>-3.8046167077314839</v>
      </c>
      <c r="V122" s="9">
        <f t="shared" si="21"/>
        <v>-2.8744760829372598</v>
      </c>
      <c r="W122" s="9">
        <f t="shared" si="21"/>
        <v>-3.3569932995988903</v>
      </c>
      <c r="X122" s="9">
        <f t="shared" si="21"/>
        <v>-3.8739736161774498</v>
      </c>
      <c r="Y122" s="9">
        <f t="shared" si="21"/>
        <v>-4.4868907846015782</v>
      </c>
      <c r="Z122" s="9">
        <f t="shared" si="21"/>
        <v>-4.4369892581423676</v>
      </c>
      <c r="AA122" s="9">
        <f t="shared" si="21"/>
        <v>-4.1140961158554257</v>
      </c>
      <c r="AB122" s="9">
        <f t="shared" si="21"/>
        <v>-3.1909905972105643</v>
      </c>
      <c r="AC122" s="9">
        <f t="shared" si="21"/>
        <v>-2.3528960979984799</v>
      </c>
      <c r="AD122" s="9">
        <f t="shared" si="21"/>
        <v>-1.7736145286173315</v>
      </c>
      <c r="AE122" s="9">
        <f t="shared" si="21"/>
        <v>-1.6174863265461059</v>
      </c>
      <c r="AF122" s="9">
        <f t="shared" si="21"/>
        <v>-1.9996276928769305</v>
      </c>
      <c r="AG122" s="9">
        <f t="shared" si="21"/>
        <v>-2.2700193963947601</v>
      </c>
      <c r="AH122" s="9">
        <f t="shared" si="21"/>
        <v>-2.6977459006077451</v>
      </c>
      <c r="AI122" s="9">
        <f t="shared" si="21"/>
        <v>-3.1450017389561302</v>
      </c>
      <c r="AJ122" s="9">
        <f t="shared" si="21"/>
        <v>-3.1450017389561302</v>
      </c>
      <c r="AK122" s="9">
        <f t="shared" si="21"/>
        <v>-3.0676091171478075</v>
      </c>
      <c r="AL122" s="9">
        <f t="shared" si="21"/>
        <v>-2.9902164953394847</v>
      </c>
      <c r="AM122" s="9">
        <f t="shared" si="21"/>
        <v>-2.542960656991101</v>
      </c>
      <c r="AN122" s="9">
        <f t="shared" si="21"/>
        <v>-1.2270653588861959</v>
      </c>
      <c r="AO122" s="9">
        <f t="shared" si="21"/>
        <v>-1.3279045232242945</v>
      </c>
      <c r="AP122" s="9">
        <f t="shared" si="21"/>
        <v>-1.3279045232242945</v>
      </c>
      <c r="AQ122" s="9">
        <f t="shared" si="21"/>
        <v>-1.2270653588861959</v>
      </c>
      <c r="AR122" s="9">
        <f t="shared" si="21"/>
        <v>0</v>
      </c>
      <c r="AS122" s="9">
        <f t="shared" si="21"/>
        <v>0</v>
      </c>
      <c r="AT122" s="9">
        <f t="shared" si="21"/>
        <v>0</v>
      </c>
      <c r="AU122" s="9">
        <f t="shared" si="21"/>
        <v>0</v>
      </c>
      <c r="AV122" s="9">
        <f t="shared" si="21"/>
        <v>0</v>
      </c>
      <c r="AW122" s="9">
        <f t="shared" si="21"/>
        <v>0</v>
      </c>
      <c r="AX122" s="9">
        <f t="shared" si="21"/>
        <v>0</v>
      </c>
      <c r="AY122" s="9">
        <f t="shared" si="21"/>
        <v>0</v>
      </c>
      <c r="AZ122" s="9">
        <f t="shared" si="21"/>
        <v>0</v>
      </c>
      <c r="BA122" s="9">
        <f t="shared" si="21"/>
        <v>0</v>
      </c>
      <c r="BB122" s="9">
        <f t="shared" si="21"/>
        <v>0</v>
      </c>
      <c r="BC122" s="9">
        <f t="shared" si="21"/>
        <v>0</v>
      </c>
      <c r="BD122" s="9">
        <f t="shared" si="21"/>
        <v>0</v>
      </c>
      <c r="BE122" s="9">
        <f t="shared" si="21"/>
        <v>0</v>
      </c>
      <c r="BF122" s="9">
        <f t="shared" si="21"/>
        <v>0</v>
      </c>
      <c r="BG122" s="9">
        <f t="shared" si="21"/>
        <v>0</v>
      </c>
      <c r="BH122" s="9">
        <f t="shared" si="21"/>
        <v>0</v>
      </c>
      <c r="BI122" s="9">
        <f t="shared" si="21"/>
        <v>0</v>
      </c>
      <c r="BJ122" s="9">
        <f t="shared" ref="BJ122" si="22">+BJ94/SUM($O94:$BE94)</f>
        <v>0</v>
      </c>
      <c r="BK122" s="9"/>
      <c r="BL122" s="9"/>
      <c r="BM122" s="9"/>
      <c r="BN122" s="9"/>
      <c r="BO122" s="9"/>
    </row>
    <row r="123" spans="1:67">
      <c r="D123" t="s">
        <v>9</v>
      </c>
      <c r="E123" s="9"/>
      <c r="F123" s="9"/>
      <c r="G123" s="9"/>
      <c r="H123" s="9"/>
      <c r="I123" s="9"/>
      <c r="J123" s="9"/>
      <c r="K123" s="9"/>
      <c r="L123" s="9"/>
      <c r="M123" s="9"/>
      <c r="N123" s="9"/>
      <c r="O123" s="9">
        <f t="shared" ref="O123:BI123" si="23">(+O95/SUM($O95:$BE95))*-136.225352778807</f>
        <v>-0.17559118332830259</v>
      </c>
      <c r="P123" s="9">
        <f t="shared" si="23"/>
        <v>-0.4127208053511417</v>
      </c>
      <c r="Q123" s="9">
        <f t="shared" si="23"/>
        <v>-4.1959146274869177</v>
      </c>
      <c r="R123" s="9">
        <f t="shared" si="23"/>
        <v>-4.190906808022965</v>
      </c>
      <c r="S123" s="9">
        <f t="shared" si="23"/>
        <v>-4.1996228480713764</v>
      </c>
      <c r="T123" s="9">
        <f t="shared" si="23"/>
        <v>-4.1996228480713773</v>
      </c>
      <c r="U123" s="9">
        <f t="shared" si="23"/>
        <v>-8.2385339900489107</v>
      </c>
      <c r="V123" s="9">
        <f t="shared" si="23"/>
        <v>-4.0389111419775228</v>
      </c>
      <c r="W123" s="9">
        <f t="shared" si="23"/>
        <v>-4.0389111419775245</v>
      </c>
      <c r="X123" s="9">
        <f t="shared" si="23"/>
        <v>-8.0514241719159774</v>
      </c>
      <c r="Y123" s="9">
        <f t="shared" si="23"/>
        <v>-12.204727132729481</v>
      </c>
      <c r="Z123" s="9">
        <f t="shared" si="23"/>
        <v>-12.204727132729483</v>
      </c>
      <c r="AA123" s="9">
        <f t="shared" si="23"/>
        <v>-12.204727132729483</v>
      </c>
      <c r="AB123" s="9">
        <f t="shared" si="23"/>
        <v>-10.620840410385348</v>
      </c>
      <c r="AC123" s="9">
        <f t="shared" si="23"/>
        <v>-6.5819292684078139</v>
      </c>
      <c r="AD123" s="9">
        <f t="shared" si="23"/>
        <v>-4.153302960813491</v>
      </c>
      <c r="AE123" s="9">
        <f t="shared" si="23"/>
        <v>-3.8013281336259066</v>
      </c>
      <c r="AF123" s="9">
        <f t="shared" si="23"/>
        <v>-3.8013281336259084</v>
      </c>
      <c r="AG123" s="9">
        <f t="shared" si="23"/>
        <v>-3.8013281336259137</v>
      </c>
      <c r="AH123" s="9">
        <f t="shared" si="23"/>
        <v>-3.8013281336259097</v>
      </c>
      <c r="AI123" s="9">
        <f t="shared" si="23"/>
        <v>-3.8013281336259097</v>
      </c>
      <c r="AJ123" s="9">
        <f t="shared" si="23"/>
        <v>-3.8013281336259097</v>
      </c>
      <c r="AK123" s="9">
        <f t="shared" si="23"/>
        <v>-3.8013281336259137</v>
      </c>
      <c r="AL123" s="9">
        <f t="shared" si="23"/>
        <v>-3.8013281336259075</v>
      </c>
      <c r="AM123" s="9">
        <f t="shared" si="23"/>
        <v>-3.7516864273731083</v>
      </c>
      <c r="AN123" s="9">
        <f t="shared" si="23"/>
        <v>-0.52397546633079695</v>
      </c>
      <c r="AO123" s="9">
        <f t="shared" si="23"/>
        <v>-0.65133837285896579</v>
      </c>
      <c r="AP123" s="9">
        <f t="shared" si="23"/>
        <v>-0.65133837285896579</v>
      </c>
      <c r="AQ123" s="9">
        <f t="shared" si="23"/>
        <v>-0.52397546633079695</v>
      </c>
      <c r="AR123" s="9">
        <f t="shared" si="23"/>
        <v>0</v>
      </c>
      <c r="AS123" s="9">
        <f t="shared" si="23"/>
        <v>0</v>
      </c>
      <c r="AT123" s="9">
        <f t="shared" si="23"/>
        <v>0</v>
      </c>
      <c r="AU123" s="9">
        <f t="shared" si="23"/>
        <v>0</v>
      </c>
      <c r="AV123" s="9">
        <f t="shared" si="23"/>
        <v>0</v>
      </c>
      <c r="AW123" s="9">
        <f t="shared" si="23"/>
        <v>0</v>
      </c>
      <c r="AX123" s="9">
        <f t="shared" si="23"/>
        <v>0</v>
      </c>
      <c r="AY123" s="9">
        <f t="shared" si="23"/>
        <v>0</v>
      </c>
      <c r="AZ123" s="9">
        <f t="shared" si="23"/>
        <v>0</v>
      </c>
      <c r="BA123" s="9">
        <f t="shared" si="23"/>
        <v>0</v>
      </c>
      <c r="BB123" s="9">
        <f t="shared" si="23"/>
        <v>0</v>
      </c>
      <c r="BC123" s="9">
        <f t="shared" si="23"/>
        <v>0</v>
      </c>
      <c r="BD123" s="9">
        <f t="shared" si="23"/>
        <v>0</v>
      </c>
      <c r="BE123" s="9">
        <f t="shared" si="23"/>
        <v>0</v>
      </c>
      <c r="BF123" s="9">
        <f t="shared" si="23"/>
        <v>0</v>
      </c>
      <c r="BG123" s="9">
        <f t="shared" si="23"/>
        <v>0</v>
      </c>
      <c r="BH123" s="9">
        <f t="shared" si="23"/>
        <v>0</v>
      </c>
      <c r="BI123" s="9">
        <f t="shared" si="23"/>
        <v>0</v>
      </c>
      <c r="BJ123" s="9">
        <f t="shared" ref="BJ123" si="24">+BJ95/SUM($O95:$BE95)</f>
        <v>0</v>
      </c>
      <c r="BK123" s="9"/>
      <c r="BL123" s="9"/>
      <c r="BM123" s="9"/>
      <c r="BN123" s="9"/>
      <c r="BO123" s="9"/>
    </row>
    <row r="124" spans="1:67">
      <c r="D124" t="s">
        <v>10</v>
      </c>
      <c r="E124" s="9"/>
      <c r="F124" s="9"/>
      <c r="G124" s="9"/>
      <c r="H124" s="9"/>
      <c r="I124" s="9"/>
      <c r="J124" s="9"/>
      <c r="K124" s="9"/>
      <c r="L124" s="9"/>
      <c r="M124" s="9"/>
      <c r="N124" s="9"/>
      <c r="O124" s="9">
        <f>((+O96/SUM($O96:$BE96)))*$A$96</f>
        <v>0</v>
      </c>
      <c r="P124" s="9">
        <f t="shared" ref="P124:BJ124" si="25">((+P96/SUM($O96:$BE96)))*$A$96</f>
        <v>-7.5555756969757846E-14</v>
      </c>
      <c r="Q124" s="9">
        <f t="shared" si="25"/>
        <v>-3.2521683616896193E-13</v>
      </c>
      <c r="R124" s="9">
        <f t="shared" si="25"/>
        <v>-4.0077259313871979E-13</v>
      </c>
      <c r="S124" s="9">
        <f t="shared" si="25"/>
        <v>-3.2521683616896193E-13</v>
      </c>
      <c r="T124" s="9">
        <f t="shared" si="25"/>
        <v>-3.2521683616896193E-13</v>
      </c>
      <c r="U124" s="9">
        <f t="shared" si="25"/>
        <v>-8.6465550362512227E-13</v>
      </c>
      <c r="V124" s="9">
        <f t="shared" si="25"/>
        <v>-5.3943866745616049E-13</v>
      </c>
      <c r="W124" s="9">
        <f t="shared" si="25"/>
        <v>-5.3943866745616049E-13</v>
      </c>
      <c r="X124" s="9">
        <f t="shared" si="25"/>
        <v>-8.5016580650927761E-13</v>
      </c>
      <c r="Y124" s="9">
        <f t="shared" si="25"/>
        <v>-1.171795652195837E-12</v>
      </c>
      <c r="Z124" s="9">
        <f t="shared" si="25"/>
        <v>-1.171795652195837E-12</v>
      </c>
      <c r="AA124" s="9">
        <f t="shared" si="25"/>
        <v>-1.171795652195837E-12</v>
      </c>
      <c r="AB124" s="9">
        <f t="shared" si="25"/>
        <v>-1.0491402025696065E-12</v>
      </c>
      <c r="AC124" s="9">
        <f t="shared" si="25"/>
        <v>-7.3636880602271965E-13</v>
      </c>
      <c r="AD124" s="9">
        <f t="shared" si="25"/>
        <v>-5.4829711659583301E-13</v>
      </c>
      <c r="AE124" s="9">
        <f t="shared" si="25"/>
        <v>-4.4548459304246887E-13</v>
      </c>
      <c r="AF124" s="9">
        <f t="shared" si="25"/>
        <v>-4.4548459304246887E-13</v>
      </c>
      <c r="AG124" s="9">
        <f t="shared" si="25"/>
        <v>-5.9659610698198454E-13</v>
      </c>
      <c r="AH124" s="9">
        <f t="shared" si="25"/>
        <v>-5.9659610698198454E-13</v>
      </c>
      <c r="AI124" s="9">
        <f t="shared" si="25"/>
        <v>-5.9659610698198454E-13</v>
      </c>
      <c r="AJ124" s="9">
        <f t="shared" si="25"/>
        <v>-5.9659610698198454E-13</v>
      </c>
      <c r="AK124" s="9">
        <f t="shared" si="25"/>
        <v>-5.9659610698198454E-13</v>
      </c>
      <c r="AL124" s="9">
        <f t="shared" si="25"/>
        <v>-5.9659610698198454E-13</v>
      </c>
      <c r="AM124" s="9">
        <f t="shared" si="25"/>
        <v>-5.9659610698198454E-13</v>
      </c>
      <c r="AN124" s="9">
        <f t="shared" si="25"/>
        <v>-3.0222302787903138E-13</v>
      </c>
      <c r="AO124" s="9">
        <f t="shared" si="25"/>
        <v>-3.0222302787903138E-13</v>
      </c>
      <c r="AP124" s="9">
        <f t="shared" si="25"/>
        <v>-3.0222302787903138E-13</v>
      </c>
      <c r="AQ124" s="9">
        <f t="shared" si="25"/>
        <v>-3.0222302787903138E-13</v>
      </c>
      <c r="AR124" s="9">
        <f t="shared" si="25"/>
        <v>0</v>
      </c>
      <c r="AS124" s="9">
        <f t="shared" si="25"/>
        <v>0</v>
      </c>
      <c r="AT124" s="9">
        <f t="shared" si="25"/>
        <v>0</v>
      </c>
      <c r="AU124" s="9">
        <f t="shared" si="25"/>
        <v>0</v>
      </c>
      <c r="AV124" s="9">
        <f t="shared" si="25"/>
        <v>0</v>
      </c>
      <c r="AW124" s="9">
        <f t="shared" si="25"/>
        <v>0</v>
      </c>
      <c r="AX124" s="9">
        <f t="shared" si="25"/>
        <v>0</v>
      </c>
      <c r="AY124" s="9">
        <f t="shared" si="25"/>
        <v>0</v>
      </c>
      <c r="AZ124" s="9">
        <f t="shared" si="25"/>
        <v>0</v>
      </c>
      <c r="BA124" s="9">
        <f t="shared" si="25"/>
        <v>0</v>
      </c>
      <c r="BB124" s="9">
        <f t="shared" si="25"/>
        <v>0</v>
      </c>
      <c r="BC124" s="9">
        <f t="shared" si="25"/>
        <v>0</v>
      </c>
      <c r="BD124" s="9">
        <f t="shared" si="25"/>
        <v>0</v>
      </c>
      <c r="BE124" s="9">
        <f t="shared" si="25"/>
        <v>0</v>
      </c>
      <c r="BF124" s="9">
        <f t="shared" si="25"/>
        <v>0</v>
      </c>
      <c r="BG124" s="9">
        <f t="shared" si="25"/>
        <v>0</v>
      </c>
      <c r="BH124" s="9">
        <f t="shared" si="25"/>
        <v>0</v>
      </c>
      <c r="BI124" s="9">
        <f t="shared" si="25"/>
        <v>0</v>
      </c>
      <c r="BJ124" s="9">
        <f t="shared" si="25"/>
        <v>0</v>
      </c>
      <c r="BK124" s="9"/>
      <c r="BL124" s="9"/>
      <c r="BM124" s="9"/>
      <c r="BN124" s="9"/>
      <c r="BO124" s="9"/>
    </row>
    <row r="125" spans="1:67">
      <c r="D125" t="s">
        <v>11</v>
      </c>
      <c r="E125" s="9"/>
      <c r="F125" s="9"/>
      <c r="G125" s="9"/>
      <c r="H125" s="9"/>
      <c r="I125" s="9"/>
      <c r="J125" s="9"/>
      <c r="K125" s="9"/>
      <c r="L125" s="9"/>
      <c r="M125" s="9"/>
      <c r="N125" s="9"/>
      <c r="O125" s="9">
        <f t="shared" ref="O125:BI125" si="26">(+O97/SUM($O97:$BE97))*-362.104513953178</f>
        <v>-4.1333711723646638E-2</v>
      </c>
      <c r="P125" s="9">
        <f t="shared" si="26"/>
        <v>-9.7153413214601164E-2</v>
      </c>
      <c r="Q125" s="9">
        <f t="shared" si="26"/>
        <v>-6.6317794840917182E-2</v>
      </c>
      <c r="R125" s="9">
        <f t="shared" si="26"/>
        <v>-0.10333681724425163</v>
      </c>
      <c r="S125" s="9">
        <f t="shared" si="26"/>
        <v>-7.2501198870567662E-2</v>
      </c>
      <c r="T125" s="9">
        <f t="shared" si="26"/>
        <v>-9.2679752685910971E-2</v>
      </c>
      <c r="U125" s="9">
        <f t="shared" si="26"/>
        <v>-0.19972190826463376</v>
      </c>
      <c r="V125" s="9">
        <f t="shared" si="26"/>
        <v>-22.537316264645622</v>
      </c>
      <c r="W125" s="9">
        <f t="shared" si="26"/>
        <v>-22.540037252653413</v>
      </c>
      <c r="X125" s="9">
        <f t="shared" si="26"/>
        <v>-22.54003725265342</v>
      </c>
      <c r="Y125" s="9">
        <f t="shared" si="26"/>
        <v>-22.54003725265342</v>
      </c>
      <c r="Z125" s="9">
        <f t="shared" si="26"/>
        <v>-22.54003725265342</v>
      </c>
      <c r="AA125" s="9">
        <f t="shared" si="26"/>
        <v>-22.54003725265342</v>
      </c>
      <c r="AB125" s="9">
        <f t="shared" si="26"/>
        <v>-22.54003725265342</v>
      </c>
      <c r="AC125" s="9">
        <f t="shared" si="26"/>
        <v>-22.54003725265342</v>
      </c>
      <c r="AD125" s="9">
        <f t="shared" si="26"/>
        <v>-0.12948758933873841</v>
      </c>
      <c r="AE125" s="9">
        <f t="shared" si="26"/>
        <v>-9.8651970965054028E-2</v>
      </c>
      <c r="AF125" s="9">
        <f t="shared" si="26"/>
        <v>-0.1026774726541218</v>
      </c>
      <c r="AG125" s="9">
        <f t="shared" si="26"/>
        <v>-0.18933279251876037</v>
      </c>
      <c r="AH125" s="9">
        <f t="shared" si="26"/>
        <v>-22.537934388379615</v>
      </c>
      <c r="AI125" s="9">
        <f t="shared" si="26"/>
        <v>-22.54003725265342</v>
      </c>
      <c r="AJ125" s="9">
        <f t="shared" si="26"/>
        <v>-22.54003725265342</v>
      </c>
      <c r="AK125" s="9">
        <f t="shared" si="26"/>
        <v>-22.54003725265342</v>
      </c>
      <c r="AL125" s="9">
        <f t="shared" si="26"/>
        <v>-22.540037252653413</v>
      </c>
      <c r="AM125" s="9">
        <f t="shared" si="26"/>
        <v>-22.540037252653413</v>
      </c>
      <c r="AN125" s="9">
        <f t="shared" si="26"/>
        <v>-22.54003725265342</v>
      </c>
      <c r="AO125" s="9">
        <f t="shared" si="26"/>
        <v>-22.538918746606942</v>
      </c>
      <c r="AP125" s="9">
        <f t="shared" si="26"/>
        <v>-0.15332337323546083</v>
      </c>
      <c r="AQ125" s="9">
        <f t="shared" si="26"/>
        <v>-0.12334247349473593</v>
      </c>
      <c r="AR125" s="9">
        <f t="shared" si="26"/>
        <v>0</v>
      </c>
      <c r="AS125" s="9">
        <f t="shared" si="26"/>
        <v>0</v>
      </c>
      <c r="AT125" s="9">
        <f t="shared" si="26"/>
        <v>0</v>
      </c>
      <c r="AU125" s="9">
        <f t="shared" si="26"/>
        <v>0</v>
      </c>
      <c r="AV125" s="9">
        <f t="shared" si="26"/>
        <v>0</v>
      </c>
      <c r="AW125" s="9">
        <f t="shared" si="26"/>
        <v>0</v>
      </c>
      <c r="AX125" s="9">
        <f t="shared" si="26"/>
        <v>0</v>
      </c>
      <c r="AY125" s="9">
        <f t="shared" si="26"/>
        <v>0</v>
      </c>
      <c r="AZ125" s="9">
        <f t="shared" si="26"/>
        <v>0</v>
      </c>
      <c r="BA125" s="9">
        <f t="shared" si="26"/>
        <v>0</v>
      </c>
      <c r="BB125" s="9">
        <f t="shared" si="26"/>
        <v>0</v>
      </c>
      <c r="BC125" s="9">
        <f t="shared" si="26"/>
        <v>0</v>
      </c>
      <c r="BD125" s="9">
        <f t="shared" si="26"/>
        <v>0</v>
      </c>
      <c r="BE125" s="9">
        <f t="shared" si="26"/>
        <v>0</v>
      </c>
      <c r="BF125" s="9">
        <f t="shared" si="26"/>
        <v>0</v>
      </c>
      <c r="BG125" s="9">
        <f t="shared" si="26"/>
        <v>0</v>
      </c>
      <c r="BH125" s="9">
        <f t="shared" si="26"/>
        <v>0</v>
      </c>
      <c r="BI125" s="9">
        <f t="shared" si="26"/>
        <v>0</v>
      </c>
      <c r="BJ125" s="9">
        <f t="shared" ref="BJ125" si="27">+BJ97/SUM($O97:$BE97)</f>
        <v>0</v>
      </c>
      <c r="BK125" s="9"/>
      <c r="BL125" s="9"/>
      <c r="BM125" s="9"/>
      <c r="BN125" s="9"/>
      <c r="BO125" s="9"/>
    </row>
    <row r="126" spans="1:67">
      <c r="D126" t="s">
        <v>12</v>
      </c>
      <c r="E126" s="9"/>
      <c r="F126" s="9"/>
      <c r="G126" s="9"/>
      <c r="H126" s="9"/>
      <c r="I126" s="9"/>
      <c r="J126" s="9"/>
      <c r="K126" s="9"/>
      <c r="L126" s="9"/>
      <c r="M126" s="9"/>
      <c r="N126" s="9"/>
      <c r="O126" s="9">
        <f t="shared" ref="O126:BI126" si="28">(+O98/SUM($O98:$BE98))*-7856.19034750847</f>
        <v>-328.52464984618445</v>
      </c>
      <c r="P126" s="9">
        <f t="shared" si="28"/>
        <v>-328.52464984618433</v>
      </c>
      <c r="Q126" s="9">
        <f t="shared" si="28"/>
        <v>-551.40922964135075</v>
      </c>
      <c r="R126" s="9">
        <f t="shared" si="28"/>
        <v>-408.76919647197394</v>
      </c>
      <c r="S126" s="9">
        <f t="shared" si="28"/>
        <v>-399.24122845656314</v>
      </c>
      <c r="T126" s="9">
        <f t="shared" si="28"/>
        <v>-254.89815040416559</v>
      </c>
      <c r="U126" s="9">
        <f t="shared" si="28"/>
        <v>-417.20248036214792</v>
      </c>
      <c r="V126" s="9">
        <f t="shared" si="28"/>
        <v>-770.95544764311819</v>
      </c>
      <c r="W126" s="9">
        <f t="shared" si="28"/>
        <v>-615.00309636207646</v>
      </c>
      <c r="X126" s="9">
        <f t="shared" si="28"/>
        <v>-530.67494204461502</v>
      </c>
      <c r="Y126" s="9">
        <f t="shared" si="28"/>
        <v>-530.67494204461502</v>
      </c>
      <c r="Z126" s="9">
        <f t="shared" si="28"/>
        <v>-176.92197476364458</v>
      </c>
      <c r="AA126" s="9">
        <f t="shared" si="28"/>
        <v>-176.92197476364458</v>
      </c>
      <c r="AB126" s="9">
        <f t="shared" si="28"/>
        <v>-176.92197476364458</v>
      </c>
      <c r="AC126" s="9">
        <f t="shared" si="28"/>
        <v>-176.92197476364458</v>
      </c>
      <c r="AD126" s="9">
        <f t="shared" si="28"/>
        <v>-176.92197476364458</v>
      </c>
      <c r="AE126" s="9">
        <f t="shared" si="28"/>
        <v>-176.92197476364458</v>
      </c>
      <c r="AF126" s="9">
        <f t="shared" si="28"/>
        <v>-176.92197476364458</v>
      </c>
      <c r="AG126" s="9">
        <f t="shared" si="28"/>
        <v>-176.92197476364461</v>
      </c>
      <c r="AH126" s="9">
        <f t="shared" si="28"/>
        <v>-176.92197476364458</v>
      </c>
      <c r="AI126" s="9">
        <f t="shared" si="28"/>
        <v>-176.92197476364458</v>
      </c>
      <c r="AJ126" s="9">
        <f t="shared" si="28"/>
        <v>-176.92197476364458</v>
      </c>
      <c r="AK126" s="9">
        <f t="shared" si="28"/>
        <v>-176.92197476364461</v>
      </c>
      <c r="AL126" s="9">
        <f t="shared" si="28"/>
        <v>-176.92197476364461</v>
      </c>
      <c r="AM126" s="9">
        <f t="shared" si="28"/>
        <v>-176.92197476364461</v>
      </c>
      <c r="AN126" s="9">
        <f t="shared" si="28"/>
        <v>-171.87570907691747</v>
      </c>
      <c r="AO126" s="9">
        <f t="shared" si="28"/>
        <v>-25.505440081970111</v>
      </c>
      <c r="AP126" s="9">
        <f t="shared" si="28"/>
        <v>-25.505440081970111</v>
      </c>
      <c r="AQ126" s="9">
        <f t="shared" si="28"/>
        <v>-20.518098453591715</v>
      </c>
      <c r="AR126" s="9">
        <f t="shared" si="28"/>
        <v>0</v>
      </c>
      <c r="AS126" s="9">
        <f t="shared" si="28"/>
        <v>0</v>
      </c>
      <c r="AT126" s="9">
        <f t="shared" si="28"/>
        <v>0</v>
      </c>
      <c r="AU126" s="9">
        <f t="shared" si="28"/>
        <v>0</v>
      </c>
      <c r="AV126" s="9">
        <f t="shared" si="28"/>
        <v>0</v>
      </c>
      <c r="AW126" s="9">
        <f t="shared" si="28"/>
        <v>0</v>
      </c>
      <c r="AX126" s="9">
        <f t="shared" si="28"/>
        <v>0</v>
      </c>
      <c r="AY126" s="9">
        <f t="shared" si="28"/>
        <v>0</v>
      </c>
      <c r="AZ126" s="9">
        <f t="shared" si="28"/>
        <v>0</v>
      </c>
      <c r="BA126" s="9">
        <f t="shared" si="28"/>
        <v>0</v>
      </c>
      <c r="BB126" s="9">
        <f t="shared" si="28"/>
        <v>0</v>
      </c>
      <c r="BC126" s="9">
        <f t="shared" si="28"/>
        <v>0</v>
      </c>
      <c r="BD126" s="9">
        <f t="shared" si="28"/>
        <v>0</v>
      </c>
      <c r="BE126" s="9">
        <f t="shared" si="28"/>
        <v>0</v>
      </c>
      <c r="BF126" s="9">
        <f t="shared" si="28"/>
        <v>0</v>
      </c>
      <c r="BG126" s="9">
        <f t="shared" si="28"/>
        <v>0</v>
      </c>
      <c r="BH126" s="9">
        <f t="shared" si="28"/>
        <v>0</v>
      </c>
      <c r="BI126" s="9">
        <f t="shared" si="28"/>
        <v>0</v>
      </c>
      <c r="BJ126" s="9">
        <f t="shared" ref="BJ126" si="29">+BJ98/SUM($O98:$BE98)</f>
        <v>0</v>
      </c>
      <c r="BK126" s="9"/>
      <c r="BL126" s="9"/>
      <c r="BM126" s="9"/>
      <c r="BN126" s="9"/>
      <c r="BO126" s="9"/>
    </row>
    <row r="127" spans="1:67">
      <c r="D127" t="s">
        <v>13</v>
      </c>
      <c r="E127" s="9"/>
      <c r="F127" s="9"/>
      <c r="G127" s="9"/>
      <c r="H127" s="9"/>
      <c r="I127" s="9"/>
      <c r="J127" s="9"/>
      <c r="K127" s="9"/>
      <c r="L127" s="9"/>
      <c r="M127" s="9"/>
      <c r="N127" s="9"/>
      <c r="O127" s="9">
        <f t="shared" ref="O127:BI127" si="30">(+O99/SUM($O99:$BE99))*-873.037768910659</f>
        <v>-32.682348503531728</v>
      </c>
      <c r="P127" s="9">
        <f t="shared" si="30"/>
        <v>-32.682348503531713</v>
      </c>
      <c r="Q127" s="9">
        <f t="shared" si="30"/>
        <v>-59.828499719194959</v>
      </c>
      <c r="R127" s="9">
        <f t="shared" si="30"/>
        <v>-42.455705632759532</v>
      </c>
      <c r="S127" s="9">
        <f t="shared" si="30"/>
        <v>-41.295250024919632</v>
      </c>
      <c r="T127" s="9">
        <f t="shared" si="30"/>
        <v>-23.715034169046145</v>
      </c>
      <c r="U127" s="9">
        <f t="shared" si="30"/>
        <v>-43.482834561722008</v>
      </c>
      <c r="V127" s="9">
        <f t="shared" si="30"/>
        <v>-34.51504919762943</v>
      </c>
      <c r="W127" s="9">
        <f t="shared" si="30"/>
        <v>-67.573892980478647</v>
      </c>
      <c r="X127" s="9">
        <f t="shared" si="30"/>
        <v>-57.303174248194097</v>
      </c>
      <c r="Y127" s="9">
        <f t="shared" si="30"/>
        <v>-38.474826775045599</v>
      </c>
      <c r="Z127" s="9">
        <f t="shared" si="30"/>
        <v>-20.697103384286866</v>
      </c>
      <c r="AA127" s="9">
        <f t="shared" si="30"/>
        <v>-20.697103384286866</v>
      </c>
      <c r="AB127" s="9">
        <f t="shared" si="30"/>
        <v>-19.531177225850083</v>
      </c>
      <c r="AC127" s="9">
        <f t="shared" si="30"/>
        <v>-19.531177225850083</v>
      </c>
      <c r="AD127" s="9">
        <f t="shared" si="30"/>
        <v>-18.452060952461917</v>
      </c>
      <c r="AE127" s="9">
        <f t="shared" si="30"/>
        <v>-14.217952508654843</v>
      </c>
      <c r="AF127" s="9">
        <f t="shared" si="30"/>
        <v>-14.631602870467463</v>
      </c>
      <c r="AG127" s="9">
        <f t="shared" si="30"/>
        <v>-26.980039135000155</v>
      </c>
      <c r="AH127" s="9">
        <f t="shared" si="30"/>
        <v>-30.540286312938257</v>
      </c>
      <c r="AI127" s="9">
        <f t="shared" si="30"/>
        <v>-30.540286312938257</v>
      </c>
      <c r="AJ127" s="9">
        <f t="shared" si="30"/>
        <v>-30.540286312938257</v>
      </c>
      <c r="AK127" s="9">
        <f t="shared" si="30"/>
        <v>-26.980039135000155</v>
      </c>
      <c r="AL127" s="9">
        <f t="shared" si="30"/>
        <v>-23.419791957062049</v>
      </c>
      <c r="AM127" s="9">
        <f t="shared" si="30"/>
        <v>-23.419791957062049</v>
      </c>
      <c r="AN127" s="9">
        <f t="shared" si="30"/>
        <v>-17.576378173189173</v>
      </c>
      <c r="AO127" s="9">
        <f t="shared" si="30"/>
        <v>-21.848674786714927</v>
      </c>
      <c r="AP127" s="9">
        <f t="shared" si="30"/>
        <v>-21.848674786714927</v>
      </c>
      <c r="AQ127" s="9">
        <f t="shared" si="30"/>
        <v>-17.576378173189173</v>
      </c>
      <c r="AR127" s="9">
        <f t="shared" si="30"/>
        <v>0</v>
      </c>
      <c r="AS127" s="9">
        <f t="shared" si="30"/>
        <v>0</v>
      </c>
      <c r="AT127" s="9">
        <f t="shared" si="30"/>
        <v>0</v>
      </c>
      <c r="AU127" s="9">
        <f t="shared" si="30"/>
        <v>0</v>
      </c>
      <c r="AV127" s="9">
        <f t="shared" si="30"/>
        <v>0</v>
      </c>
      <c r="AW127" s="9">
        <f t="shared" si="30"/>
        <v>0</v>
      </c>
      <c r="AX127" s="9">
        <f t="shared" si="30"/>
        <v>0</v>
      </c>
      <c r="AY127" s="9">
        <f t="shared" si="30"/>
        <v>0</v>
      </c>
      <c r="AZ127" s="9">
        <f t="shared" si="30"/>
        <v>0</v>
      </c>
      <c r="BA127" s="9">
        <f t="shared" si="30"/>
        <v>0</v>
      </c>
      <c r="BB127" s="9">
        <f t="shared" si="30"/>
        <v>0</v>
      </c>
      <c r="BC127" s="9">
        <f t="shared" si="30"/>
        <v>0</v>
      </c>
      <c r="BD127" s="9">
        <f t="shared" si="30"/>
        <v>0</v>
      </c>
      <c r="BE127" s="9">
        <f t="shared" si="30"/>
        <v>0</v>
      </c>
      <c r="BF127" s="9">
        <f t="shared" si="30"/>
        <v>0</v>
      </c>
      <c r="BG127" s="9">
        <f t="shared" si="30"/>
        <v>0</v>
      </c>
      <c r="BH127" s="9">
        <f t="shared" si="30"/>
        <v>0</v>
      </c>
      <c r="BI127" s="9">
        <f t="shared" si="30"/>
        <v>0</v>
      </c>
      <c r="BJ127" s="9">
        <f t="shared" ref="BJ127" si="31">+BJ99/SUM($O99:$BE99)</f>
        <v>0</v>
      </c>
      <c r="BK127" s="9"/>
      <c r="BL127" s="9"/>
      <c r="BM127" s="9"/>
      <c r="BN127" s="9"/>
      <c r="BO127" s="9"/>
    </row>
    <row r="128" spans="1:67">
      <c r="D128" t="s">
        <v>14</v>
      </c>
      <c r="E128" s="9"/>
      <c r="F128" s="9"/>
      <c r="G128" s="9"/>
      <c r="H128" s="9"/>
      <c r="I128" s="9"/>
      <c r="J128" s="9"/>
      <c r="K128" s="9"/>
      <c r="L128" s="9"/>
      <c r="M128" s="9"/>
      <c r="N128" s="9"/>
      <c r="O128" s="9">
        <f t="shared" ref="O128:BI128" si="32">(+O100/SUM($O100:$BE100))*-39736.8718624106</f>
        <v>-1622.256581389682</v>
      </c>
      <c r="P128" s="9">
        <f t="shared" si="32"/>
        <v>-1622.256581389682</v>
      </c>
      <c r="Q128" s="9">
        <f t="shared" si="32"/>
        <v>-3534.8679185965648</v>
      </c>
      <c r="R128" s="9">
        <f t="shared" si="32"/>
        <v>-2310.8489899204069</v>
      </c>
      <c r="S128" s="9">
        <f t="shared" si="32"/>
        <v>-2229.0878395368013</v>
      </c>
      <c r="T128" s="9">
        <f t="shared" si="32"/>
        <v>-1151.1186185321658</v>
      </c>
      <c r="U128" s="9">
        <f t="shared" si="32"/>
        <v>-2543.8802974275222</v>
      </c>
      <c r="V128" s="9">
        <f t="shared" si="32"/>
        <v>-5579.4960246974515</v>
      </c>
      <c r="W128" s="9">
        <f t="shared" si="32"/>
        <v>-4241.2417793911627</v>
      </c>
      <c r="X128" s="9">
        <f t="shared" si="32"/>
        <v>-3517.6072231489479</v>
      </c>
      <c r="Y128" s="9">
        <f t="shared" si="32"/>
        <v>-3517.6072231489479</v>
      </c>
      <c r="Z128" s="9">
        <f t="shared" si="32"/>
        <v>-481.99149587901928</v>
      </c>
      <c r="AA128" s="9">
        <f t="shared" si="32"/>
        <v>-481.99149587901928</v>
      </c>
      <c r="AB128" s="9">
        <f t="shared" si="32"/>
        <v>-481.99149587902059</v>
      </c>
      <c r="AC128" s="9">
        <f t="shared" si="32"/>
        <v>-481.99149587902059</v>
      </c>
      <c r="AD128" s="9">
        <f t="shared" si="32"/>
        <v>-481.99149587902036</v>
      </c>
      <c r="AE128" s="9">
        <f t="shared" si="32"/>
        <v>-481.99149587902042</v>
      </c>
      <c r="AF128" s="9">
        <f t="shared" si="32"/>
        <v>-481.99149587902042</v>
      </c>
      <c r="AG128" s="9">
        <f t="shared" si="32"/>
        <v>-481.99149587902036</v>
      </c>
      <c r="AH128" s="9">
        <f t="shared" si="32"/>
        <v>-481.99149587902053</v>
      </c>
      <c r="AI128" s="9">
        <f t="shared" si="32"/>
        <v>-481.99149587902053</v>
      </c>
      <c r="AJ128" s="9">
        <f t="shared" si="32"/>
        <v>-481.99149587902053</v>
      </c>
      <c r="AK128" s="9">
        <f t="shared" si="32"/>
        <v>-481.99149587902036</v>
      </c>
      <c r="AL128" s="9">
        <f t="shared" si="32"/>
        <v>-481.99149587902025</v>
      </c>
      <c r="AM128" s="9">
        <f t="shared" si="32"/>
        <v>-481.99149587902025</v>
      </c>
      <c r="AN128" s="9">
        <f t="shared" si="32"/>
        <v>-390.82607345012173</v>
      </c>
      <c r="AO128" s="9">
        <f t="shared" si="32"/>
        <v>-259.54937835098247</v>
      </c>
      <c r="AP128" s="9">
        <f t="shared" si="32"/>
        <v>-259.54937835098247</v>
      </c>
      <c r="AQ128" s="9">
        <f t="shared" si="32"/>
        <v>-208.79701277291707</v>
      </c>
      <c r="AR128" s="9">
        <f t="shared" si="32"/>
        <v>0</v>
      </c>
      <c r="AS128" s="9">
        <f t="shared" si="32"/>
        <v>0</v>
      </c>
      <c r="AT128" s="9">
        <f t="shared" si="32"/>
        <v>0</v>
      </c>
      <c r="AU128" s="9">
        <f t="shared" si="32"/>
        <v>0</v>
      </c>
      <c r="AV128" s="9">
        <f t="shared" si="32"/>
        <v>0</v>
      </c>
      <c r="AW128" s="9">
        <f t="shared" si="32"/>
        <v>0</v>
      </c>
      <c r="AX128" s="9">
        <f t="shared" si="32"/>
        <v>0</v>
      </c>
      <c r="AY128" s="9">
        <f t="shared" si="32"/>
        <v>0</v>
      </c>
      <c r="AZ128" s="9">
        <f t="shared" si="32"/>
        <v>0</v>
      </c>
      <c r="BA128" s="9">
        <f t="shared" si="32"/>
        <v>0</v>
      </c>
      <c r="BB128" s="9">
        <f t="shared" si="32"/>
        <v>0</v>
      </c>
      <c r="BC128" s="9">
        <f t="shared" si="32"/>
        <v>0</v>
      </c>
      <c r="BD128" s="9">
        <f t="shared" si="32"/>
        <v>0</v>
      </c>
      <c r="BE128" s="9">
        <f t="shared" si="32"/>
        <v>0</v>
      </c>
      <c r="BF128" s="9">
        <f t="shared" si="32"/>
        <v>0</v>
      </c>
      <c r="BG128" s="9">
        <f t="shared" si="32"/>
        <v>0</v>
      </c>
      <c r="BH128" s="9">
        <f t="shared" si="32"/>
        <v>0</v>
      </c>
      <c r="BI128" s="9">
        <f t="shared" si="32"/>
        <v>0</v>
      </c>
      <c r="BJ128" s="9">
        <f t="shared" ref="BJ128" si="33">+BJ100/SUM($O100:$BE100)</f>
        <v>0</v>
      </c>
      <c r="BK128" s="9"/>
      <c r="BL128" s="9"/>
      <c r="BM128" s="9"/>
      <c r="BN128" s="9"/>
      <c r="BO128" s="9"/>
    </row>
    <row r="129" spans="4:67">
      <c r="D129" t="s">
        <v>15</v>
      </c>
      <c r="E129" s="9"/>
      <c r="F129" s="9"/>
      <c r="G129" s="9"/>
      <c r="H129" s="9"/>
      <c r="I129" s="9"/>
      <c r="J129" s="9"/>
      <c r="K129" s="9"/>
      <c r="L129" s="9"/>
      <c r="M129" s="9"/>
      <c r="N129" s="9"/>
      <c r="O129" s="9">
        <f t="shared" ref="O129:BI129" si="34">(+O101/SUM($O101:$BE101))*-5590.18181261627</f>
        <v>-192.71243020778749</v>
      </c>
      <c r="P129" s="9">
        <f t="shared" si="34"/>
        <v>-192.71243020778746</v>
      </c>
      <c r="Q129" s="9">
        <f t="shared" si="34"/>
        <v>-335.40745998665466</v>
      </c>
      <c r="R129" s="9">
        <f t="shared" si="34"/>
        <v>-244.08654492169859</v>
      </c>
      <c r="S129" s="9">
        <f t="shared" si="34"/>
        <v>-237.98655504828244</v>
      </c>
      <c r="T129" s="9">
        <f t="shared" si="34"/>
        <v>-193.40204662765453</v>
      </c>
      <c r="U129" s="9">
        <f t="shared" si="34"/>
        <v>-297.31242579286067</v>
      </c>
      <c r="V129" s="9">
        <f t="shared" si="34"/>
        <v>-523.79193481457628</v>
      </c>
      <c r="W129" s="9">
        <f t="shared" si="34"/>
        <v>-423.94821556498096</v>
      </c>
      <c r="X129" s="9">
        <f t="shared" si="34"/>
        <v>-369.95969602457257</v>
      </c>
      <c r="Y129" s="9">
        <f t="shared" si="34"/>
        <v>-369.95969602457257</v>
      </c>
      <c r="Z129" s="9">
        <f t="shared" si="34"/>
        <v>-143.48018700285692</v>
      </c>
      <c r="AA129" s="9">
        <f t="shared" si="34"/>
        <v>-143.48018700285692</v>
      </c>
      <c r="AB129" s="9">
        <f t="shared" si="34"/>
        <v>-143.48018700285692</v>
      </c>
      <c r="AC129" s="9">
        <f t="shared" si="34"/>
        <v>-143.48018700285692</v>
      </c>
      <c r="AD129" s="9">
        <f t="shared" si="34"/>
        <v>-143.48018700285692</v>
      </c>
      <c r="AE129" s="9">
        <f t="shared" si="34"/>
        <v>-143.48018700285689</v>
      </c>
      <c r="AF129" s="9">
        <f t="shared" si="34"/>
        <v>-143.48018700285692</v>
      </c>
      <c r="AG129" s="9">
        <f t="shared" si="34"/>
        <v>-143.48018700285689</v>
      </c>
      <c r="AH129" s="9">
        <f t="shared" si="34"/>
        <v>-143.48018700285692</v>
      </c>
      <c r="AI129" s="9">
        <f t="shared" si="34"/>
        <v>-143.48018700285692</v>
      </c>
      <c r="AJ129" s="9">
        <f t="shared" si="34"/>
        <v>-143.48018700285692</v>
      </c>
      <c r="AK129" s="9">
        <f t="shared" si="34"/>
        <v>-143.48018700285689</v>
      </c>
      <c r="AL129" s="9">
        <f t="shared" si="34"/>
        <v>-143.48018700285695</v>
      </c>
      <c r="AM129" s="9">
        <f t="shared" si="34"/>
        <v>-143.48018700285695</v>
      </c>
      <c r="AN129" s="9">
        <f t="shared" si="34"/>
        <v>-141.34618142418233</v>
      </c>
      <c r="AO129" s="9">
        <f t="shared" si="34"/>
        <v>-20.978578552645448</v>
      </c>
      <c r="AP129" s="9">
        <f t="shared" si="34"/>
        <v>-20.978578552645448</v>
      </c>
      <c r="AQ129" s="9">
        <f t="shared" si="34"/>
        <v>-16.876420825369987</v>
      </c>
      <c r="AR129" s="9">
        <f t="shared" si="34"/>
        <v>0</v>
      </c>
      <c r="AS129" s="9">
        <f t="shared" si="34"/>
        <v>0</v>
      </c>
      <c r="AT129" s="9">
        <f t="shared" si="34"/>
        <v>0</v>
      </c>
      <c r="AU129" s="9">
        <f t="shared" si="34"/>
        <v>0</v>
      </c>
      <c r="AV129" s="9">
        <f t="shared" si="34"/>
        <v>0</v>
      </c>
      <c r="AW129" s="9">
        <f t="shared" si="34"/>
        <v>0</v>
      </c>
      <c r="AX129" s="9">
        <f t="shared" si="34"/>
        <v>0</v>
      </c>
      <c r="AY129" s="9">
        <f t="shared" si="34"/>
        <v>0</v>
      </c>
      <c r="AZ129" s="9">
        <f t="shared" si="34"/>
        <v>0</v>
      </c>
      <c r="BA129" s="9">
        <f t="shared" si="34"/>
        <v>0</v>
      </c>
      <c r="BB129" s="9">
        <f t="shared" si="34"/>
        <v>0</v>
      </c>
      <c r="BC129" s="9">
        <f t="shared" si="34"/>
        <v>0</v>
      </c>
      <c r="BD129" s="9">
        <f t="shared" si="34"/>
        <v>0</v>
      </c>
      <c r="BE129" s="9">
        <f t="shared" si="34"/>
        <v>0</v>
      </c>
      <c r="BF129" s="9">
        <f t="shared" si="34"/>
        <v>0</v>
      </c>
      <c r="BG129" s="9">
        <f t="shared" si="34"/>
        <v>0</v>
      </c>
      <c r="BH129" s="9">
        <f t="shared" si="34"/>
        <v>0</v>
      </c>
      <c r="BI129" s="9">
        <f t="shared" si="34"/>
        <v>0</v>
      </c>
      <c r="BJ129" s="9">
        <f t="shared" ref="BJ129" si="35">+BJ101/SUM($O101:$BE101)</f>
        <v>0</v>
      </c>
      <c r="BK129" s="9"/>
      <c r="BL129" s="9"/>
      <c r="BM129" s="9"/>
      <c r="BN129" s="9"/>
      <c r="BO129" s="9"/>
    </row>
    <row r="130" spans="4:67">
      <c r="D130" t="s">
        <v>16</v>
      </c>
      <c r="E130" s="9"/>
      <c r="F130" s="9"/>
      <c r="G130" s="9"/>
      <c r="H130" s="9"/>
      <c r="I130" s="9"/>
      <c r="J130" s="9"/>
      <c r="K130" s="9"/>
      <c r="L130" s="9"/>
      <c r="M130" s="9"/>
      <c r="N130" s="9"/>
      <c r="O130" s="9">
        <f t="shared" ref="O130:BI130" si="36">(+O102/SUM($O102:$BE102))*-20470.625</f>
        <v>-449.0695016913985</v>
      </c>
      <c r="P130" s="9">
        <f t="shared" si="36"/>
        <v>-627.24411907919625</v>
      </c>
      <c r="Q130" s="9">
        <f t="shared" si="36"/>
        <v>-550.1399769936944</v>
      </c>
      <c r="R130" s="9">
        <f t="shared" si="36"/>
        <v>-522.82750041021859</v>
      </c>
      <c r="S130" s="9">
        <f t="shared" si="36"/>
        <v>-736.09441760534037</v>
      </c>
      <c r="T130" s="9">
        <f t="shared" si="36"/>
        <v>-623.71221214008904</v>
      </c>
      <c r="U130" s="9">
        <f t="shared" si="36"/>
        <v>-605.41497055713717</v>
      </c>
      <c r="V130" s="9">
        <f t="shared" si="36"/>
        <v>-630.17826828624663</v>
      </c>
      <c r="W130" s="9">
        <f t="shared" si="36"/>
        <v>-540.84741242020539</v>
      </c>
      <c r="X130" s="9">
        <f t="shared" si="36"/>
        <v>-541.20836043687723</v>
      </c>
      <c r="Y130" s="9">
        <f t="shared" si="36"/>
        <v>-628.41145876336452</v>
      </c>
      <c r="Z130" s="9">
        <f t="shared" si="36"/>
        <v>-715.05570222575295</v>
      </c>
      <c r="AA130" s="9">
        <f t="shared" si="36"/>
        <v>-773.52196748321978</v>
      </c>
      <c r="AB130" s="9">
        <f t="shared" si="36"/>
        <v>-773.52196748321978</v>
      </c>
      <c r="AC130" s="9">
        <f t="shared" si="36"/>
        <v>-665.98250854375226</v>
      </c>
      <c r="AD130" s="9">
        <f t="shared" si="36"/>
        <v>-708.71720859419804</v>
      </c>
      <c r="AE130" s="9">
        <f t="shared" si="36"/>
        <v>-708.71720859419804</v>
      </c>
      <c r="AF130" s="9">
        <f t="shared" si="36"/>
        <v>-692.70319863135637</v>
      </c>
      <c r="AG130" s="9">
        <f t="shared" si="36"/>
        <v>-694.41329726332299</v>
      </c>
      <c r="AH130" s="9">
        <f t="shared" si="36"/>
        <v>-659.46387381348904</v>
      </c>
      <c r="AI130" s="9">
        <f t="shared" si="36"/>
        <v>-658.72540627866431</v>
      </c>
      <c r="AJ130" s="9">
        <f t="shared" si="36"/>
        <v>-795.3941723171672</v>
      </c>
      <c r="AK130" s="9">
        <f t="shared" si="36"/>
        <v>-815.35232645561894</v>
      </c>
      <c r="AL130" s="9">
        <f t="shared" si="36"/>
        <v>-786.59295064893092</v>
      </c>
      <c r="AM130" s="9">
        <f t="shared" si="36"/>
        <v>-786.59295064893092</v>
      </c>
      <c r="AN130" s="9">
        <f t="shared" si="36"/>
        <v>-784.52309824753002</v>
      </c>
      <c r="AO130" s="9">
        <f t="shared" si="36"/>
        <v>-755.92647825897632</v>
      </c>
      <c r="AP130" s="9">
        <f t="shared" si="36"/>
        <v>-732.22141040452686</v>
      </c>
      <c r="AQ130" s="9">
        <f t="shared" si="36"/>
        <v>-514.44181336908605</v>
      </c>
      <c r="AR130" s="9">
        <f t="shared" si="36"/>
        <v>-365.51152071465845</v>
      </c>
      <c r="AS130" s="9">
        <f t="shared" si="36"/>
        <v>-254.97130950542024</v>
      </c>
      <c r="AT130" s="9">
        <f t="shared" si="36"/>
        <v>-134.51768368786995</v>
      </c>
      <c r="AU130" s="9">
        <f t="shared" si="36"/>
        <v>-134.51768368786995</v>
      </c>
      <c r="AV130" s="9">
        <f t="shared" si="36"/>
        <v>-104.09106475847078</v>
      </c>
      <c r="AW130" s="9">
        <f t="shared" si="36"/>
        <v>0</v>
      </c>
      <c r="AX130" s="9">
        <f t="shared" si="36"/>
        <v>0</v>
      </c>
      <c r="AY130" s="9">
        <f t="shared" si="36"/>
        <v>0</v>
      </c>
      <c r="AZ130" s="9">
        <f t="shared" si="36"/>
        <v>0</v>
      </c>
      <c r="BA130" s="9">
        <f t="shared" si="36"/>
        <v>0</v>
      </c>
      <c r="BB130" s="9">
        <f t="shared" si="36"/>
        <v>0</v>
      </c>
      <c r="BC130" s="9">
        <f t="shared" si="36"/>
        <v>0</v>
      </c>
      <c r="BD130" s="9">
        <f t="shared" si="36"/>
        <v>0</v>
      </c>
      <c r="BE130" s="9">
        <f t="shared" si="36"/>
        <v>0</v>
      </c>
      <c r="BF130" s="9">
        <f t="shared" si="36"/>
        <v>0</v>
      </c>
      <c r="BG130" s="9">
        <f t="shared" si="36"/>
        <v>0</v>
      </c>
      <c r="BH130" s="9">
        <f t="shared" si="36"/>
        <v>0</v>
      </c>
      <c r="BI130" s="9">
        <f t="shared" si="36"/>
        <v>0</v>
      </c>
      <c r="BJ130" s="9">
        <f t="shared" ref="BJ130" si="37">+BJ102/SUM($O102:$BE102)</f>
        <v>0</v>
      </c>
      <c r="BK130" s="9"/>
      <c r="BL130" s="9"/>
      <c r="BM130" s="9"/>
      <c r="BN130" s="9"/>
      <c r="BO130" s="9"/>
    </row>
    <row r="131" spans="4:67">
      <c r="D131" t="s">
        <v>17</v>
      </c>
      <c r="E131" s="9"/>
      <c r="F131" s="9"/>
      <c r="G131" s="9"/>
      <c r="H131" s="9"/>
      <c r="I131" s="9"/>
      <c r="J131" s="9"/>
      <c r="K131" s="9"/>
      <c r="L131" s="9"/>
      <c r="M131" s="9"/>
      <c r="N131" s="9"/>
      <c r="O131" s="9">
        <f t="shared" ref="O131:BI131" si="38">(+O103/SUM($O103:$BE103))*-183.176650000001</f>
        <v>-2.0813334083832777</v>
      </c>
      <c r="P131" s="9">
        <f t="shared" si="38"/>
        <v>-1.8587970253786623</v>
      </c>
      <c r="Q131" s="9">
        <f t="shared" si="38"/>
        <v>-1.8715241118766699</v>
      </c>
      <c r="R131" s="9">
        <f t="shared" si="38"/>
        <v>-2.5777533854361763</v>
      </c>
      <c r="S131" s="9">
        <f t="shared" si="38"/>
        <v>-5.2614704195763897</v>
      </c>
      <c r="T131" s="9">
        <f t="shared" si="38"/>
        <v>-4.7687330927395513</v>
      </c>
      <c r="U131" s="9">
        <f t="shared" si="38"/>
        <v>-4.8158379416172306</v>
      </c>
      <c r="V131" s="9">
        <f t="shared" si="38"/>
        <v>-4.838379068328341</v>
      </c>
      <c r="W131" s="9">
        <f t="shared" si="38"/>
        <v>-4.6672344189088824</v>
      </c>
      <c r="X131" s="9">
        <f t="shared" si="38"/>
        <v>-5.3797540915421118</v>
      </c>
      <c r="Y131" s="9">
        <f t="shared" si="38"/>
        <v>-6.2854761527127909</v>
      </c>
      <c r="Z131" s="9">
        <f t="shared" si="38"/>
        <v>-7.2042178770825789</v>
      </c>
      <c r="AA131" s="9">
        <f t="shared" si="38"/>
        <v>-8.0717332373069688</v>
      </c>
      <c r="AB131" s="9">
        <f t="shared" si="38"/>
        <v>-8.0717332373069688</v>
      </c>
      <c r="AC131" s="9">
        <f t="shared" si="38"/>
        <v>-6.0377336508717976</v>
      </c>
      <c r="AD131" s="9">
        <f t="shared" si="38"/>
        <v>-6.0559052081555595</v>
      </c>
      <c r="AE131" s="9">
        <f t="shared" si="38"/>
        <v>-6.0559052081555595</v>
      </c>
      <c r="AF131" s="9">
        <f t="shared" si="38"/>
        <v>-5.8467764704971712</v>
      </c>
      <c r="AG131" s="9">
        <f t="shared" si="38"/>
        <v>-6.3315633434996732</v>
      </c>
      <c r="AH131" s="9">
        <f t="shared" si="38"/>
        <v>-6.6574810678029266</v>
      </c>
      <c r="AI131" s="9">
        <f t="shared" si="38"/>
        <v>-6.6176524742744371</v>
      </c>
      <c r="AJ131" s="9">
        <f t="shared" si="38"/>
        <v>-7.6062309851250349</v>
      </c>
      <c r="AK131" s="9">
        <f t="shared" si="38"/>
        <v>-8.1298287935652329</v>
      </c>
      <c r="AL131" s="9">
        <f t="shared" si="38"/>
        <v>-7.5566710361033129</v>
      </c>
      <c r="AM131" s="9">
        <f t="shared" si="38"/>
        <v>-7.5566710361033129</v>
      </c>
      <c r="AN131" s="9">
        <f t="shared" si="38"/>
        <v>-7.3742558233282995</v>
      </c>
      <c r="AO131" s="9">
        <f t="shared" si="38"/>
        <v>-8.1935723522274095</v>
      </c>
      <c r="AP131" s="9">
        <f t="shared" si="38"/>
        <v>-8.1481593599256783</v>
      </c>
      <c r="AQ131" s="9">
        <f t="shared" si="38"/>
        <v>-5.7858441923108188</v>
      </c>
      <c r="AR131" s="9">
        <f t="shared" si="38"/>
        <v>-3.840946932087824</v>
      </c>
      <c r="AS131" s="9">
        <f t="shared" si="38"/>
        <v>-2.7547750103299782</v>
      </c>
      <c r="AT131" s="9">
        <f t="shared" si="38"/>
        <v>-1.7566813963304457</v>
      </c>
      <c r="AU131" s="9">
        <f t="shared" si="38"/>
        <v>-1.7566813963304457</v>
      </c>
      <c r="AV131" s="9">
        <f t="shared" si="38"/>
        <v>-1.3593367947795116</v>
      </c>
      <c r="AW131" s="9">
        <f t="shared" si="38"/>
        <v>0</v>
      </c>
      <c r="AX131" s="9">
        <f t="shared" si="38"/>
        <v>0</v>
      </c>
      <c r="AY131" s="9">
        <f t="shared" si="38"/>
        <v>0</v>
      </c>
      <c r="AZ131" s="9">
        <f t="shared" si="38"/>
        <v>0</v>
      </c>
      <c r="BA131" s="9">
        <f t="shared" si="38"/>
        <v>0</v>
      </c>
      <c r="BB131" s="9">
        <f t="shared" si="38"/>
        <v>0</v>
      </c>
      <c r="BC131" s="9">
        <f t="shared" si="38"/>
        <v>0</v>
      </c>
      <c r="BD131" s="9">
        <f t="shared" si="38"/>
        <v>0</v>
      </c>
      <c r="BE131" s="9">
        <f t="shared" si="38"/>
        <v>0</v>
      </c>
      <c r="BF131" s="9">
        <f t="shared" si="38"/>
        <v>0</v>
      </c>
      <c r="BG131" s="9">
        <f t="shared" si="38"/>
        <v>0</v>
      </c>
      <c r="BH131" s="9">
        <f t="shared" si="38"/>
        <v>0</v>
      </c>
      <c r="BI131" s="9">
        <f t="shared" si="38"/>
        <v>0</v>
      </c>
      <c r="BJ131" s="9">
        <f t="shared" ref="BJ131" si="39">+BJ103/SUM($O103:$BE103)</f>
        <v>0</v>
      </c>
      <c r="BK131" s="9"/>
      <c r="BL131" s="9"/>
      <c r="BM131" s="9"/>
      <c r="BN131" s="9"/>
      <c r="BO131" s="9"/>
    </row>
    <row r="132" spans="4:67">
      <c r="D132" t="s">
        <v>18</v>
      </c>
      <c r="E132" s="9"/>
      <c r="F132" s="9"/>
      <c r="G132" s="9"/>
      <c r="H132" s="9"/>
      <c r="I132" s="9"/>
      <c r="J132" s="9"/>
      <c r="K132" s="9"/>
      <c r="L132" s="9"/>
      <c r="M132" s="9"/>
      <c r="N132" s="9"/>
      <c r="O132" s="9">
        <f t="shared" ref="O132:BI132" si="40">(+O104/SUM($O104:$BE104))*-12291.1406251667</f>
        <v>-104.71851753384654</v>
      </c>
      <c r="P132" s="9">
        <f t="shared" si="40"/>
        <v>-67.207406775453777</v>
      </c>
      <c r="Q132" s="9">
        <f t="shared" si="40"/>
        <v>-67.207406775453762</v>
      </c>
      <c r="R132" s="9">
        <f t="shared" si="40"/>
        <v>-132.85185060264115</v>
      </c>
      <c r="S132" s="9">
        <f t="shared" si="40"/>
        <v>-329.7851820842032</v>
      </c>
      <c r="T132" s="9">
        <f t="shared" si="40"/>
        <v>-296.96296017060956</v>
      </c>
      <c r="U132" s="9">
        <f t="shared" si="40"/>
        <v>-296.96296017060956</v>
      </c>
      <c r="V132" s="9">
        <f t="shared" si="40"/>
        <v>-296.96296017060956</v>
      </c>
      <c r="W132" s="9">
        <f t="shared" si="40"/>
        <v>-296.96296017060956</v>
      </c>
      <c r="X132" s="9">
        <f t="shared" si="40"/>
        <v>-362.60740399779695</v>
      </c>
      <c r="Y132" s="9">
        <f t="shared" si="40"/>
        <v>-428.25184782498422</v>
      </c>
      <c r="Z132" s="9">
        <f t="shared" si="40"/>
        <v>-493.89629165217167</v>
      </c>
      <c r="AA132" s="9">
        <f t="shared" si="40"/>
        <v>-556.41480958282636</v>
      </c>
      <c r="AB132" s="9">
        <f t="shared" si="40"/>
        <v>-556.41480958282636</v>
      </c>
      <c r="AC132" s="9">
        <f t="shared" si="40"/>
        <v>-400.11851475618965</v>
      </c>
      <c r="AD132" s="9">
        <f t="shared" si="40"/>
        <v>-393.86666296312427</v>
      </c>
      <c r="AE132" s="9">
        <f t="shared" si="40"/>
        <v>-393.86666296312427</v>
      </c>
      <c r="AF132" s="9">
        <f t="shared" si="40"/>
        <v>-378.23703348046058</v>
      </c>
      <c r="AG132" s="9">
        <f t="shared" si="40"/>
        <v>-425.12592192845159</v>
      </c>
      <c r="AH132" s="9">
        <f t="shared" si="40"/>
        <v>-459.51110679031171</v>
      </c>
      <c r="AI132" s="9">
        <f t="shared" si="40"/>
        <v>-459.51110679031166</v>
      </c>
      <c r="AJ132" s="9">
        <f t="shared" si="40"/>
        <v>-525.15555061749899</v>
      </c>
      <c r="AK132" s="9">
        <f t="shared" si="40"/>
        <v>-568.91851316895713</v>
      </c>
      <c r="AL132" s="9">
        <f t="shared" si="40"/>
        <v>-525.15555061749899</v>
      </c>
      <c r="AM132" s="9">
        <f t="shared" si="40"/>
        <v>-525.15555061749899</v>
      </c>
      <c r="AN132" s="9">
        <f t="shared" si="40"/>
        <v>-509.52592113483536</v>
      </c>
      <c r="AO132" s="9">
        <f t="shared" si="40"/>
        <v>-590.79999444468638</v>
      </c>
      <c r="AP132" s="9">
        <f t="shared" si="40"/>
        <v>-590.79999444468638</v>
      </c>
      <c r="AQ132" s="9">
        <f t="shared" si="40"/>
        <v>-420.43703308365241</v>
      </c>
      <c r="AR132" s="9">
        <f t="shared" si="40"/>
        <v>-275.08147889488043</v>
      </c>
      <c r="AS132" s="9">
        <f t="shared" si="40"/>
        <v>-198.49629442982848</v>
      </c>
      <c r="AT132" s="9">
        <f t="shared" si="40"/>
        <v>-131.28888765437472</v>
      </c>
      <c r="AU132" s="9">
        <f t="shared" si="40"/>
        <v>-131.28888765437472</v>
      </c>
      <c r="AV132" s="9">
        <f t="shared" si="40"/>
        <v>-101.5925916373138</v>
      </c>
      <c r="AW132" s="9">
        <f t="shared" si="40"/>
        <v>0</v>
      </c>
      <c r="AX132" s="9">
        <f t="shared" si="40"/>
        <v>0</v>
      </c>
      <c r="AY132" s="9">
        <f t="shared" si="40"/>
        <v>0</v>
      </c>
      <c r="AZ132" s="9">
        <f t="shared" si="40"/>
        <v>0</v>
      </c>
      <c r="BA132" s="9">
        <f t="shared" si="40"/>
        <v>0</v>
      </c>
      <c r="BB132" s="9">
        <f t="shared" si="40"/>
        <v>0</v>
      </c>
      <c r="BC132" s="9">
        <f t="shared" si="40"/>
        <v>0</v>
      </c>
      <c r="BD132" s="9">
        <f t="shared" si="40"/>
        <v>0</v>
      </c>
      <c r="BE132" s="9">
        <f t="shared" si="40"/>
        <v>0</v>
      </c>
      <c r="BF132" s="9">
        <f t="shared" si="40"/>
        <v>0</v>
      </c>
      <c r="BG132" s="9">
        <f t="shared" si="40"/>
        <v>0</v>
      </c>
      <c r="BH132" s="9">
        <f t="shared" si="40"/>
        <v>0</v>
      </c>
      <c r="BI132" s="9">
        <f t="shared" si="40"/>
        <v>0</v>
      </c>
      <c r="BJ132" s="9">
        <f t="shared" ref="BJ132" si="41">+BJ104/SUM($O104:$BE104)</f>
        <v>0</v>
      </c>
      <c r="BK132" s="9"/>
      <c r="BL132" s="9"/>
      <c r="BM132" s="9"/>
      <c r="BN132" s="9"/>
      <c r="BO132" s="9"/>
    </row>
    <row r="133" spans="4:67">
      <c r="D133" t="s">
        <v>19</v>
      </c>
      <c r="E133" s="9"/>
      <c r="F133" s="9"/>
      <c r="G133" s="9"/>
      <c r="H133" s="9"/>
      <c r="I133" s="9"/>
      <c r="J133" s="9"/>
      <c r="K133" s="9"/>
      <c r="L133" s="9"/>
      <c r="M133" s="9"/>
      <c r="N133" s="9"/>
      <c r="O133" s="9">
        <f t="shared" ref="O133:BI133" si="42">(+O105/SUM($O105:$BE105))*-26385.4026687853</f>
        <v>-1740.9887082930297</v>
      </c>
      <c r="P133" s="9">
        <f t="shared" si="42"/>
        <v>-2132.0656361689489</v>
      </c>
      <c r="Q133" s="9">
        <f t="shared" si="42"/>
        <v>-1630.5878837062589</v>
      </c>
      <c r="R133" s="9">
        <f t="shared" si="42"/>
        <v>-1315.674345022288</v>
      </c>
      <c r="S133" s="9">
        <f t="shared" si="42"/>
        <v>-1388.2250117321153</v>
      </c>
      <c r="T133" s="9">
        <f t="shared" si="42"/>
        <v>-1356.6762266222452</v>
      </c>
      <c r="U133" s="9">
        <f t="shared" si="42"/>
        <v>-1244.5524689797949</v>
      </c>
      <c r="V133" s="9">
        <f t="shared" si="42"/>
        <v>-1326.4607532863811</v>
      </c>
      <c r="W133" s="9">
        <f t="shared" si="42"/>
        <v>-876.67999095964137</v>
      </c>
      <c r="X133" s="9">
        <f t="shared" si="42"/>
        <v>-643.88198671041391</v>
      </c>
      <c r="Y133" s="9">
        <f t="shared" si="42"/>
        <v>-729.89590533632111</v>
      </c>
      <c r="Z133" s="9">
        <f t="shared" si="42"/>
        <v>-789.27463426798693</v>
      </c>
      <c r="AA133" s="9">
        <f t="shared" si="42"/>
        <v>-789.27463426798624</v>
      </c>
      <c r="AB133" s="9">
        <f t="shared" si="42"/>
        <v>-789.27463426798624</v>
      </c>
      <c r="AC133" s="9">
        <f t="shared" si="42"/>
        <v>-548.30227779743461</v>
      </c>
      <c r="AD133" s="9">
        <f t="shared" si="42"/>
        <v>-411.18010144582576</v>
      </c>
      <c r="AE133" s="9">
        <f t="shared" si="42"/>
        <v>-887.44490674311157</v>
      </c>
      <c r="AF133" s="9">
        <f t="shared" si="42"/>
        <v>-1021.9017707472245</v>
      </c>
      <c r="AG133" s="9">
        <f t="shared" si="42"/>
        <v>-855.25003249554561</v>
      </c>
      <c r="AH133" s="9">
        <f t="shared" si="42"/>
        <v>-669.29477342076586</v>
      </c>
      <c r="AI133" s="9">
        <f t="shared" si="42"/>
        <v>-626.04296697340749</v>
      </c>
      <c r="AJ133" s="9">
        <f t="shared" si="42"/>
        <v>-750.66392724551895</v>
      </c>
      <c r="AK133" s="9">
        <f t="shared" si="42"/>
        <v>-621.64304930665776</v>
      </c>
      <c r="AL133" s="9">
        <f t="shared" si="42"/>
        <v>-662.69489692064133</v>
      </c>
      <c r="AM133" s="9">
        <f t="shared" si="42"/>
        <v>-662.69489692064133</v>
      </c>
      <c r="AN133" s="9">
        <f t="shared" si="42"/>
        <v>-696.90476993229402</v>
      </c>
      <c r="AO133" s="9">
        <f t="shared" si="42"/>
        <v>-369.46662852584831</v>
      </c>
      <c r="AP133" s="9">
        <f t="shared" si="42"/>
        <v>-311.30984440603908</v>
      </c>
      <c r="AQ133" s="9">
        <f t="shared" si="42"/>
        <v>-205.25923806991563</v>
      </c>
      <c r="AR133" s="9">
        <f t="shared" si="42"/>
        <v>-205.25923806991563</v>
      </c>
      <c r="AS133" s="9">
        <f t="shared" si="42"/>
        <v>-126.57653014311461</v>
      </c>
      <c r="AT133" s="9">
        <f t="shared" si="42"/>
        <v>0</v>
      </c>
      <c r="AU133" s="9">
        <f t="shared" si="42"/>
        <v>0</v>
      </c>
      <c r="AV133" s="9">
        <f t="shared" si="42"/>
        <v>0</v>
      </c>
      <c r="AW133" s="9">
        <f t="shared" si="42"/>
        <v>0</v>
      </c>
      <c r="AX133" s="9">
        <f t="shared" si="42"/>
        <v>0</v>
      </c>
      <c r="AY133" s="9">
        <f t="shared" si="42"/>
        <v>0</v>
      </c>
      <c r="AZ133" s="9">
        <f t="shared" si="42"/>
        <v>0</v>
      </c>
      <c r="BA133" s="9">
        <f t="shared" si="42"/>
        <v>0</v>
      </c>
      <c r="BB133" s="9">
        <f t="shared" si="42"/>
        <v>0</v>
      </c>
      <c r="BC133" s="9">
        <f t="shared" si="42"/>
        <v>0</v>
      </c>
      <c r="BD133" s="9">
        <f t="shared" si="42"/>
        <v>0</v>
      </c>
      <c r="BE133" s="9">
        <f t="shared" si="42"/>
        <v>0</v>
      </c>
      <c r="BF133" s="9">
        <f t="shared" si="42"/>
        <v>0</v>
      </c>
      <c r="BG133" s="9">
        <f t="shared" si="42"/>
        <v>0</v>
      </c>
      <c r="BH133" s="9">
        <f t="shared" si="42"/>
        <v>0</v>
      </c>
      <c r="BI133" s="9">
        <f t="shared" si="42"/>
        <v>0</v>
      </c>
      <c r="BJ133" s="9">
        <f t="shared" ref="BJ133" si="43">+BJ105/SUM($O105:$BE105)</f>
        <v>0</v>
      </c>
      <c r="BK133" s="9"/>
      <c r="BL133" s="9"/>
      <c r="BM133" s="9"/>
      <c r="BN133" s="9"/>
      <c r="BO133" s="9"/>
    </row>
    <row r="134" spans="4:67">
      <c r="D134" t="s">
        <v>20</v>
      </c>
      <c r="E134" s="9"/>
      <c r="F134" s="9"/>
      <c r="G134" s="9"/>
      <c r="H134" s="9"/>
      <c r="I134" s="9"/>
      <c r="J134" s="9"/>
      <c r="K134" s="9"/>
      <c r="L134" s="9"/>
      <c r="M134" s="9"/>
      <c r="N134" s="9"/>
      <c r="O134" s="9">
        <f t="shared" ref="O134:BI134" si="44">(+O106/SUM($O106:$BE106))*-492.582736040526</f>
        <v>-11.263445763992268</v>
      </c>
      <c r="P134" s="9">
        <f t="shared" si="44"/>
        <v>-13.753624723987334</v>
      </c>
      <c r="Q134" s="9">
        <f t="shared" si="44"/>
        <v>-10.710889537932557</v>
      </c>
      <c r="R134" s="9">
        <f t="shared" si="44"/>
        <v>-8.6560372049715557</v>
      </c>
      <c r="S134" s="9">
        <f t="shared" si="44"/>
        <v>-12.938730943619252</v>
      </c>
      <c r="T134" s="9">
        <f t="shared" si="44"/>
        <v>-12.945092532749605</v>
      </c>
      <c r="U134" s="9">
        <f t="shared" si="44"/>
        <v>-12.871671317477235</v>
      </c>
      <c r="V134" s="9">
        <f t="shared" si="44"/>
        <v>-13.064895518898972</v>
      </c>
      <c r="W134" s="9">
        <f t="shared" si="44"/>
        <v>-12.450121402768337</v>
      </c>
      <c r="X134" s="9">
        <f t="shared" si="44"/>
        <v>-13.830426978996014</v>
      </c>
      <c r="Y134" s="9">
        <f t="shared" si="44"/>
        <v>-16.173502661861278</v>
      </c>
      <c r="Z134" s="9">
        <f t="shared" si="44"/>
        <v>-18.466049419801219</v>
      </c>
      <c r="AA134" s="9">
        <f t="shared" si="44"/>
        <v>-20.234661323886044</v>
      </c>
      <c r="AB134" s="9">
        <f t="shared" si="44"/>
        <v>-20.234661323886044</v>
      </c>
      <c r="AC134" s="9">
        <f t="shared" si="44"/>
        <v>-15.992023200704548</v>
      </c>
      <c r="AD134" s="9">
        <f t="shared" si="44"/>
        <v>-16.356375566778297</v>
      </c>
      <c r="AE134" s="9">
        <f t="shared" si="44"/>
        <v>-16.356375566778297</v>
      </c>
      <c r="AF134" s="9">
        <f t="shared" si="44"/>
        <v>-15.863361893507859</v>
      </c>
      <c r="AG134" s="9">
        <f t="shared" si="44"/>
        <v>-16.68794882725372</v>
      </c>
      <c r="AH134" s="9">
        <f t="shared" si="44"/>
        <v>-17.03717237535901</v>
      </c>
      <c r="AI134" s="9">
        <f t="shared" si="44"/>
        <v>-16.810107396902559</v>
      </c>
      <c r="AJ134" s="9">
        <f t="shared" si="44"/>
        <v>-19.460371074438829</v>
      </c>
      <c r="AK134" s="9">
        <f t="shared" si="44"/>
        <v>-20.553494527124858</v>
      </c>
      <c r="AL134" s="9">
        <f t="shared" si="44"/>
        <v>-19.346042331633317</v>
      </c>
      <c r="AM134" s="9">
        <f t="shared" si="44"/>
        <v>-19.346042331633317</v>
      </c>
      <c r="AN134" s="9">
        <f t="shared" si="44"/>
        <v>-18.999672025513302</v>
      </c>
      <c r="AO134" s="9">
        <f t="shared" si="44"/>
        <v>-20.219665214847122</v>
      </c>
      <c r="AP134" s="9">
        <f t="shared" si="44"/>
        <v>-19.970371490691399</v>
      </c>
      <c r="AQ134" s="9">
        <f t="shared" si="44"/>
        <v>-14.141928013877314</v>
      </c>
      <c r="AR134" s="9">
        <f t="shared" si="44"/>
        <v>-9.556900852462249</v>
      </c>
      <c r="AS134" s="9">
        <f t="shared" si="44"/>
        <v>-6.8038541089911302</v>
      </c>
      <c r="AT134" s="9">
        <f t="shared" si="44"/>
        <v>-4.1413148554716717</v>
      </c>
      <c r="AU134" s="9">
        <f t="shared" si="44"/>
        <v>-4.1413148554716717</v>
      </c>
      <c r="AV134" s="9">
        <f t="shared" si="44"/>
        <v>-3.2045888762578416</v>
      </c>
      <c r="AW134" s="9">
        <f t="shared" si="44"/>
        <v>0</v>
      </c>
      <c r="AX134" s="9">
        <f t="shared" si="44"/>
        <v>0</v>
      </c>
      <c r="AY134" s="9">
        <f t="shared" si="44"/>
        <v>0</v>
      </c>
      <c r="AZ134" s="9">
        <f t="shared" si="44"/>
        <v>0</v>
      </c>
      <c r="BA134" s="9">
        <f t="shared" si="44"/>
        <v>0</v>
      </c>
      <c r="BB134" s="9">
        <f t="shared" si="44"/>
        <v>0</v>
      </c>
      <c r="BC134" s="9">
        <f t="shared" si="44"/>
        <v>0</v>
      </c>
      <c r="BD134" s="9">
        <f t="shared" si="44"/>
        <v>0</v>
      </c>
      <c r="BE134" s="9">
        <f t="shared" si="44"/>
        <v>0</v>
      </c>
      <c r="BF134" s="9">
        <f t="shared" si="44"/>
        <v>0</v>
      </c>
      <c r="BG134" s="9">
        <f t="shared" si="44"/>
        <v>0</v>
      </c>
      <c r="BH134" s="9">
        <f t="shared" si="44"/>
        <v>0</v>
      </c>
      <c r="BI134" s="9">
        <f t="shared" si="44"/>
        <v>0</v>
      </c>
      <c r="BJ134" s="9">
        <f t="shared" ref="BJ134" si="45">+BJ106/SUM($O106:$BE106)</f>
        <v>0</v>
      </c>
      <c r="BK134" s="9"/>
      <c r="BL134" s="9"/>
      <c r="BM134" s="9"/>
      <c r="BN134" s="9"/>
      <c r="BO134" s="9"/>
    </row>
    <row r="135" spans="4:67">
      <c r="D135" t="s">
        <v>21</v>
      </c>
      <c r="E135" s="9"/>
      <c r="F135" s="9"/>
      <c r="G135" s="9"/>
      <c r="H135" s="9"/>
      <c r="I135" s="9"/>
      <c r="J135" s="9"/>
      <c r="K135" s="9"/>
      <c r="L135" s="9"/>
      <c r="M135" s="9"/>
      <c r="N135" s="9"/>
      <c r="O135" s="9">
        <f t="shared" ref="O135:BI135" si="46">(+O107/SUM($O107:$BE107))*-3092.46866906562</f>
        <v>-48.180430158864681</v>
      </c>
      <c r="P135" s="9">
        <f t="shared" si="46"/>
        <v>-54.21151400721422</v>
      </c>
      <c r="Q135" s="9">
        <f t="shared" si="46"/>
        <v>-53.094206045214172</v>
      </c>
      <c r="R135" s="9">
        <f t="shared" si="46"/>
        <v>-58.230143902113873</v>
      </c>
      <c r="S135" s="9">
        <f t="shared" si="46"/>
        <v>-97.290110901912612</v>
      </c>
      <c r="T135" s="9">
        <f t="shared" si="46"/>
        <v>-88.114130832057057</v>
      </c>
      <c r="U135" s="9">
        <f t="shared" si="46"/>
        <v>-88.98743479177466</v>
      </c>
      <c r="V135" s="9">
        <f t="shared" si="46"/>
        <v>-90.141708610741702</v>
      </c>
      <c r="W135" s="9">
        <f t="shared" si="46"/>
        <v>-81.714771882457612</v>
      </c>
      <c r="X135" s="9">
        <f t="shared" si="46"/>
        <v>-89.802465384682748</v>
      </c>
      <c r="Y135" s="9">
        <f t="shared" si="46"/>
        <v>-103.8782504060033</v>
      </c>
      <c r="Z135" s="9">
        <f t="shared" si="46"/>
        <v>-118.04337394866998</v>
      </c>
      <c r="AA135" s="9">
        <f t="shared" si="46"/>
        <v>-128.30629904102065</v>
      </c>
      <c r="AB135" s="9">
        <f t="shared" si="46"/>
        <v>-128.30629904102065</v>
      </c>
      <c r="AC135" s="9">
        <f t="shared" si="46"/>
        <v>-104.24871599891941</v>
      </c>
      <c r="AD135" s="9">
        <f t="shared" si="46"/>
        <v>-107.53075376803363</v>
      </c>
      <c r="AE135" s="9">
        <f t="shared" si="46"/>
        <v>-107.53075376803363</v>
      </c>
      <c r="AF135" s="9">
        <f t="shared" si="46"/>
        <v>-104.58480449774646</v>
      </c>
      <c r="AG135" s="9">
        <f t="shared" si="46"/>
        <v>-107.62227230022428</v>
      </c>
      <c r="AH135" s="9">
        <f t="shared" si="46"/>
        <v>-108.18679030078003</v>
      </c>
      <c r="AI135" s="9">
        <f t="shared" si="46"/>
        <v>-106.39446503853509</v>
      </c>
      <c r="AJ135" s="9">
        <f t="shared" si="46"/>
        <v>-123.511029801886</v>
      </c>
      <c r="AK135" s="9">
        <f t="shared" si="46"/>
        <v>-129.29642223571264</v>
      </c>
      <c r="AL135" s="9">
        <f t="shared" si="46"/>
        <v>-121.79905051625273</v>
      </c>
      <c r="AM135" s="9">
        <f t="shared" si="46"/>
        <v>-121.79905051625273</v>
      </c>
      <c r="AN135" s="9">
        <f t="shared" si="46"/>
        <v>-120.02653400639446</v>
      </c>
      <c r="AO135" s="9">
        <f t="shared" si="46"/>
        <v>-124.02995622948832</v>
      </c>
      <c r="AP135" s="9">
        <f t="shared" si="46"/>
        <v>-122.03512053675918</v>
      </c>
      <c r="AQ135" s="9">
        <f t="shared" si="46"/>
        <v>-86.286631933299105</v>
      </c>
      <c r="AR135" s="9">
        <f t="shared" si="46"/>
        <v>-58.88930371962811</v>
      </c>
      <c r="AS135" s="9">
        <f t="shared" si="46"/>
        <v>-41.755256946234375</v>
      </c>
      <c r="AT135" s="9">
        <f t="shared" si="46"/>
        <v>-24.745973870412488</v>
      </c>
      <c r="AU135" s="9">
        <f t="shared" si="46"/>
        <v>-24.745973870412488</v>
      </c>
      <c r="AV135" s="9">
        <f t="shared" si="46"/>
        <v>-19.148670256866804</v>
      </c>
      <c r="AW135" s="9">
        <f t="shared" si="46"/>
        <v>0</v>
      </c>
      <c r="AX135" s="9">
        <f t="shared" si="46"/>
        <v>0</v>
      </c>
      <c r="AY135" s="9">
        <f t="shared" si="46"/>
        <v>0</v>
      </c>
      <c r="AZ135" s="9">
        <f t="shared" si="46"/>
        <v>0</v>
      </c>
      <c r="BA135" s="9">
        <f t="shared" si="46"/>
        <v>0</v>
      </c>
      <c r="BB135" s="9">
        <f t="shared" si="46"/>
        <v>0</v>
      </c>
      <c r="BC135" s="9">
        <f t="shared" si="46"/>
        <v>0</v>
      </c>
      <c r="BD135" s="9">
        <f t="shared" si="46"/>
        <v>0</v>
      </c>
      <c r="BE135" s="9">
        <f t="shared" si="46"/>
        <v>0</v>
      </c>
      <c r="BF135" s="9">
        <f t="shared" si="46"/>
        <v>0</v>
      </c>
      <c r="BG135" s="9">
        <f t="shared" si="46"/>
        <v>0</v>
      </c>
      <c r="BH135" s="9">
        <f t="shared" si="46"/>
        <v>0</v>
      </c>
      <c r="BI135" s="9">
        <f t="shared" si="46"/>
        <v>0</v>
      </c>
      <c r="BJ135" s="9">
        <f t="shared" ref="BJ135" si="47">+BJ107/SUM($O107:$BE107)</f>
        <v>0</v>
      </c>
      <c r="BK135" s="9"/>
      <c r="BL135" s="9"/>
      <c r="BM135" s="9"/>
      <c r="BN135" s="9"/>
      <c r="BO135" s="9"/>
    </row>
    <row r="136" spans="4:67">
      <c r="D136" t="s">
        <v>22</v>
      </c>
      <c r="E136" s="9"/>
      <c r="F136" s="9"/>
      <c r="G136" s="9"/>
      <c r="H136" s="9"/>
      <c r="I136" s="9"/>
      <c r="J136" s="9"/>
      <c r="K136" s="9"/>
      <c r="L136" s="9"/>
      <c r="M136" s="9"/>
      <c r="N136" s="9"/>
      <c r="O136" s="9">
        <f t="shared" ref="O136:BI136" si="48">(+O108/SUM($O108:$BE108))*-49838.8153948833</f>
        <v>-3326.6752515651215</v>
      </c>
      <c r="P136" s="9">
        <f t="shared" si="48"/>
        <v>-4095.3175494258712</v>
      </c>
      <c r="Q136" s="9">
        <f t="shared" si="48"/>
        <v>-3210.0207400038157</v>
      </c>
      <c r="R136" s="9">
        <f t="shared" si="48"/>
        <v>-2655.0396384241935</v>
      </c>
      <c r="S136" s="9">
        <f t="shared" si="48"/>
        <v>-2810.3396982135646</v>
      </c>
      <c r="T136" s="9">
        <f t="shared" si="48"/>
        <v>-2476.473907551313</v>
      </c>
      <c r="U136" s="9">
        <f t="shared" si="48"/>
        <v>-2422.9639169202037</v>
      </c>
      <c r="V136" s="9">
        <f t="shared" si="48"/>
        <v>-2598.561964284082</v>
      </c>
      <c r="W136" s="9">
        <f t="shared" si="48"/>
        <v>-1070.9341410732177</v>
      </c>
      <c r="X136" s="9">
        <f t="shared" si="48"/>
        <v>-782.4396282225083</v>
      </c>
      <c r="Y136" s="9">
        <f t="shared" si="48"/>
        <v>-869.14104150402909</v>
      </c>
      <c r="Z136" s="9">
        <f t="shared" si="48"/>
        <v>-999.16556784777606</v>
      </c>
      <c r="AA136" s="9">
        <f t="shared" si="48"/>
        <v>-987.97275285613432</v>
      </c>
      <c r="AB136" s="9">
        <f t="shared" si="48"/>
        <v>-1008.162810866833</v>
      </c>
      <c r="AC136" s="9">
        <f t="shared" si="48"/>
        <v>-1092.9189637123789</v>
      </c>
      <c r="AD136" s="9">
        <f t="shared" si="48"/>
        <v>-1205.2492326427082</v>
      </c>
      <c r="AE136" s="9">
        <f t="shared" si="48"/>
        <v>-2013.0987062884683</v>
      </c>
      <c r="AF136" s="9">
        <f t="shared" si="48"/>
        <v>-2013.0987062884683</v>
      </c>
      <c r="AG136" s="9">
        <f t="shared" si="48"/>
        <v>-1660.2292568727141</v>
      </c>
      <c r="AH136" s="9">
        <f t="shared" si="48"/>
        <v>-1272.7292585405944</v>
      </c>
      <c r="AI136" s="9">
        <f t="shared" si="48"/>
        <v>-1263.4491768048372</v>
      </c>
      <c r="AJ136" s="9">
        <f t="shared" si="48"/>
        <v>-1616.9976565915013</v>
      </c>
      <c r="AK136" s="9">
        <f t="shared" si="48"/>
        <v>-1346.2908820557454</v>
      </c>
      <c r="AL136" s="9">
        <f t="shared" si="48"/>
        <v>-1435.9228910157449</v>
      </c>
      <c r="AM136" s="9">
        <f t="shared" si="48"/>
        <v>-1435.9228910157449</v>
      </c>
      <c r="AN136" s="9">
        <f t="shared" si="48"/>
        <v>-1510.6162318157458</v>
      </c>
      <c r="AO136" s="9">
        <f t="shared" si="48"/>
        <v>-806.6880806399929</v>
      </c>
      <c r="AP136" s="9">
        <f t="shared" si="48"/>
        <v>-679.70940127999393</v>
      </c>
      <c r="AQ136" s="9">
        <f t="shared" si="48"/>
        <v>-448.16004479999651</v>
      </c>
      <c r="AR136" s="9">
        <f t="shared" si="48"/>
        <v>-448.16004479999651</v>
      </c>
      <c r="AS136" s="9">
        <f t="shared" si="48"/>
        <v>-276.3653609599977</v>
      </c>
      <c r="AT136" s="9">
        <f t="shared" si="48"/>
        <v>0</v>
      </c>
      <c r="AU136" s="9">
        <f t="shared" si="48"/>
        <v>0</v>
      </c>
      <c r="AV136" s="9">
        <f t="shared" si="48"/>
        <v>0</v>
      </c>
      <c r="AW136" s="9">
        <f t="shared" si="48"/>
        <v>0</v>
      </c>
      <c r="AX136" s="9">
        <f t="shared" si="48"/>
        <v>0</v>
      </c>
      <c r="AY136" s="9">
        <f t="shared" si="48"/>
        <v>0</v>
      </c>
      <c r="AZ136" s="9">
        <f t="shared" si="48"/>
        <v>0</v>
      </c>
      <c r="BA136" s="9">
        <f t="shared" si="48"/>
        <v>0</v>
      </c>
      <c r="BB136" s="9">
        <f t="shared" si="48"/>
        <v>0</v>
      </c>
      <c r="BC136" s="9">
        <f t="shared" si="48"/>
        <v>0</v>
      </c>
      <c r="BD136" s="9">
        <f t="shared" si="48"/>
        <v>0</v>
      </c>
      <c r="BE136" s="9">
        <f t="shared" si="48"/>
        <v>0</v>
      </c>
      <c r="BF136" s="9">
        <f t="shared" si="48"/>
        <v>0</v>
      </c>
      <c r="BG136" s="9">
        <f t="shared" si="48"/>
        <v>0</v>
      </c>
      <c r="BH136" s="9">
        <f t="shared" si="48"/>
        <v>0</v>
      </c>
      <c r="BI136" s="9">
        <f t="shared" si="48"/>
        <v>0</v>
      </c>
      <c r="BJ136" s="9">
        <f t="shared" ref="BJ136" si="49">+BJ108/SUM($O108:$BE108)</f>
        <v>0</v>
      </c>
      <c r="BK136" s="9"/>
      <c r="BL136" s="9"/>
      <c r="BM136" s="9"/>
      <c r="BN136" s="9"/>
      <c r="BO136" s="9"/>
    </row>
    <row r="137" spans="4:67">
      <c r="D137" t="s">
        <v>23</v>
      </c>
      <c r="E137" s="9"/>
      <c r="F137" s="9"/>
      <c r="G137" s="9"/>
      <c r="H137" s="9"/>
      <c r="I137" s="9"/>
      <c r="J137" s="9"/>
      <c r="K137" s="9"/>
      <c r="L137" s="9"/>
      <c r="M137" s="9"/>
      <c r="N137" s="9"/>
      <c r="O137" s="9">
        <f t="shared" ref="O137:BI137" si="50">(+O109/SUM($O109:$BE109))*199228.207950368</f>
        <v>1972.3059184004633</v>
      </c>
      <c r="P137" s="9">
        <f t="shared" si="50"/>
        <v>1171.7320058339078</v>
      </c>
      <c r="Q137" s="9">
        <f t="shared" si="50"/>
        <v>1442.9123241046939</v>
      </c>
      <c r="R137" s="9">
        <f t="shared" si="50"/>
        <v>2587.3947484075834</v>
      </c>
      <c r="S137" s="9">
        <f t="shared" si="50"/>
        <v>6020.842021316249</v>
      </c>
      <c r="T137" s="9">
        <f t="shared" si="50"/>
        <v>5529.2219848669292</v>
      </c>
      <c r="U137" s="9">
        <f t="shared" si="50"/>
        <v>5771.0855119733023</v>
      </c>
      <c r="V137" s="9">
        <f t="shared" si="50"/>
        <v>5771.0855119733023</v>
      </c>
      <c r="W137" s="9">
        <f t="shared" si="50"/>
        <v>5449.540449907252</v>
      </c>
      <c r="X137" s="9">
        <f t="shared" si="50"/>
        <v>6321.9029151969089</v>
      </c>
      <c r="Y137" s="9">
        <f t="shared" si="50"/>
        <v>7466.3853394997986</v>
      </c>
      <c r="Z137" s="9">
        <f t="shared" si="50"/>
        <v>8610.8677638026893</v>
      </c>
      <c r="AA137" s="9">
        <f t="shared" si="50"/>
        <v>9760.361605398637</v>
      </c>
      <c r="AB137" s="9">
        <f t="shared" si="50"/>
        <v>9760.361605398637</v>
      </c>
      <c r="AC137" s="9">
        <f t="shared" si="50"/>
        <v>6975.892871941418</v>
      </c>
      <c r="AD137" s="9">
        <f t="shared" si="50"/>
        <v>6866.894545817333</v>
      </c>
      <c r="AE137" s="9">
        <f t="shared" si="50"/>
        <v>6866.894545817333</v>
      </c>
      <c r="AF137" s="9">
        <f t="shared" si="50"/>
        <v>6594.3987305071232</v>
      </c>
      <c r="AG137" s="9">
        <f t="shared" si="50"/>
        <v>7411.8861764377561</v>
      </c>
      <c r="AH137" s="9">
        <f t="shared" si="50"/>
        <v>8011.3769701202227</v>
      </c>
      <c r="AI137" s="9">
        <f t="shared" si="50"/>
        <v>8011.3769701202227</v>
      </c>
      <c r="AJ137" s="9">
        <f t="shared" si="50"/>
        <v>9155.8593944231125</v>
      </c>
      <c r="AK137" s="9">
        <f t="shared" si="50"/>
        <v>9918.8476772917056</v>
      </c>
      <c r="AL137" s="9">
        <f t="shared" si="50"/>
        <v>9155.8593944231125</v>
      </c>
      <c r="AM137" s="9">
        <f t="shared" si="50"/>
        <v>43.162098732148927</v>
      </c>
      <c r="AN137" s="9">
        <f t="shared" si="50"/>
        <v>43.162098732148927</v>
      </c>
      <c r="AO137" s="9">
        <f t="shared" si="50"/>
        <v>10300.341818726001</v>
      </c>
      <c r="AP137" s="9">
        <f t="shared" si="50"/>
        <v>10300.341818726001</v>
      </c>
      <c r="AQ137" s="9">
        <f t="shared" si="50"/>
        <v>7330.1374318446942</v>
      </c>
      <c r="AR137" s="9">
        <f t="shared" si="50"/>
        <v>4795.9263494597244</v>
      </c>
      <c r="AS137" s="9">
        <f t="shared" si="50"/>
        <v>3460.6968544396891</v>
      </c>
      <c r="AT137" s="9">
        <f t="shared" si="50"/>
        <v>2288.9648486057777</v>
      </c>
      <c r="AU137" s="9">
        <f t="shared" si="50"/>
        <v>2288.9648486057777</v>
      </c>
      <c r="AV137" s="9">
        <f t="shared" si="50"/>
        <v>1771.2227995163757</v>
      </c>
      <c r="AW137" s="9">
        <f t="shared" si="50"/>
        <v>0</v>
      </c>
      <c r="AX137" s="9">
        <f t="shared" si="50"/>
        <v>0</v>
      </c>
      <c r="AY137" s="9">
        <f t="shared" si="50"/>
        <v>0</v>
      </c>
      <c r="AZ137" s="9">
        <f t="shared" si="50"/>
        <v>0</v>
      </c>
      <c r="BA137" s="9">
        <f t="shared" si="50"/>
        <v>0</v>
      </c>
      <c r="BB137" s="9">
        <f t="shared" si="50"/>
        <v>0</v>
      </c>
      <c r="BC137" s="9">
        <f t="shared" si="50"/>
        <v>0</v>
      </c>
      <c r="BD137" s="9">
        <f t="shared" si="50"/>
        <v>0</v>
      </c>
      <c r="BE137" s="9">
        <f t="shared" si="50"/>
        <v>0</v>
      </c>
      <c r="BF137" s="9">
        <f t="shared" si="50"/>
        <v>0</v>
      </c>
      <c r="BG137" s="9">
        <f t="shared" si="50"/>
        <v>0</v>
      </c>
      <c r="BH137" s="9">
        <f t="shared" si="50"/>
        <v>0</v>
      </c>
      <c r="BI137" s="9">
        <f t="shared" si="50"/>
        <v>0</v>
      </c>
      <c r="BJ137" s="9">
        <f t="shared" ref="BJ137" si="51">+BJ109/SUM($O109:$BE109)</f>
        <v>0</v>
      </c>
      <c r="BK137" s="9"/>
      <c r="BL137" s="9"/>
      <c r="BM137" s="9"/>
      <c r="BN137" s="9"/>
      <c r="BO137" s="9"/>
    </row>
    <row r="138" spans="4:67">
      <c r="D138" t="s">
        <v>24</v>
      </c>
      <c r="E138" s="9"/>
      <c r="F138" s="9"/>
      <c r="G138" s="9"/>
      <c r="H138" s="9"/>
      <c r="I138" s="9"/>
      <c r="J138" s="9"/>
      <c r="K138" s="9"/>
      <c r="L138" s="9"/>
      <c r="M138" s="9"/>
      <c r="N138" s="9"/>
      <c r="O138" s="9">
        <f t="shared" ref="O138:BI138" si="52">(+O110/SUM($O110:$BE110))*-16975.9885914398</f>
        <v>0</v>
      </c>
      <c r="P138" s="9">
        <f t="shared" si="52"/>
        <v>0</v>
      </c>
      <c r="Q138" s="9">
        <f t="shared" si="52"/>
        <v>-90.043256348968569</v>
      </c>
      <c r="R138" s="9">
        <f t="shared" si="52"/>
        <v>-181.80146799523857</v>
      </c>
      <c r="S138" s="9">
        <f t="shared" si="52"/>
        <v>-239.43299176463304</v>
      </c>
      <c r="T138" s="9">
        <f t="shared" si="52"/>
        <v>-502.71851998099743</v>
      </c>
      <c r="U138" s="9">
        <f t="shared" si="52"/>
        <v>-538.64488229429264</v>
      </c>
      <c r="V138" s="9">
        <f t="shared" si="52"/>
        <v>-260.88549411122972</v>
      </c>
      <c r="W138" s="9">
        <f t="shared" si="52"/>
        <v>-283.60644489845987</v>
      </c>
      <c r="X138" s="9">
        <f t="shared" si="52"/>
        <v>-390.2771610825111</v>
      </c>
      <c r="Y138" s="9">
        <f t="shared" si="52"/>
        <v>-460.81733658326243</v>
      </c>
      <c r="Z138" s="9">
        <f t="shared" si="52"/>
        <v>-299.36179141829257</v>
      </c>
      <c r="AA138" s="9">
        <f t="shared" si="52"/>
        <v>-261.67906348691588</v>
      </c>
      <c r="AB138" s="9">
        <f t="shared" si="52"/>
        <v>-227.71927154196649</v>
      </c>
      <c r="AC138" s="9">
        <f t="shared" si="52"/>
        <v>-466.19301549304356</v>
      </c>
      <c r="AD138" s="9">
        <f t="shared" si="52"/>
        <v>-404.21811147255892</v>
      </c>
      <c r="AE138" s="9">
        <f t="shared" si="52"/>
        <v>-330.48639302731993</v>
      </c>
      <c r="AF138" s="9">
        <f t="shared" si="52"/>
        <v>-81.50350066787864</v>
      </c>
      <c r="AG138" s="9">
        <f t="shared" si="52"/>
        <v>-239.32762469946292</v>
      </c>
      <c r="AH138" s="9">
        <f t="shared" si="52"/>
        <v>-301.72320861892649</v>
      </c>
      <c r="AI138" s="9">
        <f t="shared" si="52"/>
        <v>-301.72320861892649</v>
      </c>
      <c r="AJ138" s="9">
        <f t="shared" si="52"/>
        <v>-409.34722955905505</v>
      </c>
      <c r="AK138" s="9">
        <f t="shared" si="52"/>
        <v>-208.19656106822916</v>
      </c>
      <c r="AL138" s="9">
        <f t="shared" si="52"/>
        <v>-320.76028097355572</v>
      </c>
      <c r="AM138" s="9">
        <f t="shared" si="52"/>
        <v>-320.39518297809849</v>
      </c>
      <c r="AN138" s="9">
        <f t="shared" si="52"/>
        <v>-492.84180307285749</v>
      </c>
      <c r="AO138" s="9">
        <f t="shared" si="52"/>
        <v>-492.84180307285749</v>
      </c>
      <c r="AP138" s="9">
        <f t="shared" si="52"/>
        <v>-570.41153821177681</v>
      </c>
      <c r="AQ138" s="9">
        <f t="shared" si="52"/>
        <v>-527.78986242200688</v>
      </c>
      <c r="AR138" s="9">
        <f t="shared" si="52"/>
        <v>-421.19425691839024</v>
      </c>
      <c r="AS138" s="9">
        <f t="shared" si="52"/>
        <v>-476.58988595260405</v>
      </c>
      <c r="AT138" s="9">
        <f t="shared" si="52"/>
        <v>-848.96355258067501</v>
      </c>
      <c r="AU138" s="9">
        <f t="shared" si="52"/>
        <v>-847.77340882705073</v>
      </c>
      <c r="AV138" s="9">
        <f t="shared" si="52"/>
        <v>-858.41478958831999</v>
      </c>
      <c r="AW138" s="9">
        <f t="shared" si="52"/>
        <v>-771.45038192157119</v>
      </c>
      <c r="AX138" s="9">
        <f t="shared" si="52"/>
        <v>-771.45038192157108</v>
      </c>
      <c r="AY138" s="9">
        <f t="shared" si="52"/>
        <v>-750.21539079178922</v>
      </c>
      <c r="AZ138" s="9">
        <f t="shared" si="52"/>
        <v>-743.75256740446434</v>
      </c>
      <c r="BA138" s="9">
        <f t="shared" si="52"/>
        <v>-631.97790021924084</v>
      </c>
      <c r="BB138" s="9">
        <f t="shared" si="52"/>
        <v>-484.29428888751494</v>
      </c>
      <c r="BC138" s="9">
        <f t="shared" si="52"/>
        <v>-165.16478096328586</v>
      </c>
      <c r="BD138" s="9">
        <f t="shared" si="52"/>
        <v>0</v>
      </c>
      <c r="BE138" s="9">
        <f t="shared" si="52"/>
        <v>0</v>
      </c>
      <c r="BF138" s="9">
        <f t="shared" si="52"/>
        <v>0</v>
      </c>
      <c r="BG138" s="9">
        <f t="shared" si="52"/>
        <v>0</v>
      </c>
      <c r="BH138" s="9">
        <f t="shared" si="52"/>
        <v>0</v>
      </c>
      <c r="BI138" s="9">
        <f t="shared" si="52"/>
        <v>0</v>
      </c>
      <c r="BJ138" s="9">
        <f t="shared" ref="BJ138" si="53">+BJ110/SUM($O110:$BE110)</f>
        <v>0</v>
      </c>
      <c r="BK138" s="9"/>
      <c r="BL138" s="9"/>
      <c r="BM138" s="9"/>
      <c r="BN138" s="9"/>
      <c r="BO138" s="9"/>
    </row>
    <row r="139" spans="4:67">
      <c r="D139" t="s">
        <v>25</v>
      </c>
      <c r="E139" s="9"/>
      <c r="F139" s="9"/>
      <c r="G139" s="9"/>
      <c r="H139" s="9"/>
      <c r="I139" s="9"/>
      <c r="J139" s="9"/>
      <c r="K139" s="9"/>
      <c r="L139" s="9"/>
      <c r="M139" s="9"/>
      <c r="N139" s="9"/>
      <c r="O139" s="9">
        <f t="shared" ref="O139:BI139" si="54">(+O111/SUM($O111:$BE111))*0</f>
        <v>0</v>
      </c>
      <c r="P139" s="9">
        <f t="shared" si="54"/>
        <v>0</v>
      </c>
      <c r="Q139" s="9">
        <f t="shared" si="54"/>
        <v>0</v>
      </c>
      <c r="R139" s="9">
        <f t="shared" si="54"/>
        <v>0</v>
      </c>
      <c r="S139" s="9">
        <f t="shared" si="54"/>
        <v>0</v>
      </c>
      <c r="T139" s="9">
        <f t="shared" si="54"/>
        <v>0</v>
      </c>
      <c r="U139" s="9">
        <f t="shared" si="54"/>
        <v>0</v>
      </c>
      <c r="V139" s="9">
        <f t="shared" si="54"/>
        <v>0</v>
      </c>
      <c r="W139" s="9">
        <f t="shared" si="54"/>
        <v>0</v>
      </c>
      <c r="X139" s="9">
        <f t="shared" si="54"/>
        <v>0</v>
      </c>
      <c r="Y139" s="9">
        <f t="shared" si="54"/>
        <v>0</v>
      </c>
      <c r="Z139" s="9">
        <f t="shared" si="54"/>
        <v>0</v>
      </c>
      <c r="AA139" s="9">
        <f t="shared" si="54"/>
        <v>0</v>
      </c>
      <c r="AB139" s="9">
        <f t="shared" si="54"/>
        <v>0</v>
      </c>
      <c r="AC139" s="9">
        <f t="shared" si="54"/>
        <v>0</v>
      </c>
      <c r="AD139" s="9">
        <f t="shared" si="54"/>
        <v>0</v>
      </c>
      <c r="AE139" s="9">
        <f t="shared" si="54"/>
        <v>0</v>
      </c>
      <c r="AF139" s="9">
        <f t="shared" si="54"/>
        <v>0</v>
      </c>
      <c r="AG139" s="9">
        <f t="shared" si="54"/>
        <v>0</v>
      </c>
      <c r="AH139" s="9">
        <f t="shared" si="54"/>
        <v>0</v>
      </c>
      <c r="AI139" s="9">
        <f t="shared" si="54"/>
        <v>0</v>
      </c>
      <c r="AJ139" s="9">
        <f t="shared" si="54"/>
        <v>0</v>
      </c>
      <c r="AK139" s="9">
        <f t="shared" si="54"/>
        <v>0</v>
      </c>
      <c r="AL139" s="9">
        <f t="shared" si="54"/>
        <v>0</v>
      </c>
      <c r="AM139" s="9">
        <f t="shared" si="54"/>
        <v>0</v>
      </c>
      <c r="AN139" s="9">
        <f t="shared" si="54"/>
        <v>0</v>
      </c>
      <c r="AO139" s="9">
        <f t="shared" si="54"/>
        <v>0</v>
      </c>
      <c r="AP139" s="9">
        <f t="shared" si="54"/>
        <v>0</v>
      </c>
      <c r="AQ139" s="9">
        <f t="shared" si="54"/>
        <v>0</v>
      </c>
      <c r="AR139" s="9">
        <f t="shared" si="54"/>
        <v>0</v>
      </c>
      <c r="AS139" s="9">
        <f t="shared" si="54"/>
        <v>0</v>
      </c>
      <c r="AT139" s="9">
        <f t="shared" si="54"/>
        <v>0</v>
      </c>
      <c r="AU139" s="9">
        <f t="shared" si="54"/>
        <v>0</v>
      </c>
      <c r="AV139" s="9">
        <f t="shared" si="54"/>
        <v>0</v>
      </c>
      <c r="AW139" s="9">
        <f t="shared" si="54"/>
        <v>0</v>
      </c>
      <c r="AX139" s="9">
        <f t="shared" si="54"/>
        <v>0</v>
      </c>
      <c r="AY139" s="9">
        <f t="shared" si="54"/>
        <v>0</v>
      </c>
      <c r="AZ139" s="9">
        <f t="shared" si="54"/>
        <v>0</v>
      </c>
      <c r="BA139" s="9">
        <f t="shared" si="54"/>
        <v>0</v>
      </c>
      <c r="BB139" s="9">
        <f t="shared" si="54"/>
        <v>0</v>
      </c>
      <c r="BC139" s="9">
        <f t="shared" si="54"/>
        <v>0</v>
      </c>
      <c r="BD139" s="9">
        <f t="shared" si="54"/>
        <v>0</v>
      </c>
      <c r="BE139" s="9">
        <f t="shared" si="54"/>
        <v>0</v>
      </c>
      <c r="BF139" s="9">
        <f t="shared" si="54"/>
        <v>0</v>
      </c>
      <c r="BG139" s="9">
        <f t="shared" si="54"/>
        <v>0</v>
      </c>
      <c r="BH139" s="9">
        <f t="shared" si="54"/>
        <v>0</v>
      </c>
      <c r="BI139" s="9">
        <f t="shared" si="54"/>
        <v>0</v>
      </c>
      <c r="BJ139" s="9">
        <f t="shared" ref="BJ139" si="55">+BJ111/SUM($O111:$BE111)</f>
        <v>0</v>
      </c>
      <c r="BK139" s="9"/>
      <c r="BL139" s="9"/>
      <c r="BM139" s="9"/>
      <c r="BN139" s="9"/>
      <c r="BO139" s="9"/>
    </row>
    <row r="140" spans="4:67">
      <c r="D140" t="s">
        <v>26</v>
      </c>
      <c r="E140" s="9"/>
      <c r="F140" s="9"/>
      <c r="G140" s="9"/>
      <c r="H140" s="9"/>
      <c r="I140" s="9"/>
      <c r="J140" s="9"/>
      <c r="K140" s="9"/>
      <c r="L140" s="9"/>
      <c r="M140" s="9"/>
      <c r="N140" s="9"/>
      <c r="O140" s="9">
        <f t="shared" ref="O140:BI140" si="56">(+O112/SUM($O112:$BE112))*-694.529203312846</f>
        <v>-34.212181008118954</v>
      </c>
      <c r="P140" s="9">
        <f t="shared" si="56"/>
        <v>-24.489417180832348</v>
      </c>
      <c r="Q140" s="9">
        <f t="shared" si="56"/>
        <v>-20.636556288158285</v>
      </c>
      <c r="R140" s="9">
        <f t="shared" si="56"/>
        <v>-18.947630965342267</v>
      </c>
      <c r="S140" s="9">
        <f t="shared" si="56"/>
        <v>-25.650553340268349</v>
      </c>
      <c r="T140" s="9">
        <f t="shared" si="56"/>
        <v>-20.900450869848292</v>
      </c>
      <c r="U140" s="9">
        <f t="shared" si="56"/>
        <v>-20.003209292102273</v>
      </c>
      <c r="V140" s="9">
        <f t="shared" si="56"/>
        <v>-21.058787618862286</v>
      </c>
      <c r="W140" s="9">
        <f t="shared" si="56"/>
        <v>-17.575379140554251</v>
      </c>
      <c r="X140" s="9">
        <f t="shared" si="56"/>
        <v>-16.467021897456227</v>
      </c>
      <c r="Y140" s="9">
        <f t="shared" si="56"/>
        <v>-19.105967714356261</v>
      </c>
      <c r="Z140" s="9">
        <f t="shared" si="56"/>
        <v>-21.956029196608313</v>
      </c>
      <c r="AA140" s="9">
        <f t="shared" si="56"/>
        <v>-24.067185850128343</v>
      </c>
      <c r="AB140" s="9">
        <f t="shared" si="56"/>
        <v>-24.067185850128343</v>
      </c>
      <c r="AC140" s="9">
        <f t="shared" si="56"/>
        <v>-20.583777371820304</v>
      </c>
      <c r="AD140" s="9">
        <f t="shared" si="56"/>
        <v>-22.167144861960317</v>
      </c>
      <c r="AE140" s="9">
        <f t="shared" si="56"/>
        <v>-22.167144861960317</v>
      </c>
      <c r="AF140" s="9">
        <f t="shared" si="56"/>
        <v>-21.639355698580314</v>
      </c>
      <c r="AG140" s="9">
        <f t="shared" si="56"/>
        <v>-22.008808112946316</v>
      </c>
      <c r="AH140" s="9">
        <f t="shared" si="56"/>
        <v>-20.583777371820293</v>
      </c>
      <c r="AI140" s="9">
        <f t="shared" si="56"/>
        <v>-21.217124367876309</v>
      </c>
      <c r="AJ140" s="9">
        <f t="shared" si="56"/>
        <v>-26.600573834352375</v>
      </c>
      <c r="AK140" s="9">
        <f t="shared" si="56"/>
        <v>-27.445036495760387</v>
      </c>
      <c r="AL140" s="9">
        <f t="shared" si="56"/>
        <v>-26.600573834352375</v>
      </c>
      <c r="AM140" s="9">
        <f t="shared" si="56"/>
        <v>-26.600573834352375</v>
      </c>
      <c r="AN140" s="9">
        <f t="shared" si="56"/>
        <v>-26.600573834352375</v>
      </c>
      <c r="AO140" s="9">
        <f t="shared" si="56"/>
        <v>-25.650553340268363</v>
      </c>
      <c r="AP140" s="9">
        <f t="shared" si="56"/>
        <v>-24.753311762522348</v>
      </c>
      <c r="AQ140" s="9">
        <f t="shared" si="56"/>
        <v>-17.364263475202247</v>
      </c>
      <c r="AR140" s="9">
        <f t="shared" si="56"/>
        <v>-12.455824255768176</v>
      </c>
      <c r="AS140" s="9">
        <f t="shared" si="56"/>
        <v>-8.6557422794321219</v>
      </c>
      <c r="AT140" s="9">
        <f t="shared" si="56"/>
        <v>-4.4334289723920639</v>
      </c>
      <c r="AU140" s="9">
        <f t="shared" si="56"/>
        <v>-4.4334289723920639</v>
      </c>
      <c r="AV140" s="9">
        <f t="shared" si="56"/>
        <v>-3.4306295619700484</v>
      </c>
      <c r="AW140" s="9">
        <f t="shared" si="56"/>
        <v>0</v>
      </c>
      <c r="AX140" s="9">
        <f t="shared" si="56"/>
        <v>0</v>
      </c>
      <c r="AY140" s="9">
        <f t="shared" si="56"/>
        <v>0</v>
      </c>
      <c r="AZ140" s="9">
        <f t="shared" si="56"/>
        <v>0</v>
      </c>
      <c r="BA140" s="9">
        <f t="shared" si="56"/>
        <v>0</v>
      </c>
      <c r="BB140" s="9">
        <f t="shared" si="56"/>
        <v>0</v>
      </c>
      <c r="BC140" s="9">
        <f t="shared" si="56"/>
        <v>0</v>
      </c>
      <c r="BD140" s="9">
        <f t="shared" si="56"/>
        <v>0</v>
      </c>
      <c r="BE140" s="9">
        <f t="shared" si="56"/>
        <v>0</v>
      </c>
      <c r="BF140" s="9">
        <f t="shared" si="56"/>
        <v>0</v>
      </c>
      <c r="BG140" s="9">
        <f t="shared" si="56"/>
        <v>0</v>
      </c>
      <c r="BH140" s="9">
        <f t="shared" si="56"/>
        <v>0</v>
      </c>
      <c r="BI140" s="9">
        <f t="shared" si="56"/>
        <v>0</v>
      </c>
      <c r="BJ140" s="9">
        <f t="shared" ref="BJ140" si="57">+BJ112/SUM($O112:$BE112)</f>
        <v>0</v>
      </c>
      <c r="BK140" s="9"/>
      <c r="BL140" s="9"/>
      <c r="BM140" s="9"/>
      <c r="BN140" s="9"/>
      <c r="BO140" s="9"/>
    </row>
    <row r="141" spans="4:67">
      <c r="D141" t="s">
        <v>27</v>
      </c>
      <c r="O141" s="9">
        <f t="shared" ref="O141:BI141" si="58">(+O113/SUM($O113:$BE113))*-15984.005</f>
        <v>-1721.8297816179656</v>
      </c>
      <c r="P141" s="9">
        <f t="shared" si="58"/>
        <v>-2092.3767601625236</v>
      </c>
      <c r="Q141" s="9">
        <f t="shared" si="58"/>
        <v>-1504.281723639848</v>
      </c>
      <c r="R141" s="9">
        <f t="shared" si="58"/>
        <v>-1243.1743571939323</v>
      </c>
      <c r="S141" s="9">
        <f t="shared" si="58"/>
        <v>-1331.6170407955492</v>
      </c>
      <c r="T141" s="9">
        <f t="shared" si="58"/>
        <v>-1098.4499658458467</v>
      </c>
      <c r="U141" s="9">
        <f t="shared" si="58"/>
        <v>-961.76581846154181</v>
      </c>
      <c r="V141" s="9">
        <f t="shared" si="58"/>
        <v>-961.76581846154181</v>
      </c>
      <c r="W141" s="9">
        <f t="shared" si="58"/>
        <v>-449.96613006849003</v>
      </c>
      <c r="X141" s="9">
        <f t="shared" si="58"/>
        <v>-310.50605739514322</v>
      </c>
      <c r="Y141" s="9">
        <f t="shared" si="58"/>
        <v>-232.87954304635741</v>
      </c>
      <c r="Z141" s="9">
        <f t="shared" si="58"/>
        <v>-310.50605739514322</v>
      </c>
      <c r="AA141" s="9">
        <f t="shared" si="58"/>
        <v>-310.50605739514322</v>
      </c>
      <c r="AB141" s="9">
        <f t="shared" si="58"/>
        <v>-310.50605739514322</v>
      </c>
      <c r="AC141" s="9">
        <f t="shared" si="58"/>
        <v>-310.50605739514322</v>
      </c>
      <c r="AD141" s="9">
        <f t="shared" si="58"/>
        <v>-310.50605739514322</v>
      </c>
      <c r="AE141" s="9">
        <f t="shared" si="58"/>
        <v>-310.50605739514322</v>
      </c>
      <c r="AF141" s="9">
        <f t="shared" si="58"/>
        <v>-310.50605739514322</v>
      </c>
      <c r="AG141" s="9">
        <f t="shared" si="58"/>
        <v>-310.50605739514322</v>
      </c>
      <c r="AH141" s="9">
        <f t="shared" si="58"/>
        <v>-232.87954304635741</v>
      </c>
      <c r="AI141" s="9">
        <f t="shared" si="58"/>
        <v>-275.22127814569507</v>
      </c>
      <c r="AJ141" s="9">
        <f t="shared" si="58"/>
        <v>-169.36694039735136</v>
      </c>
      <c r="AK141" s="9">
        <f t="shared" si="58"/>
        <v>-127.02520529801293</v>
      </c>
      <c r="AL141" s="9">
        <f t="shared" si="58"/>
        <v>-169.36694039735136</v>
      </c>
      <c r="AM141" s="9">
        <f t="shared" si="58"/>
        <v>-169.36694039735136</v>
      </c>
      <c r="AN141" s="9">
        <f t="shared" si="58"/>
        <v>-169.36694039735136</v>
      </c>
      <c r="AO141" s="9">
        <f t="shared" si="58"/>
        <v>-169.36694039735136</v>
      </c>
      <c r="AP141" s="9">
        <f t="shared" si="58"/>
        <v>-109.38281567328883</v>
      </c>
      <c r="AQ141" s="9">
        <f t="shared" si="58"/>
        <v>0</v>
      </c>
      <c r="AR141" s="9">
        <f t="shared" si="58"/>
        <v>0</v>
      </c>
      <c r="AS141" s="9">
        <f t="shared" si="58"/>
        <v>0</v>
      </c>
      <c r="AT141" s="9">
        <f t="shared" si="58"/>
        <v>0</v>
      </c>
      <c r="AU141" s="9">
        <f t="shared" si="58"/>
        <v>0</v>
      </c>
      <c r="AV141" s="9">
        <f t="shared" si="58"/>
        <v>0</v>
      </c>
      <c r="AW141" s="9">
        <f t="shared" si="58"/>
        <v>0</v>
      </c>
      <c r="AX141" s="9">
        <f t="shared" si="58"/>
        <v>0</v>
      </c>
      <c r="AY141" s="9">
        <f t="shared" si="58"/>
        <v>0</v>
      </c>
      <c r="AZ141" s="9">
        <f t="shared" si="58"/>
        <v>0</v>
      </c>
      <c r="BA141" s="9">
        <f t="shared" si="58"/>
        <v>0</v>
      </c>
      <c r="BB141" s="9">
        <f t="shared" si="58"/>
        <v>0</v>
      </c>
      <c r="BC141" s="9">
        <f t="shared" si="58"/>
        <v>0</v>
      </c>
      <c r="BD141" s="9">
        <f t="shared" si="58"/>
        <v>0</v>
      </c>
      <c r="BE141" s="9">
        <f t="shared" si="58"/>
        <v>0</v>
      </c>
      <c r="BF141" s="9">
        <f t="shared" si="58"/>
        <v>0</v>
      </c>
      <c r="BG141" s="9">
        <f t="shared" si="58"/>
        <v>0</v>
      </c>
      <c r="BH141" s="9">
        <f t="shared" si="58"/>
        <v>0</v>
      </c>
      <c r="BI141" s="9">
        <f t="shared" si="58"/>
        <v>0</v>
      </c>
      <c r="BJ141" s="9">
        <f t="shared" ref="BJ141" si="59">+BJ113/SUM($O113:$BE113)</f>
        <v>0</v>
      </c>
    </row>
    <row r="142" spans="4:67">
      <c r="D142" t="s">
        <v>28</v>
      </c>
      <c r="O142" s="9">
        <f>(+O114/SUM($O114:$BE114))*$A$114</f>
        <v>0</v>
      </c>
      <c r="P142" s="9">
        <f t="shared" ref="P142:BJ142" si="60">(+P114/SUM($O114:$BE114))*$A$114</f>
        <v>0</v>
      </c>
      <c r="Q142" s="9">
        <f t="shared" si="60"/>
        <v>0</v>
      </c>
      <c r="R142" s="9">
        <f t="shared" si="60"/>
        <v>0</v>
      </c>
      <c r="S142" s="9">
        <f t="shared" si="60"/>
        <v>0</v>
      </c>
      <c r="T142" s="9">
        <f t="shared" si="60"/>
        <v>0</v>
      </c>
      <c r="U142" s="9">
        <f t="shared" si="60"/>
        <v>0</v>
      </c>
      <c r="V142" s="9">
        <f t="shared" si="60"/>
        <v>0</v>
      </c>
      <c r="W142" s="9">
        <f t="shared" si="60"/>
        <v>0</v>
      </c>
      <c r="X142" s="9">
        <f t="shared" si="60"/>
        <v>0</v>
      </c>
      <c r="Y142" s="9">
        <f t="shared" si="60"/>
        <v>0</v>
      </c>
      <c r="Z142" s="9">
        <f t="shared" si="60"/>
        <v>0</v>
      </c>
      <c r="AA142" s="9">
        <f t="shared" si="60"/>
        <v>0</v>
      </c>
      <c r="AB142" s="9">
        <f t="shared" si="60"/>
        <v>0</v>
      </c>
      <c r="AC142" s="9">
        <f t="shared" si="60"/>
        <v>0</v>
      </c>
      <c r="AD142" s="9">
        <f t="shared" si="60"/>
        <v>0</v>
      </c>
      <c r="AE142" s="9">
        <f t="shared" si="60"/>
        <v>0</v>
      </c>
      <c r="AF142" s="9">
        <f t="shared" si="60"/>
        <v>0</v>
      </c>
      <c r="AG142" s="9">
        <f t="shared" si="60"/>
        <v>0</v>
      </c>
      <c r="AH142" s="9">
        <f t="shared" si="60"/>
        <v>0</v>
      </c>
      <c r="AI142" s="9">
        <f t="shared" si="60"/>
        <v>0</v>
      </c>
      <c r="AJ142" s="9">
        <f t="shared" si="60"/>
        <v>0</v>
      </c>
      <c r="AK142" s="9">
        <f t="shared" si="60"/>
        <v>0</v>
      </c>
      <c r="AL142" s="9">
        <f t="shared" si="60"/>
        <v>0</v>
      </c>
      <c r="AM142" s="9">
        <f t="shared" si="60"/>
        <v>0</v>
      </c>
      <c r="AN142" s="9">
        <f t="shared" si="60"/>
        <v>0</v>
      </c>
      <c r="AO142" s="9">
        <f t="shared" si="60"/>
        <v>0</v>
      </c>
      <c r="AP142" s="9">
        <f t="shared" si="60"/>
        <v>0</v>
      </c>
      <c r="AQ142" s="9">
        <f t="shared" si="60"/>
        <v>0</v>
      </c>
      <c r="AR142" s="9">
        <f t="shared" si="60"/>
        <v>0</v>
      </c>
      <c r="AS142" s="9">
        <f t="shared" si="60"/>
        <v>0</v>
      </c>
      <c r="AT142" s="9">
        <f t="shared" si="60"/>
        <v>0</v>
      </c>
      <c r="AU142" s="9">
        <f t="shared" si="60"/>
        <v>0</v>
      </c>
      <c r="AV142" s="9">
        <f t="shared" si="60"/>
        <v>0</v>
      </c>
      <c r="AW142" s="9">
        <f t="shared" si="60"/>
        <v>0</v>
      </c>
      <c r="AX142" s="9">
        <f t="shared" si="60"/>
        <v>0</v>
      </c>
      <c r="AY142" s="9">
        <f t="shared" si="60"/>
        <v>0</v>
      </c>
      <c r="AZ142" s="9">
        <f t="shared" si="60"/>
        <v>0</v>
      </c>
      <c r="BA142" s="9">
        <f t="shared" si="60"/>
        <v>0</v>
      </c>
      <c r="BB142" s="9">
        <f t="shared" si="60"/>
        <v>0</v>
      </c>
      <c r="BC142" s="9">
        <f t="shared" si="60"/>
        <v>0</v>
      </c>
      <c r="BD142" s="9">
        <f t="shared" si="60"/>
        <v>0</v>
      </c>
      <c r="BE142" s="9">
        <f t="shared" si="60"/>
        <v>0</v>
      </c>
      <c r="BF142" s="9">
        <f t="shared" si="60"/>
        <v>0</v>
      </c>
      <c r="BG142" s="9">
        <f t="shared" si="60"/>
        <v>0</v>
      </c>
      <c r="BH142" s="9">
        <f t="shared" si="60"/>
        <v>0</v>
      </c>
      <c r="BI142" s="9">
        <f t="shared" si="60"/>
        <v>0</v>
      </c>
      <c r="BJ142" s="9">
        <f t="shared" si="60"/>
        <v>0</v>
      </c>
    </row>
    <row r="143" spans="4:67">
      <c r="D143" t="s">
        <v>29</v>
      </c>
      <c r="O143" s="9">
        <f t="shared" ref="O143:BI143" si="61">(+O115/SUM($O115:$BE115))*0</f>
        <v>0</v>
      </c>
      <c r="P143" s="9">
        <f t="shared" si="61"/>
        <v>0</v>
      </c>
      <c r="Q143" s="9">
        <f t="shared" si="61"/>
        <v>0</v>
      </c>
      <c r="R143" s="9">
        <f t="shared" si="61"/>
        <v>0</v>
      </c>
      <c r="S143" s="9">
        <f t="shared" si="61"/>
        <v>0</v>
      </c>
      <c r="T143" s="9">
        <f t="shared" si="61"/>
        <v>0</v>
      </c>
      <c r="U143" s="9">
        <f t="shared" si="61"/>
        <v>0</v>
      </c>
      <c r="V143" s="9">
        <f t="shared" si="61"/>
        <v>0</v>
      </c>
      <c r="W143" s="9">
        <f t="shared" si="61"/>
        <v>0</v>
      </c>
      <c r="X143" s="9">
        <f t="shared" si="61"/>
        <v>0</v>
      </c>
      <c r="Y143" s="9">
        <f t="shared" si="61"/>
        <v>0</v>
      </c>
      <c r="Z143" s="9">
        <f t="shared" si="61"/>
        <v>0</v>
      </c>
      <c r="AA143" s="9">
        <f t="shared" si="61"/>
        <v>0</v>
      </c>
      <c r="AB143" s="9">
        <f t="shared" si="61"/>
        <v>0</v>
      </c>
      <c r="AC143" s="9">
        <f t="shared" si="61"/>
        <v>0</v>
      </c>
      <c r="AD143" s="9">
        <f t="shared" si="61"/>
        <v>0</v>
      </c>
      <c r="AE143" s="9">
        <f t="shared" si="61"/>
        <v>0</v>
      </c>
      <c r="AF143" s="9">
        <f t="shared" si="61"/>
        <v>0</v>
      </c>
      <c r="AG143" s="9">
        <f t="shared" si="61"/>
        <v>0</v>
      </c>
      <c r="AH143" s="9">
        <f t="shared" si="61"/>
        <v>0</v>
      </c>
      <c r="AI143" s="9">
        <f t="shared" si="61"/>
        <v>0</v>
      </c>
      <c r="AJ143" s="9">
        <f t="shared" si="61"/>
        <v>0</v>
      </c>
      <c r="AK143" s="9">
        <f t="shared" si="61"/>
        <v>0</v>
      </c>
      <c r="AL143" s="9">
        <f t="shared" si="61"/>
        <v>0</v>
      </c>
      <c r="AM143" s="9">
        <f t="shared" si="61"/>
        <v>0</v>
      </c>
      <c r="AN143" s="9">
        <f t="shared" si="61"/>
        <v>0</v>
      </c>
      <c r="AO143" s="9">
        <f t="shared" si="61"/>
        <v>0</v>
      </c>
      <c r="AP143" s="9">
        <f t="shared" si="61"/>
        <v>0</v>
      </c>
      <c r="AQ143" s="9">
        <f t="shared" si="61"/>
        <v>0</v>
      </c>
      <c r="AR143" s="9">
        <f t="shared" si="61"/>
        <v>0</v>
      </c>
      <c r="AS143" s="9">
        <f t="shared" si="61"/>
        <v>0</v>
      </c>
      <c r="AT143" s="9">
        <f t="shared" si="61"/>
        <v>0</v>
      </c>
      <c r="AU143" s="9">
        <f t="shared" si="61"/>
        <v>0</v>
      </c>
      <c r="AV143" s="9">
        <f t="shared" si="61"/>
        <v>0</v>
      </c>
      <c r="AW143" s="9">
        <f t="shared" si="61"/>
        <v>0</v>
      </c>
      <c r="AX143" s="9">
        <f t="shared" si="61"/>
        <v>0</v>
      </c>
      <c r="AY143" s="9">
        <f t="shared" si="61"/>
        <v>0</v>
      </c>
      <c r="AZ143" s="9">
        <f t="shared" si="61"/>
        <v>0</v>
      </c>
      <c r="BA143" s="9">
        <f t="shared" si="61"/>
        <v>0</v>
      </c>
      <c r="BB143" s="9">
        <f t="shared" si="61"/>
        <v>0</v>
      </c>
      <c r="BC143" s="9">
        <f t="shared" si="61"/>
        <v>0</v>
      </c>
      <c r="BD143" s="9">
        <f t="shared" si="61"/>
        <v>0</v>
      </c>
      <c r="BE143" s="9">
        <f t="shared" si="61"/>
        <v>0</v>
      </c>
      <c r="BF143" s="9">
        <f t="shared" si="61"/>
        <v>0</v>
      </c>
      <c r="BG143" s="9">
        <f t="shared" si="61"/>
        <v>0</v>
      </c>
      <c r="BH143" s="9">
        <f t="shared" si="61"/>
        <v>0</v>
      </c>
      <c r="BI143" s="9">
        <f t="shared" si="61"/>
        <v>0</v>
      </c>
      <c r="BJ143" s="9">
        <f t="shared" ref="BJ143" si="62">+BJ115/SUM($O115:$BE115)</f>
        <v>0</v>
      </c>
    </row>
    <row r="144" spans="4:67">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row>
    <row r="145" spans="15:5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row>
    <row r="146" spans="15:5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row>
    <row r="147" spans="15:5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row>
    <row r="148" spans="15:5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row>
    <row r="149" spans="15:5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row>
  </sheetData>
  <phoneticPr fontId="4"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0A44-4F46-4465-BD62-D177EE70DDB2}">
  <sheetPr codeName="Sheet6"/>
  <dimension ref="B1:I100"/>
  <sheetViews>
    <sheetView workbookViewId="0">
      <selection activeCell="F24" sqref="F24"/>
    </sheetView>
  </sheetViews>
  <sheetFormatPr defaultRowHeight="14"/>
  <cols>
    <col min="1" max="1" width="1.7265625" style="12" customWidth="1"/>
    <col min="2" max="2" width="8.7265625" style="12"/>
    <col min="3" max="3" width="21.54296875" style="12" bestFit="1" customWidth="1"/>
    <col min="4" max="4" width="14" style="12" bestFit="1" customWidth="1"/>
    <col min="5" max="5" width="22.453125" style="12" bestFit="1" customWidth="1"/>
    <col min="6" max="7" width="8.7265625" style="12"/>
    <col min="8" max="8" width="16.36328125" style="12" bestFit="1" customWidth="1"/>
    <col min="9" max="9" width="82.36328125" style="12" bestFit="1" customWidth="1"/>
    <col min="10" max="16384" width="8.7265625" style="12"/>
  </cols>
  <sheetData>
    <row r="1" spans="2:9" ht="10" customHeight="1"/>
    <row r="2" spans="2:9" ht="17.5">
      <c r="B2" s="68" t="s">
        <v>4977</v>
      </c>
      <c r="C2" s="68"/>
      <c r="D2" s="69"/>
      <c r="E2" s="69"/>
      <c r="H2" s="70" t="s">
        <v>4978</v>
      </c>
      <c r="I2" s="71"/>
    </row>
    <row r="3" spans="2:9">
      <c r="H3" s="12" t="s">
        <v>80</v>
      </c>
      <c r="I3" s="12" t="s">
        <v>81</v>
      </c>
    </row>
    <row r="4" spans="2:9" ht="14.5">
      <c r="B4" s="72" t="s">
        <v>80</v>
      </c>
      <c r="C4" s="72" t="s">
        <v>81</v>
      </c>
      <c r="D4" s="72" t="s">
        <v>4979</v>
      </c>
      <c r="E4" s="72" t="s">
        <v>4980</v>
      </c>
      <c r="H4" s="74" t="s">
        <v>4981</v>
      </c>
      <c r="I4" s="75" t="s">
        <v>4982</v>
      </c>
    </row>
    <row r="5" spans="2:9" ht="14.5">
      <c r="B5" s="73" t="s">
        <v>4973</v>
      </c>
      <c r="C5" s="73" t="s">
        <v>4983</v>
      </c>
      <c r="D5" s="73" t="s">
        <v>4984</v>
      </c>
      <c r="E5" s="73"/>
      <c r="H5" s="74" t="s">
        <v>4985</v>
      </c>
      <c r="I5" s="75" t="s">
        <v>5164</v>
      </c>
    </row>
    <row r="6" spans="2:9" ht="14.5">
      <c r="B6" s="73" t="s">
        <v>30</v>
      </c>
      <c r="C6" s="73" t="s">
        <v>34</v>
      </c>
      <c r="D6" s="73" t="s">
        <v>32</v>
      </c>
      <c r="E6" s="73" t="s">
        <v>4986</v>
      </c>
      <c r="H6" s="74" t="s">
        <v>4987</v>
      </c>
      <c r="I6" s="75" t="s">
        <v>4988</v>
      </c>
    </row>
    <row r="7" spans="2:9" ht="14.5">
      <c r="B7" s="73" t="s">
        <v>30</v>
      </c>
      <c r="C7" s="73" t="s">
        <v>34</v>
      </c>
      <c r="D7" s="73" t="s">
        <v>33</v>
      </c>
      <c r="E7" s="73" t="s">
        <v>4989</v>
      </c>
      <c r="H7" s="74" t="s">
        <v>4990</v>
      </c>
      <c r="I7" s="75" t="s">
        <v>4991</v>
      </c>
    </row>
    <row r="8" spans="2:9" ht="14.5">
      <c r="B8" s="73" t="s">
        <v>77</v>
      </c>
      <c r="C8" s="73" t="s">
        <v>4992</v>
      </c>
      <c r="D8" s="73" t="s">
        <v>4993</v>
      </c>
      <c r="E8" s="73"/>
      <c r="H8" s="74" t="s">
        <v>4994</v>
      </c>
      <c r="I8" s="75" t="s">
        <v>4995</v>
      </c>
    </row>
    <row r="9" spans="2:9" ht="14.5">
      <c r="B9" s="73" t="s">
        <v>68</v>
      </c>
      <c r="C9" s="73" t="s">
        <v>4976</v>
      </c>
      <c r="D9" s="73" t="s">
        <v>4993</v>
      </c>
      <c r="E9" s="73"/>
      <c r="H9" s="74" t="s">
        <v>4996</v>
      </c>
      <c r="I9" s="75" t="s">
        <v>4997</v>
      </c>
    </row>
    <row r="10" spans="2:9" ht="14.5">
      <c r="B10" s="73" t="s">
        <v>4971</v>
      </c>
      <c r="C10" s="73" t="s">
        <v>4998</v>
      </c>
      <c r="D10" s="73" t="s">
        <v>4993</v>
      </c>
      <c r="E10" s="73"/>
      <c r="H10" s="74" t="s">
        <v>4999</v>
      </c>
      <c r="I10" s="75" t="s">
        <v>5000</v>
      </c>
    </row>
    <row r="11" spans="2:9" ht="14.5">
      <c r="B11" s="73" t="s">
        <v>4972</v>
      </c>
      <c r="C11" s="73" t="s">
        <v>5001</v>
      </c>
      <c r="D11" s="73" t="s">
        <v>4993</v>
      </c>
      <c r="E11" s="73"/>
      <c r="H11" s="74" t="s">
        <v>5002</v>
      </c>
      <c r="I11" s="75" t="s">
        <v>5003</v>
      </c>
    </row>
    <row r="12" spans="2:9" ht="14.5">
      <c r="B12" s="73" t="s">
        <v>4969</v>
      </c>
      <c r="C12" s="73" t="s">
        <v>4970</v>
      </c>
      <c r="D12" s="73" t="s">
        <v>4993</v>
      </c>
      <c r="E12" s="73"/>
      <c r="H12" s="74" t="s">
        <v>5004</v>
      </c>
      <c r="I12" s="75" t="s">
        <v>5005</v>
      </c>
    </row>
    <row r="13" spans="2:9" ht="14.5">
      <c r="H13" s="74" t="s">
        <v>5006</v>
      </c>
      <c r="I13" s="75" t="s">
        <v>5007</v>
      </c>
    </row>
    <row r="14" spans="2:9" ht="14.5">
      <c r="H14" s="74" t="s">
        <v>5008</v>
      </c>
      <c r="I14" s="75" t="s">
        <v>5009</v>
      </c>
    </row>
    <row r="15" spans="2:9" ht="14.5">
      <c r="H15" s="74" t="s">
        <v>5010</v>
      </c>
      <c r="I15" s="75" t="s">
        <v>5011</v>
      </c>
    </row>
    <row r="16" spans="2:9" ht="14.5">
      <c r="H16" s="74" t="s">
        <v>5012</v>
      </c>
      <c r="I16" s="75" t="s">
        <v>5013</v>
      </c>
    </row>
    <row r="17" spans="8:9" ht="14.5">
      <c r="H17" s="74" t="s">
        <v>5014</v>
      </c>
      <c r="I17" s="75" t="s">
        <v>5015</v>
      </c>
    </row>
    <row r="18" spans="8:9" ht="14.5">
      <c r="H18" s="74" t="s">
        <v>5016</v>
      </c>
      <c r="I18" s="75" t="s">
        <v>5017</v>
      </c>
    </row>
    <row r="19" spans="8:9" ht="14.5">
      <c r="H19" s="74" t="s">
        <v>5018</v>
      </c>
      <c r="I19" s="75" t="s">
        <v>5019</v>
      </c>
    </row>
    <row r="20" spans="8:9" ht="14.5">
      <c r="H20" s="74" t="s">
        <v>5020</v>
      </c>
      <c r="I20" s="75" t="s">
        <v>5021</v>
      </c>
    </row>
    <row r="21" spans="8:9" ht="14.5">
      <c r="H21" s="74" t="s">
        <v>5022</v>
      </c>
      <c r="I21" s="75" t="s">
        <v>5023</v>
      </c>
    </row>
    <row r="22" spans="8:9" ht="14.5">
      <c r="H22" s="74" t="s">
        <v>5024</v>
      </c>
      <c r="I22" s="75" t="s">
        <v>5025</v>
      </c>
    </row>
    <row r="23" spans="8:9" ht="14.5">
      <c r="H23" s="74" t="s">
        <v>5026</v>
      </c>
      <c r="I23" s="75" t="s">
        <v>5027</v>
      </c>
    </row>
    <row r="24" spans="8:9" ht="14.5">
      <c r="H24" s="74" t="s">
        <v>5028</v>
      </c>
      <c r="I24" s="75" t="s">
        <v>5029</v>
      </c>
    </row>
    <row r="25" spans="8:9" ht="14.5">
      <c r="H25" s="74" t="s">
        <v>5030</v>
      </c>
      <c r="I25" s="75" t="s">
        <v>5031</v>
      </c>
    </row>
    <row r="26" spans="8:9" ht="14.5">
      <c r="H26" s="74" t="s">
        <v>5032</v>
      </c>
      <c r="I26" s="75" t="s">
        <v>5033</v>
      </c>
    </row>
    <row r="27" spans="8:9" ht="14.5">
      <c r="H27" s="74" t="s">
        <v>5034</v>
      </c>
      <c r="I27" s="75" t="s">
        <v>5035</v>
      </c>
    </row>
    <row r="28" spans="8:9" ht="14.5">
      <c r="H28" s="74" t="s">
        <v>5036</v>
      </c>
      <c r="I28" s="75" t="s">
        <v>5037</v>
      </c>
    </row>
    <row r="29" spans="8:9" ht="14.5">
      <c r="H29" s="74" t="s">
        <v>5038</v>
      </c>
      <c r="I29" s="75" t="s">
        <v>5039</v>
      </c>
    </row>
    <row r="30" spans="8:9" ht="14.5">
      <c r="H30" s="74" t="s">
        <v>5040</v>
      </c>
      <c r="I30" s="75" t="s">
        <v>5041</v>
      </c>
    </row>
    <row r="31" spans="8:9" ht="14.5">
      <c r="H31" s="74" t="s">
        <v>5042</v>
      </c>
      <c r="I31" s="75" t="s">
        <v>5043</v>
      </c>
    </row>
    <row r="32" spans="8:9" ht="14.5">
      <c r="H32" s="74" t="s">
        <v>5044</v>
      </c>
      <c r="I32" s="75" t="s">
        <v>5165</v>
      </c>
    </row>
    <row r="33" spans="8:9" ht="14.5">
      <c r="H33" s="74" t="s">
        <v>5045</v>
      </c>
      <c r="I33" s="75" t="s">
        <v>5046</v>
      </c>
    </row>
    <row r="34" spans="8:9" ht="14.5">
      <c r="H34" s="74" t="s">
        <v>5047</v>
      </c>
      <c r="I34" s="75" t="s">
        <v>5048</v>
      </c>
    </row>
    <row r="35" spans="8:9" ht="14.5">
      <c r="H35" s="74" t="s">
        <v>5049</v>
      </c>
      <c r="I35" s="75" t="s">
        <v>5050</v>
      </c>
    </row>
    <row r="36" spans="8:9" ht="14.5">
      <c r="H36" s="74" t="s">
        <v>5051</v>
      </c>
      <c r="I36" s="75" t="s">
        <v>5052</v>
      </c>
    </row>
    <row r="37" spans="8:9" ht="14.5">
      <c r="H37" s="74" t="s">
        <v>5053</v>
      </c>
      <c r="I37" s="75" t="s">
        <v>5054</v>
      </c>
    </row>
    <row r="38" spans="8:9" ht="14.5">
      <c r="H38" s="74" t="s">
        <v>5055</v>
      </c>
      <c r="I38" s="75" t="s">
        <v>5056</v>
      </c>
    </row>
    <row r="39" spans="8:9" ht="14.5">
      <c r="H39" s="74" t="s">
        <v>5057</v>
      </c>
      <c r="I39" s="75" t="s">
        <v>5058</v>
      </c>
    </row>
    <row r="40" spans="8:9" ht="14.5">
      <c r="H40" s="74" t="s">
        <v>5059</v>
      </c>
      <c r="I40" s="75" t="s">
        <v>5060</v>
      </c>
    </row>
    <row r="41" spans="8:9" ht="14.5">
      <c r="H41" s="74" t="s">
        <v>5061</v>
      </c>
      <c r="I41" s="75" t="s">
        <v>5062</v>
      </c>
    </row>
    <row r="42" spans="8:9" ht="14.5">
      <c r="H42" s="74" t="s">
        <v>5063</v>
      </c>
      <c r="I42" s="75" t="s">
        <v>5064</v>
      </c>
    </row>
    <row r="43" spans="8:9" ht="14.5">
      <c r="H43" s="74" t="s">
        <v>5065</v>
      </c>
      <c r="I43" s="75" t="s">
        <v>5066</v>
      </c>
    </row>
    <row r="44" spans="8:9" ht="14.5">
      <c r="H44" s="74" t="s">
        <v>5067</v>
      </c>
      <c r="I44" s="75" t="s">
        <v>5068</v>
      </c>
    </row>
    <row r="45" spans="8:9" ht="14.5">
      <c r="H45" s="74" t="s">
        <v>5069</v>
      </c>
      <c r="I45" s="75" t="s">
        <v>5070</v>
      </c>
    </row>
    <row r="46" spans="8:9" ht="14.5">
      <c r="H46" s="74" t="s">
        <v>5071</v>
      </c>
      <c r="I46" s="75" t="s">
        <v>5072</v>
      </c>
    </row>
    <row r="47" spans="8:9" ht="14.5">
      <c r="H47" s="74" t="s">
        <v>72</v>
      </c>
      <c r="I47" s="75" t="s">
        <v>4974</v>
      </c>
    </row>
    <row r="48" spans="8:9" ht="14.5">
      <c r="H48" s="74" t="s">
        <v>74</v>
      </c>
      <c r="I48" s="75" t="s">
        <v>4975</v>
      </c>
    </row>
    <row r="49" spans="8:9" ht="14.5">
      <c r="H49" s="74" t="s">
        <v>5184</v>
      </c>
      <c r="I49" s="75" t="s">
        <v>5185</v>
      </c>
    </row>
    <row r="50" spans="8:9" ht="14.5">
      <c r="H50" s="74" t="s">
        <v>5073</v>
      </c>
      <c r="I50" s="75" t="s">
        <v>5074</v>
      </c>
    </row>
    <row r="51" spans="8:9" ht="14.5">
      <c r="H51" s="74" t="s">
        <v>5075</v>
      </c>
      <c r="I51" s="75" t="s">
        <v>5166</v>
      </c>
    </row>
    <row r="52" spans="8:9" ht="14.5">
      <c r="H52" s="74" t="s">
        <v>5076</v>
      </c>
      <c r="I52" s="75" t="s">
        <v>5077</v>
      </c>
    </row>
    <row r="53" spans="8:9" ht="14.5">
      <c r="H53" s="74" t="s">
        <v>5078</v>
      </c>
      <c r="I53" s="75" t="s">
        <v>5079</v>
      </c>
    </row>
    <row r="54" spans="8:9" ht="14.5">
      <c r="H54" s="74" t="s">
        <v>5080</v>
      </c>
      <c r="I54" s="75" t="s">
        <v>5081</v>
      </c>
    </row>
    <row r="55" spans="8:9" ht="14.5">
      <c r="H55" s="74" t="s">
        <v>5082</v>
      </c>
      <c r="I55" s="75" t="s">
        <v>5083</v>
      </c>
    </row>
    <row r="56" spans="8:9" ht="14.5">
      <c r="H56" s="74" t="s">
        <v>5084</v>
      </c>
      <c r="I56" s="75" t="s">
        <v>5085</v>
      </c>
    </row>
    <row r="57" spans="8:9" ht="14.5">
      <c r="H57" s="74" t="s">
        <v>5086</v>
      </c>
      <c r="I57" s="75" t="s">
        <v>5087</v>
      </c>
    </row>
    <row r="58" spans="8:9" ht="14.5">
      <c r="H58" s="74" t="s">
        <v>5088</v>
      </c>
      <c r="I58" s="75" t="s">
        <v>5089</v>
      </c>
    </row>
    <row r="59" spans="8:9" ht="14.5">
      <c r="H59" s="74" t="s">
        <v>5090</v>
      </c>
      <c r="I59" s="75" t="s">
        <v>5091</v>
      </c>
    </row>
    <row r="60" spans="8:9" ht="14.5">
      <c r="H60" s="74" t="s">
        <v>5092</v>
      </c>
      <c r="I60" s="75" t="s">
        <v>5093</v>
      </c>
    </row>
    <row r="61" spans="8:9" ht="14.5">
      <c r="H61" s="74" t="s">
        <v>5094</v>
      </c>
      <c r="I61" s="75" t="s">
        <v>5095</v>
      </c>
    </row>
    <row r="62" spans="8:9" ht="14.5">
      <c r="H62" s="74" t="s">
        <v>5096</v>
      </c>
      <c r="I62" s="75" t="s">
        <v>5097</v>
      </c>
    </row>
    <row r="63" spans="8:9" ht="14.5">
      <c r="H63" s="74" t="s">
        <v>5098</v>
      </c>
      <c r="I63" s="75" t="s">
        <v>5099</v>
      </c>
    </row>
    <row r="64" spans="8:9" ht="14.5">
      <c r="H64" s="74" t="s">
        <v>5100</v>
      </c>
      <c r="I64" s="75" t="s">
        <v>5101</v>
      </c>
    </row>
    <row r="65" spans="8:9" ht="14.5">
      <c r="H65" s="74" t="s">
        <v>5102</v>
      </c>
      <c r="I65" s="75" t="s">
        <v>5103</v>
      </c>
    </row>
    <row r="66" spans="8:9" ht="14.5">
      <c r="H66" s="74" t="s">
        <v>5104</v>
      </c>
      <c r="I66" s="75" t="s">
        <v>5105</v>
      </c>
    </row>
    <row r="67" spans="8:9" ht="14.5">
      <c r="H67" s="74" t="s">
        <v>5106</v>
      </c>
      <c r="I67" s="75" t="s">
        <v>5107</v>
      </c>
    </row>
    <row r="68" spans="8:9" ht="14.5">
      <c r="H68" s="74" t="s">
        <v>5108</v>
      </c>
      <c r="I68" s="75" t="s">
        <v>5109</v>
      </c>
    </row>
    <row r="69" spans="8:9" ht="14.5">
      <c r="H69" s="74" t="s">
        <v>5110</v>
      </c>
      <c r="I69" s="75" t="s">
        <v>5111</v>
      </c>
    </row>
    <row r="70" spans="8:9" ht="14.5">
      <c r="H70" s="74" t="s">
        <v>5112</v>
      </c>
      <c r="I70" s="75" t="s">
        <v>5113</v>
      </c>
    </row>
    <row r="71" spans="8:9" ht="14.5">
      <c r="H71" s="74" t="s">
        <v>5114</v>
      </c>
      <c r="I71" s="75" t="s">
        <v>5115</v>
      </c>
    </row>
    <row r="72" spans="8:9" ht="14.5">
      <c r="H72" s="74" t="s">
        <v>5116</v>
      </c>
      <c r="I72" s="75" t="s">
        <v>5117</v>
      </c>
    </row>
    <row r="73" spans="8:9" ht="14.5">
      <c r="H73" s="74" t="s">
        <v>5118</v>
      </c>
      <c r="I73" s="75" t="s">
        <v>5119</v>
      </c>
    </row>
    <row r="74" spans="8:9" ht="14.5">
      <c r="H74" s="74" t="s">
        <v>5120</v>
      </c>
      <c r="I74" s="75" t="s">
        <v>5121</v>
      </c>
    </row>
    <row r="75" spans="8:9" ht="14.5">
      <c r="H75" s="74" t="s">
        <v>5122</v>
      </c>
      <c r="I75" s="75" t="s">
        <v>5123</v>
      </c>
    </row>
    <row r="76" spans="8:9" ht="14.5">
      <c r="H76" s="74" t="s">
        <v>5124</v>
      </c>
      <c r="I76" s="75" t="s">
        <v>5167</v>
      </c>
    </row>
    <row r="77" spans="8:9" ht="14.5">
      <c r="H77" s="74" t="s">
        <v>5125</v>
      </c>
      <c r="I77" s="75" t="s">
        <v>5126</v>
      </c>
    </row>
    <row r="78" spans="8:9" ht="14.5">
      <c r="H78" s="74" t="s">
        <v>5127</v>
      </c>
      <c r="I78" s="75" t="s">
        <v>5128</v>
      </c>
    </row>
    <row r="79" spans="8:9" ht="14.5">
      <c r="H79" s="74" t="s">
        <v>5129</v>
      </c>
      <c r="I79" s="75" t="s">
        <v>5130</v>
      </c>
    </row>
    <row r="80" spans="8:9" ht="14.5">
      <c r="H80" s="74" t="s">
        <v>5131</v>
      </c>
      <c r="I80" s="75" t="s">
        <v>5132</v>
      </c>
    </row>
    <row r="81" spans="8:9" ht="14.5">
      <c r="H81" s="74" t="s">
        <v>5133</v>
      </c>
      <c r="I81" s="75" t="s">
        <v>5134</v>
      </c>
    </row>
    <row r="82" spans="8:9" ht="14.5">
      <c r="H82" s="74" t="s">
        <v>5135</v>
      </c>
      <c r="I82" s="75" t="s">
        <v>5136</v>
      </c>
    </row>
    <row r="83" spans="8:9" ht="14.5">
      <c r="H83" s="74" t="s">
        <v>5137</v>
      </c>
      <c r="I83" s="75" t="s">
        <v>5138</v>
      </c>
    </row>
    <row r="84" spans="8:9" ht="14.5">
      <c r="H84" s="74" t="s">
        <v>5139</v>
      </c>
      <c r="I84" s="75" t="s">
        <v>5168</v>
      </c>
    </row>
    <row r="85" spans="8:9" ht="14.5">
      <c r="H85" s="74" t="s">
        <v>5140</v>
      </c>
      <c r="I85" s="75" t="s">
        <v>5141</v>
      </c>
    </row>
    <row r="86" spans="8:9" ht="14.5">
      <c r="H86" s="74" t="s">
        <v>5142</v>
      </c>
      <c r="I86" s="75" t="s">
        <v>5143</v>
      </c>
    </row>
    <row r="87" spans="8:9" ht="14.5">
      <c r="H87" s="74" t="s">
        <v>5144</v>
      </c>
      <c r="I87" s="75" t="s">
        <v>5145</v>
      </c>
    </row>
    <row r="88" spans="8:9" ht="14.5">
      <c r="H88" s="74" t="s">
        <v>5146</v>
      </c>
      <c r="I88" s="75" t="s">
        <v>5147</v>
      </c>
    </row>
    <row r="89" spans="8:9" ht="14.5">
      <c r="H89" s="74" t="s">
        <v>5148</v>
      </c>
      <c r="I89" s="75" t="s">
        <v>5149</v>
      </c>
    </row>
    <row r="90" spans="8:9" ht="14.5">
      <c r="H90" s="74" t="s">
        <v>5150</v>
      </c>
      <c r="I90" s="75" t="s">
        <v>5151</v>
      </c>
    </row>
    <row r="91" spans="8:9" ht="14.5">
      <c r="H91" s="74" t="s">
        <v>5152</v>
      </c>
      <c r="I91" s="75" t="s">
        <v>5153</v>
      </c>
    </row>
    <row r="92" spans="8:9" ht="14.5">
      <c r="H92" s="74" t="s">
        <v>5154</v>
      </c>
      <c r="I92" s="75" t="s">
        <v>5155</v>
      </c>
    </row>
    <row r="93" spans="8:9" ht="14.5">
      <c r="H93" s="74" t="s">
        <v>5156</v>
      </c>
      <c r="I93" s="75" t="s">
        <v>5157</v>
      </c>
    </row>
    <row r="94" spans="8:9" ht="14.5">
      <c r="H94" s="74" t="s">
        <v>5158</v>
      </c>
      <c r="I94" s="75" t="s">
        <v>5159</v>
      </c>
    </row>
    <row r="95" spans="8:9" ht="14.5">
      <c r="H95" s="74" t="s">
        <v>5160</v>
      </c>
      <c r="I95" s="75" t="s">
        <v>5161</v>
      </c>
    </row>
    <row r="96" spans="8:9" ht="14.5">
      <c r="H96" s="74" t="s">
        <v>71</v>
      </c>
      <c r="I96" s="75" t="s">
        <v>4974</v>
      </c>
    </row>
    <row r="97" spans="8:9" ht="14.5">
      <c r="H97" s="74" t="s">
        <v>76</v>
      </c>
      <c r="I97" s="75" t="s">
        <v>5186</v>
      </c>
    </row>
    <row r="98" spans="8:9" ht="14.5">
      <c r="H98" s="74" t="s">
        <v>73</v>
      </c>
      <c r="I98" s="75" t="s">
        <v>4975</v>
      </c>
    </row>
    <row r="99" spans="8:9" ht="14.5">
      <c r="H99" s="74" t="s">
        <v>5183</v>
      </c>
      <c r="I99" s="75" t="s">
        <v>5185</v>
      </c>
    </row>
    <row r="100" spans="8:9" ht="14.5">
      <c r="H100" s="74" t="s">
        <v>4967</v>
      </c>
      <c r="I100" s="75" t="s">
        <v>4968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B2D-E0F7-4DA0-BBD5-ECEC94A90F5C}">
  <sheetPr codeName="Sheet7"/>
  <dimension ref="B1:U1804"/>
  <sheetViews>
    <sheetView workbookViewId="0"/>
  </sheetViews>
  <sheetFormatPr defaultRowHeight="14" outlineLevelRow="3"/>
  <cols>
    <col min="1" max="1" width="1.7265625" style="12" customWidth="1"/>
    <col min="2" max="2" width="19.81640625" style="12" bestFit="1" customWidth="1"/>
    <col min="3" max="3" width="95.36328125" style="12" customWidth="1"/>
    <col min="4" max="16384" width="8.7265625" style="12"/>
  </cols>
  <sheetData>
    <row r="1" spans="2:21" ht="10" customHeight="1" thickBot="1"/>
    <row r="2" spans="2:21" ht="44" thickBot="1">
      <c r="B2" s="13" t="s">
        <v>80</v>
      </c>
      <c r="C2" s="13" t="s">
        <v>81</v>
      </c>
      <c r="D2" s="14" t="s">
        <v>82</v>
      </c>
      <c r="E2" s="15" t="s">
        <v>83</v>
      </c>
      <c r="F2" s="15" t="s">
        <v>84</v>
      </c>
      <c r="G2" s="16" t="s">
        <v>85</v>
      </c>
      <c r="H2" s="17" t="s">
        <v>86</v>
      </c>
      <c r="I2" s="17" t="s">
        <v>87</v>
      </c>
      <c r="J2" s="14" t="s">
        <v>88</v>
      </c>
      <c r="K2" s="18" t="s">
        <v>89</v>
      </c>
      <c r="L2" s="18" t="s">
        <v>90</v>
      </c>
      <c r="M2" s="14" t="s">
        <v>91</v>
      </c>
      <c r="N2" s="19" t="s">
        <v>92</v>
      </c>
      <c r="O2" s="19" t="s">
        <v>93</v>
      </c>
      <c r="P2" s="19" t="s">
        <v>94</v>
      </c>
      <c r="Q2" s="14" t="s">
        <v>95</v>
      </c>
      <c r="R2" s="14" t="s">
        <v>96</v>
      </c>
      <c r="S2" s="14" t="s">
        <v>97</v>
      </c>
      <c r="T2" s="14" t="s">
        <v>98</v>
      </c>
      <c r="U2" s="14" t="s">
        <v>99</v>
      </c>
    </row>
    <row r="3" spans="2:21" ht="14.5">
      <c r="B3" s="20" t="s">
        <v>100</v>
      </c>
      <c r="C3" s="21" t="s">
        <v>101</v>
      </c>
      <c r="D3" s="22" t="s">
        <v>102</v>
      </c>
      <c r="E3" s="23" t="s">
        <v>102</v>
      </c>
      <c r="F3" s="22" t="s">
        <v>102</v>
      </c>
      <c r="G3" s="23" t="s">
        <v>102</v>
      </c>
      <c r="H3" s="24">
        <v>0</v>
      </c>
      <c r="I3" s="24">
        <v>0</v>
      </c>
      <c r="J3" s="23" t="s">
        <v>102</v>
      </c>
      <c r="K3" s="25">
        <v>0</v>
      </c>
      <c r="L3" s="25" t="s">
        <v>102</v>
      </c>
      <c r="M3" s="22" t="s">
        <v>102</v>
      </c>
      <c r="N3" s="26">
        <v>0</v>
      </c>
      <c r="O3" s="26">
        <v>0</v>
      </c>
      <c r="P3" s="26">
        <v>0</v>
      </c>
      <c r="Q3" s="22" t="s">
        <v>100</v>
      </c>
      <c r="R3" s="22" t="s">
        <v>102</v>
      </c>
      <c r="S3" s="22" t="s">
        <v>102</v>
      </c>
      <c r="T3" s="22" t="s">
        <v>102</v>
      </c>
      <c r="U3" s="27">
        <v>1</v>
      </c>
    </row>
    <row r="4" spans="2:21" ht="14.5" outlineLevel="1">
      <c r="B4" s="28" t="s">
        <v>103</v>
      </c>
      <c r="C4" s="29" t="s">
        <v>104</v>
      </c>
      <c r="D4" s="30" t="s">
        <v>102</v>
      </c>
      <c r="E4" s="31" t="s">
        <v>102</v>
      </c>
      <c r="F4" s="30" t="s">
        <v>102</v>
      </c>
      <c r="G4" s="31" t="s">
        <v>102</v>
      </c>
      <c r="H4" s="32">
        <v>0</v>
      </c>
      <c r="I4" s="32">
        <v>0</v>
      </c>
      <c r="J4" s="31" t="s">
        <v>102</v>
      </c>
      <c r="K4" s="33">
        <v>0</v>
      </c>
      <c r="L4" s="33" t="s">
        <v>102</v>
      </c>
      <c r="M4" s="30" t="s">
        <v>102</v>
      </c>
      <c r="N4" s="34">
        <v>0</v>
      </c>
      <c r="O4" s="34">
        <v>0</v>
      </c>
      <c r="P4" s="34">
        <v>0</v>
      </c>
      <c r="Q4" s="30" t="s">
        <v>102</v>
      </c>
      <c r="R4" s="30" t="s">
        <v>105</v>
      </c>
      <c r="S4" s="30" t="s">
        <v>102</v>
      </c>
      <c r="T4" s="30" t="s">
        <v>102</v>
      </c>
      <c r="U4" s="35">
        <v>2</v>
      </c>
    </row>
    <row r="5" spans="2:21" ht="14.5" outlineLevel="2">
      <c r="B5" s="36" t="s">
        <v>106</v>
      </c>
      <c r="C5" s="37" t="s">
        <v>107</v>
      </c>
      <c r="D5" s="38" t="s">
        <v>102</v>
      </c>
      <c r="E5" s="39" t="s">
        <v>102</v>
      </c>
      <c r="F5" s="38" t="s">
        <v>102</v>
      </c>
      <c r="G5" s="39" t="s">
        <v>102</v>
      </c>
      <c r="H5" s="40">
        <v>0</v>
      </c>
      <c r="I5" s="40">
        <v>0</v>
      </c>
      <c r="J5" s="39" t="s">
        <v>102</v>
      </c>
      <c r="K5" s="41">
        <v>0</v>
      </c>
      <c r="L5" s="41" t="s">
        <v>102</v>
      </c>
      <c r="M5" s="38" t="s">
        <v>102</v>
      </c>
      <c r="N5" s="42">
        <v>0</v>
      </c>
      <c r="O5" s="42">
        <v>0</v>
      </c>
      <c r="P5" s="42">
        <v>0</v>
      </c>
      <c r="Q5" s="38" t="s">
        <v>102</v>
      </c>
      <c r="R5" s="38" t="s">
        <v>102</v>
      </c>
      <c r="S5" s="38" t="s">
        <v>108</v>
      </c>
      <c r="T5" s="38" t="s">
        <v>102</v>
      </c>
      <c r="U5" s="43">
        <v>3</v>
      </c>
    </row>
    <row r="6" spans="2:21" ht="14.5" outlineLevel="3">
      <c r="B6" s="44" t="s">
        <v>109</v>
      </c>
      <c r="C6" s="45" t="s">
        <v>110</v>
      </c>
      <c r="D6" s="46" t="s">
        <v>111</v>
      </c>
      <c r="E6" s="47" t="s">
        <v>112</v>
      </c>
      <c r="F6" s="46" t="s">
        <v>113</v>
      </c>
      <c r="G6" s="47" t="s">
        <v>114</v>
      </c>
      <c r="H6" s="48">
        <v>62.4</v>
      </c>
      <c r="I6" s="48">
        <v>33827371.369999997</v>
      </c>
      <c r="J6" s="47" t="s">
        <v>115</v>
      </c>
      <c r="K6" s="49">
        <v>2</v>
      </c>
      <c r="L6" s="49" t="s">
        <v>116</v>
      </c>
      <c r="M6" s="46" t="s">
        <v>117</v>
      </c>
      <c r="N6" s="50">
        <v>0</v>
      </c>
      <c r="O6" s="50">
        <v>0</v>
      </c>
      <c r="P6" s="50">
        <v>0</v>
      </c>
      <c r="Q6" s="46" t="s">
        <v>102</v>
      </c>
      <c r="R6" s="46" t="s">
        <v>102</v>
      </c>
      <c r="S6" s="46" t="s">
        <v>102</v>
      </c>
      <c r="T6" s="46" t="s">
        <v>118</v>
      </c>
      <c r="U6" s="51">
        <v>4</v>
      </c>
    </row>
    <row r="7" spans="2:21" ht="14.5" outlineLevel="3">
      <c r="B7" s="44" t="s">
        <v>119</v>
      </c>
      <c r="C7" s="45" t="s">
        <v>120</v>
      </c>
      <c r="D7" s="46" t="s">
        <v>111</v>
      </c>
      <c r="E7" s="47" t="s">
        <v>112</v>
      </c>
      <c r="F7" s="46" t="s">
        <v>121</v>
      </c>
      <c r="G7" s="47" t="s">
        <v>122</v>
      </c>
      <c r="H7" s="48">
        <v>117.26</v>
      </c>
      <c r="I7" s="48">
        <v>9854032.5</v>
      </c>
      <c r="J7" s="47" t="s">
        <v>115</v>
      </c>
      <c r="K7" s="49">
        <v>2</v>
      </c>
      <c r="L7" s="49" t="s">
        <v>116</v>
      </c>
      <c r="M7" s="46" t="s">
        <v>117</v>
      </c>
      <c r="N7" s="50">
        <v>0</v>
      </c>
      <c r="O7" s="50">
        <v>0</v>
      </c>
      <c r="P7" s="50">
        <v>0</v>
      </c>
      <c r="Q7" s="46" t="s">
        <v>102</v>
      </c>
      <c r="R7" s="46" t="s">
        <v>102</v>
      </c>
      <c r="S7" s="46" t="s">
        <v>102</v>
      </c>
      <c r="T7" s="46" t="s">
        <v>123</v>
      </c>
      <c r="U7" s="51">
        <v>4</v>
      </c>
    </row>
    <row r="8" spans="2:21" ht="14.5" outlineLevel="3">
      <c r="B8" s="44" t="s">
        <v>124</v>
      </c>
      <c r="C8" s="45" t="s">
        <v>125</v>
      </c>
      <c r="D8" s="46" t="s">
        <v>111</v>
      </c>
      <c r="E8" s="47" t="s">
        <v>112</v>
      </c>
      <c r="F8" s="46" t="s">
        <v>126</v>
      </c>
      <c r="G8" s="47" t="s">
        <v>127</v>
      </c>
      <c r="H8" s="48">
        <v>106</v>
      </c>
      <c r="I8" s="48">
        <v>1028257.2</v>
      </c>
      <c r="J8" s="47" t="s">
        <v>115</v>
      </c>
      <c r="K8" s="49">
        <v>2</v>
      </c>
      <c r="L8" s="49" t="s">
        <v>116</v>
      </c>
      <c r="M8" s="46" t="s">
        <v>117</v>
      </c>
      <c r="N8" s="50">
        <v>0</v>
      </c>
      <c r="O8" s="50">
        <v>0</v>
      </c>
      <c r="P8" s="50">
        <v>0</v>
      </c>
      <c r="Q8" s="46" t="s">
        <v>102</v>
      </c>
      <c r="R8" s="46" t="s">
        <v>102</v>
      </c>
      <c r="S8" s="46" t="s">
        <v>102</v>
      </c>
      <c r="T8" s="46" t="s">
        <v>128</v>
      </c>
      <c r="U8" s="51">
        <v>4</v>
      </c>
    </row>
    <row r="9" spans="2:21" ht="14.5" outlineLevel="3">
      <c r="B9" s="44" t="s">
        <v>129</v>
      </c>
      <c r="C9" s="45" t="s">
        <v>130</v>
      </c>
      <c r="D9" s="46" t="s">
        <v>111</v>
      </c>
      <c r="E9" s="47" t="s">
        <v>112</v>
      </c>
      <c r="F9" s="46" t="s">
        <v>131</v>
      </c>
      <c r="G9" s="47" t="s">
        <v>132</v>
      </c>
      <c r="H9" s="48">
        <v>220</v>
      </c>
      <c r="I9" s="48">
        <v>1627815.6</v>
      </c>
      <c r="J9" s="47" t="s">
        <v>115</v>
      </c>
      <c r="K9" s="49">
        <v>2</v>
      </c>
      <c r="L9" s="49" t="s">
        <v>116</v>
      </c>
      <c r="M9" s="46" t="s">
        <v>117</v>
      </c>
      <c r="N9" s="50">
        <v>0</v>
      </c>
      <c r="O9" s="50">
        <v>0</v>
      </c>
      <c r="P9" s="50">
        <v>0</v>
      </c>
      <c r="Q9" s="46" t="s">
        <v>102</v>
      </c>
      <c r="R9" s="46" t="s">
        <v>102</v>
      </c>
      <c r="S9" s="46" t="s">
        <v>102</v>
      </c>
      <c r="T9" s="46" t="s">
        <v>133</v>
      </c>
      <c r="U9" s="51">
        <v>4</v>
      </c>
    </row>
    <row r="10" spans="2:21" ht="14.5" outlineLevel="3">
      <c r="B10" s="44" t="s">
        <v>134</v>
      </c>
      <c r="C10" s="45" t="s">
        <v>135</v>
      </c>
      <c r="D10" s="46" t="s">
        <v>111</v>
      </c>
      <c r="E10" s="47" t="s">
        <v>112</v>
      </c>
      <c r="F10" s="46" t="s">
        <v>136</v>
      </c>
      <c r="G10" s="47" t="s">
        <v>137</v>
      </c>
      <c r="H10" s="48">
        <v>150</v>
      </c>
      <c r="I10" s="48">
        <v>1710000</v>
      </c>
      <c r="J10" s="47" t="s">
        <v>115</v>
      </c>
      <c r="K10" s="49">
        <v>2</v>
      </c>
      <c r="L10" s="49" t="s">
        <v>116</v>
      </c>
      <c r="M10" s="46" t="s">
        <v>117</v>
      </c>
      <c r="N10" s="50">
        <v>0</v>
      </c>
      <c r="O10" s="50">
        <v>0</v>
      </c>
      <c r="P10" s="50">
        <v>0</v>
      </c>
      <c r="Q10" s="46" t="s">
        <v>102</v>
      </c>
      <c r="R10" s="46" t="s">
        <v>102</v>
      </c>
      <c r="S10" s="46" t="s">
        <v>102</v>
      </c>
      <c r="T10" s="46" t="s">
        <v>138</v>
      </c>
      <c r="U10" s="51">
        <v>4</v>
      </c>
    </row>
    <row r="11" spans="2:21" ht="14.5" outlineLevel="3">
      <c r="B11" s="44" t="s">
        <v>139</v>
      </c>
      <c r="C11" s="45" t="s">
        <v>140</v>
      </c>
      <c r="D11" s="46" t="s">
        <v>111</v>
      </c>
      <c r="E11" s="47" t="s">
        <v>112</v>
      </c>
      <c r="F11" s="46" t="s">
        <v>141</v>
      </c>
      <c r="G11" s="47" t="s">
        <v>142</v>
      </c>
      <c r="H11" s="48">
        <v>190</v>
      </c>
      <c r="I11" s="48">
        <v>180000</v>
      </c>
      <c r="J11" s="47" t="s">
        <v>115</v>
      </c>
      <c r="K11" s="49">
        <v>2</v>
      </c>
      <c r="L11" s="49" t="s">
        <v>116</v>
      </c>
      <c r="M11" s="46" t="s">
        <v>117</v>
      </c>
      <c r="N11" s="50">
        <v>0</v>
      </c>
      <c r="O11" s="50">
        <v>0</v>
      </c>
      <c r="P11" s="50">
        <v>0</v>
      </c>
      <c r="Q11" s="46" t="s">
        <v>102</v>
      </c>
      <c r="R11" s="46" t="s">
        <v>102</v>
      </c>
      <c r="S11" s="46" t="s">
        <v>102</v>
      </c>
      <c r="T11" s="46" t="s">
        <v>143</v>
      </c>
      <c r="U11" s="51">
        <v>4</v>
      </c>
    </row>
    <row r="12" spans="2:21" ht="14.5" outlineLevel="2">
      <c r="B12" s="36" t="s">
        <v>144</v>
      </c>
      <c r="C12" s="37" t="s">
        <v>145</v>
      </c>
      <c r="D12" s="38" t="s">
        <v>102</v>
      </c>
      <c r="E12" s="39" t="s">
        <v>102</v>
      </c>
      <c r="F12" s="38" t="s">
        <v>102</v>
      </c>
      <c r="G12" s="39" t="s">
        <v>102</v>
      </c>
      <c r="H12" s="40">
        <v>0</v>
      </c>
      <c r="I12" s="40">
        <v>0</v>
      </c>
      <c r="J12" s="39" t="s">
        <v>102</v>
      </c>
      <c r="K12" s="41">
        <v>0</v>
      </c>
      <c r="L12" s="41" t="s">
        <v>102</v>
      </c>
      <c r="M12" s="38" t="s">
        <v>102</v>
      </c>
      <c r="N12" s="42">
        <v>0</v>
      </c>
      <c r="O12" s="42">
        <v>0</v>
      </c>
      <c r="P12" s="42">
        <v>0</v>
      </c>
      <c r="Q12" s="38" t="s">
        <v>102</v>
      </c>
      <c r="R12" s="38" t="s">
        <v>102</v>
      </c>
      <c r="S12" s="38" t="s">
        <v>146</v>
      </c>
      <c r="T12" s="38" t="s">
        <v>102</v>
      </c>
      <c r="U12" s="43">
        <v>3</v>
      </c>
    </row>
    <row r="13" spans="2:21" ht="14.5" outlineLevel="3">
      <c r="B13" s="44" t="s">
        <v>147</v>
      </c>
      <c r="C13" s="45" t="s">
        <v>148</v>
      </c>
      <c r="D13" s="46" t="s">
        <v>111</v>
      </c>
      <c r="E13" s="47" t="s">
        <v>112</v>
      </c>
      <c r="F13" s="46" t="s">
        <v>149</v>
      </c>
      <c r="G13" s="47" t="s">
        <v>150</v>
      </c>
      <c r="H13" s="48">
        <v>92</v>
      </c>
      <c r="I13" s="48">
        <v>397500.5</v>
      </c>
      <c r="J13" s="47" t="s">
        <v>115</v>
      </c>
      <c r="K13" s="49">
        <v>2</v>
      </c>
      <c r="L13" s="49" t="s">
        <v>116</v>
      </c>
      <c r="M13" s="46" t="s">
        <v>117</v>
      </c>
      <c r="N13" s="50">
        <v>0</v>
      </c>
      <c r="O13" s="50">
        <v>0</v>
      </c>
      <c r="P13" s="50">
        <v>0</v>
      </c>
      <c r="Q13" s="46" t="s">
        <v>102</v>
      </c>
      <c r="R13" s="46" t="s">
        <v>102</v>
      </c>
      <c r="S13" s="46" t="s">
        <v>102</v>
      </c>
      <c r="T13" s="46" t="s">
        <v>118</v>
      </c>
      <c r="U13" s="51">
        <v>4</v>
      </c>
    </row>
    <row r="14" spans="2:21" ht="14.5" outlineLevel="3">
      <c r="B14" s="44" t="s">
        <v>151</v>
      </c>
      <c r="C14" s="45" t="s">
        <v>152</v>
      </c>
      <c r="D14" s="46" t="s">
        <v>111</v>
      </c>
      <c r="E14" s="47" t="s">
        <v>112</v>
      </c>
      <c r="F14" s="46" t="s">
        <v>153</v>
      </c>
      <c r="G14" s="47" t="s">
        <v>154</v>
      </c>
      <c r="H14" s="48">
        <v>426</v>
      </c>
      <c r="I14" s="48">
        <v>58878.9</v>
      </c>
      <c r="J14" s="47" t="s">
        <v>115</v>
      </c>
      <c r="K14" s="49">
        <v>2</v>
      </c>
      <c r="L14" s="49" t="s">
        <v>116</v>
      </c>
      <c r="M14" s="46" t="s">
        <v>117</v>
      </c>
      <c r="N14" s="50">
        <v>0</v>
      </c>
      <c r="O14" s="50">
        <v>0</v>
      </c>
      <c r="P14" s="50">
        <v>0</v>
      </c>
      <c r="Q14" s="46" t="s">
        <v>102</v>
      </c>
      <c r="R14" s="46" t="s">
        <v>102</v>
      </c>
      <c r="S14" s="46" t="s">
        <v>102</v>
      </c>
      <c r="T14" s="46" t="s">
        <v>123</v>
      </c>
      <c r="U14" s="51">
        <v>4</v>
      </c>
    </row>
    <row r="15" spans="2:21" ht="14.5" outlineLevel="3">
      <c r="B15" s="44" t="s">
        <v>155</v>
      </c>
      <c r="C15" s="45" t="s">
        <v>156</v>
      </c>
      <c r="D15" s="46" t="s">
        <v>111</v>
      </c>
      <c r="E15" s="47" t="s">
        <v>112</v>
      </c>
      <c r="F15" s="46" t="s">
        <v>157</v>
      </c>
      <c r="G15" s="47" t="s">
        <v>158</v>
      </c>
      <c r="H15" s="48">
        <v>438</v>
      </c>
      <c r="I15" s="48">
        <v>244625.4</v>
      </c>
      <c r="J15" s="47" t="s">
        <v>115</v>
      </c>
      <c r="K15" s="49">
        <v>2</v>
      </c>
      <c r="L15" s="49" t="s">
        <v>116</v>
      </c>
      <c r="M15" s="46" t="s">
        <v>117</v>
      </c>
      <c r="N15" s="50">
        <v>0</v>
      </c>
      <c r="O15" s="50">
        <v>0</v>
      </c>
      <c r="P15" s="50">
        <v>0</v>
      </c>
      <c r="Q15" s="46" t="s">
        <v>102</v>
      </c>
      <c r="R15" s="46" t="s">
        <v>102</v>
      </c>
      <c r="S15" s="46" t="s">
        <v>102</v>
      </c>
      <c r="T15" s="46" t="s">
        <v>128</v>
      </c>
      <c r="U15" s="51">
        <v>4</v>
      </c>
    </row>
    <row r="16" spans="2:21" ht="14.5" outlineLevel="3">
      <c r="B16" s="44" t="s">
        <v>159</v>
      </c>
      <c r="C16" s="45" t="s">
        <v>160</v>
      </c>
      <c r="D16" s="46" t="s">
        <v>111</v>
      </c>
      <c r="E16" s="47" t="s">
        <v>112</v>
      </c>
      <c r="F16" s="46" t="s">
        <v>161</v>
      </c>
      <c r="G16" s="47" t="s">
        <v>162</v>
      </c>
      <c r="H16" s="48">
        <v>624</v>
      </c>
      <c r="I16" s="48">
        <v>390928.5</v>
      </c>
      <c r="J16" s="47" t="s">
        <v>115</v>
      </c>
      <c r="K16" s="49">
        <v>2</v>
      </c>
      <c r="L16" s="49" t="s">
        <v>116</v>
      </c>
      <c r="M16" s="46" t="s">
        <v>117</v>
      </c>
      <c r="N16" s="50">
        <v>0</v>
      </c>
      <c r="O16" s="50">
        <v>0</v>
      </c>
      <c r="P16" s="50">
        <v>0</v>
      </c>
      <c r="Q16" s="46" t="s">
        <v>102</v>
      </c>
      <c r="R16" s="46" t="s">
        <v>102</v>
      </c>
      <c r="S16" s="46" t="s">
        <v>102</v>
      </c>
      <c r="T16" s="46" t="s">
        <v>133</v>
      </c>
      <c r="U16" s="51">
        <v>4</v>
      </c>
    </row>
    <row r="17" spans="2:21" ht="14.5" outlineLevel="3">
      <c r="B17" s="44" t="s">
        <v>163</v>
      </c>
      <c r="C17" s="45" t="s">
        <v>164</v>
      </c>
      <c r="D17" s="46" t="s">
        <v>165</v>
      </c>
      <c r="E17" s="47" t="s">
        <v>112</v>
      </c>
      <c r="F17" s="46" t="s">
        <v>166</v>
      </c>
      <c r="G17" s="47" t="s">
        <v>167</v>
      </c>
      <c r="H17" s="48">
        <v>13000</v>
      </c>
      <c r="I17" s="48">
        <v>83862</v>
      </c>
      <c r="J17" s="47" t="s">
        <v>115</v>
      </c>
      <c r="K17" s="49">
        <v>2</v>
      </c>
      <c r="L17" s="49" t="s">
        <v>116</v>
      </c>
      <c r="M17" s="46" t="s">
        <v>117</v>
      </c>
      <c r="N17" s="50">
        <v>0</v>
      </c>
      <c r="O17" s="50">
        <v>0</v>
      </c>
      <c r="P17" s="50">
        <v>0</v>
      </c>
      <c r="Q17" s="46" t="s">
        <v>102</v>
      </c>
      <c r="R17" s="46" t="s">
        <v>102</v>
      </c>
      <c r="S17" s="46" t="s">
        <v>102</v>
      </c>
      <c r="T17" s="46" t="s">
        <v>138</v>
      </c>
      <c r="U17" s="51">
        <v>4</v>
      </c>
    </row>
    <row r="18" spans="2:21" ht="14.5" outlineLevel="3">
      <c r="B18" s="44" t="s">
        <v>168</v>
      </c>
      <c r="C18" s="45" t="s">
        <v>169</v>
      </c>
      <c r="D18" s="46" t="s">
        <v>111</v>
      </c>
      <c r="E18" s="47" t="s">
        <v>112</v>
      </c>
      <c r="F18" s="46" t="s">
        <v>170</v>
      </c>
      <c r="G18" s="47" t="s">
        <v>171</v>
      </c>
      <c r="H18" s="48">
        <v>729</v>
      </c>
      <c r="I18" s="48">
        <v>27099</v>
      </c>
      <c r="J18" s="47" t="s">
        <v>115</v>
      </c>
      <c r="K18" s="49">
        <v>2</v>
      </c>
      <c r="L18" s="49" t="s">
        <v>116</v>
      </c>
      <c r="M18" s="46" t="s">
        <v>117</v>
      </c>
      <c r="N18" s="50">
        <v>0</v>
      </c>
      <c r="O18" s="50">
        <v>0</v>
      </c>
      <c r="P18" s="50">
        <v>0</v>
      </c>
      <c r="Q18" s="46" t="s">
        <v>102</v>
      </c>
      <c r="R18" s="46" t="s">
        <v>102</v>
      </c>
      <c r="S18" s="46" t="s">
        <v>102</v>
      </c>
      <c r="T18" s="46" t="s">
        <v>143</v>
      </c>
      <c r="U18" s="51">
        <v>4</v>
      </c>
    </row>
    <row r="19" spans="2:21" ht="14.5" outlineLevel="3">
      <c r="B19" s="44" t="s">
        <v>172</v>
      </c>
      <c r="C19" s="45" t="s">
        <v>173</v>
      </c>
      <c r="D19" s="46" t="s">
        <v>111</v>
      </c>
      <c r="E19" s="47" t="s">
        <v>112</v>
      </c>
      <c r="F19" s="46" t="s">
        <v>174</v>
      </c>
      <c r="G19" s="47" t="s">
        <v>175</v>
      </c>
      <c r="H19" s="48">
        <v>150</v>
      </c>
      <c r="I19" s="48">
        <v>176456.7</v>
      </c>
      <c r="J19" s="47" t="s">
        <v>115</v>
      </c>
      <c r="K19" s="49">
        <v>2</v>
      </c>
      <c r="L19" s="49" t="s">
        <v>116</v>
      </c>
      <c r="M19" s="46" t="s">
        <v>117</v>
      </c>
      <c r="N19" s="50">
        <v>0</v>
      </c>
      <c r="O19" s="50">
        <v>0</v>
      </c>
      <c r="P19" s="50">
        <v>0</v>
      </c>
      <c r="Q19" s="46" t="s">
        <v>102</v>
      </c>
      <c r="R19" s="46" t="s">
        <v>102</v>
      </c>
      <c r="S19" s="46" t="s">
        <v>102</v>
      </c>
      <c r="T19" s="46" t="s">
        <v>176</v>
      </c>
      <c r="U19" s="51">
        <v>4</v>
      </c>
    </row>
    <row r="20" spans="2:21" ht="14.5" outlineLevel="3">
      <c r="B20" s="44" t="s">
        <v>177</v>
      </c>
      <c r="C20" s="45" t="s">
        <v>178</v>
      </c>
      <c r="D20" s="46" t="s">
        <v>179</v>
      </c>
      <c r="E20" s="47" t="s">
        <v>112</v>
      </c>
      <c r="F20" s="46" t="s">
        <v>180</v>
      </c>
      <c r="G20" s="47" t="s">
        <v>181</v>
      </c>
      <c r="H20" s="48">
        <v>100</v>
      </c>
      <c r="I20" s="48">
        <v>135000</v>
      </c>
      <c r="J20" s="47" t="s">
        <v>115</v>
      </c>
      <c r="K20" s="49">
        <v>2</v>
      </c>
      <c r="L20" s="49" t="s">
        <v>116</v>
      </c>
      <c r="M20" s="46" t="s">
        <v>117</v>
      </c>
      <c r="N20" s="50">
        <v>0</v>
      </c>
      <c r="O20" s="50">
        <v>0</v>
      </c>
      <c r="P20" s="50">
        <v>0</v>
      </c>
      <c r="Q20" s="46" t="s">
        <v>102</v>
      </c>
      <c r="R20" s="46" t="s">
        <v>102</v>
      </c>
      <c r="S20" s="46" t="s">
        <v>102</v>
      </c>
      <c r="T20" s="46" t="s">
        <v>182</v>
      </c>
      <c r="U20" s="51">
        <v>4</v>
      </c>
    </row>
    <row r="21" spans="2:21" ht="14.5" outlineLevel="3">
      <c r="B21" s="44" t="s">
        <v>183</v>
      </c>
      <c r="C21" s="45" t="s">
        <v>184</v>
      </c>
      <c r="D21" s="46" t="s">
        <v>111</v>
      </c>
      <c r="E21" s="47" t="s">
        <v>112</v>
      </c>
      <c r="F21" s="46" t="s">
        <v>185</v>
      </c>
      <c r="G21" s="47" t="s">
        <v>186</v>
      </c>
      <c r="H21" s="48">
        <v>1158.1500000000001</v>
      </c>
      <c r="I21" s="48">
        <v>2700</v>
      </c>
      <c r="J21" s="47" t="s">
        <v>115</v>
      </c>
      <c r="K21" s="49">
        <v>2</v>
      </c>
      <c r="L21" s="49" t="s">
        <v>116</v>
      </c>
      <c r="M21" s="46" t="s">
        <v>117</v>
      </c>
      <c r="N21" s="50">
        <v>0</v>
      </c>
      <c r="O21" s="50">
        <v>0</v>
      </c>
      <c r="P21" s="50">
        <v>0</v>
      </c>
      <c r="Q21" s="46" t="s">
        <v>102</v>
      </c>
      <c r="R21" s="46" t="s">
        <v>102</v>
      </c>
      <c r="S21" s="46" t="s">
        <v>102</v>
      </c>
      <c r="T21" s="46" t="s">
        <v>187</v>
      </c>
      <c r="U21" s="51">
        <v>4</v>
      </c>
    </row>
    <row r="22" spans="2:21" ht="14.5" outlineLevel="3">
      <c r="B22" s="44" t="s">
        <v>188</v>
      </c>
      <c r="C22" s="45" t="s">
        <v>189</v>
      </c>
      <c r="D22" s="46" t="s">
        <v>179</v>
      </c>
      <c r="E22" s="47" t="s">
        <v>112</v>
      </c>
      <c r="F22" s="46" t="s">
        <v>190</v>
      </c>
      <c r="G22" s="47" t="s">
        <v>191</v>
      </c>
      <c r="H22" s="48">
        <v>437.65</v>
      </c>
      <c r="I22" s="48">
        <v>18000</v>
      </c>
      <c r="J22" s="47" t="s">
        <v>115</v>
      </c>
      <c r="K22" s="49">
        <v>2</v>
      </c>
      <c r="L22" s="49" t="s">
        <v>116</v>
      </c>
      <c r="M22" s="46" t="s">
        <v>117</v>
      </c>
      <c r="N22" s="50">
        <v>0</v>
      </c>
      <c r="O22" s="50">
        <v>0</v>
      </c>
      <c r="P22" s="50">
        <v>0</v>
      </c>
      <c r="Q22" s="46" t="s">
        <v>102</v>
      </c>
      <c r="R22" s="46" t="s">
        <v>102</v>
      </c>
      <c r="S22" s="46" t="s">
        <v>102</v>
      </c>
      <c r="T22" s="46" t="s">
        <v>192</v>
      </c>
      <c r="U22" s="51">
        <v>4</v>
      </c>
    </row>
    <row r="23" spans="2:21" ht="14.5" outlineLevel="3">
      <c r="B23" s="44" t="s">
        <v>193</v>
      </c>
      <c r="C23" s="45" t="s">
        <v>194</v>
      </c>
      <c r="D23" s="46" t="s">
        <v>195</v>
      </c>
      <c r="E23" s="47" t="s">
        <v>112</v>
      </c>
      <c r="F23" s="46" t="s">
        <v>196</v>
      </c>
      <c r="G23" s="47" t="s">
        <v>197</v>
      </c>
      <c r="H23" s="48">
        <v>26.41</v>
      </c>
      <c r="I23" s="48">
        <v>2299.5</v>
      </c>
      <c r="J23" s="47" t="s">
        <v>115</v>
      </c>
      <c r="K23" s="49">
        <v>2</v>
      </c>
      <c r="L23" s="49" t="s">
        <v>116</v>
      </c>
      <c r="M23" s="46" t="s">
        <v>117</v>
      </c>
      <c r="N23" s="50">
        <v>0</v>
      </c>
      <c r="O23" s="50">
        <v>0</v>
      </c>
      <c r="P23" s="50">
        <v>0</v>
      </c>
      <c r="Q23" s="46" t="s">
        <v>102</v>
      </c>
      <c r="R23" s="46" t="s">
        <v>102</v>
      </c>
      <c r="S23" s="46" t="s">
        <v>102</v>
      </c>
      <c r="T23" s="46" t="s">
        <v>198</v>
      </c>
      <c r="U23" s="51">
        <v>4</v>
      </c>
    </row>
    <row r="24" spans="2:21" ht="14.5" outlineLevel="3">
      <c r="B24" s="44" t="s">
        <v>199</v>
      </c>
      <c r="C24" s="45" t="s">
        <v>200</v>
      </c>
      <c r="D24" s="46" t="s">
        <v>111</v>
      </c>
      <c r="E24" s="47" t="s">
        <v>112</v>
      </c>
      <c r="F24" s="46" t="s">
        <v>201</v>
      </c>
      <c r="G24" s="47" t="s">
        <v>202</v>
      </c>
      <c r="H24" s="48">
        <v>1412.4</v>
      </c>
      <c r="I24" s="48">
        <v>83794.5</v>
      </c>
      <c r="J24" s="47" t="s">
        <v>115</v>
      </c>
      <c r="K24" s="49">
        <v>2</v>
      </c>
      <c r="L24" s="49" t="s">
        <v>116</v>
      </c>
      <c r="M24" s="46" t="s">
        <v>117</v>
      </c>
      <c r="N24" s="50">
        <v>0</v>
      </c>
      <c r="O24" s="50">
        <v>0</v>
      </c>
      <c r="P24" s="50">
        <v>0</v>
      </c>
      <c r="Q24" s="46" t="s">
        <v>102</v>
      </c>
      <c r="R24" s="46" t="s">
        <v>102</v>
      </c>
      <c r="S24" s="46" t="s">
        <v>102</v>
      </c>
      <c r="T24" s="46" t="s">
        <v>203</v>
      </c>
      <c r="U24" s="51">
        <v>4</v>
      </c>
    </row>
    <row r="25" spans="2:21" ht="14.5" outlineLevel="3">
      <c r="B25" s="44" t="s">
        <v>204</v>
      </c>
      <c r="C25" s="45" t="s">
        <v>205</v>
      </c>
      <c r="D25" s="46" t="s">
        <v>179</v>
      </c>
      <c r="E25" s="47" t="s">
        <v>112</v>
      </c>
      <c r="F25" s="46" t="s">
        <v>206</v>
      </c>
      <c r="G25" s="47" t="s">
        <v>207</v>
      </c>
      <c r="H25" s="48">
        <v>1258.33</v>
      </c>
      <c r="I25" s="48">
        <v>27000</v>
      </c>
      <c r="J25" s="47" t="s">
        <v>115</v>
      </c>
      <c r="K25" s="49">
        <v>2</v>
      </c>
      <c r="L25" s="49" t="s">
        <v>116</v>
      </c>
      <c r="M25" s="46" t="s">
        <v>117</v>
      </c>
      <c r="N25" s="50">
        <v>0</v>
      </c>
      <c r="O25" s="50">
        <v>0</v>
      </c>
      <c r="P25" s="50">
        <v>0</v>
      </c>
      <c r="Q25" s="46" t="s">
        <v>102</v>
      </c>
      <c r="R25" s="46" t="s">
        <v>102</v>
      </c>
      <c r="S25" s="46" t="s">
        <v>102</v>
      </c>
      <c r="T25" s="46" t="s">
        <v>208</v>
      </c>
      <c r="U25" s="51">
        <v>4</v>
      </c>
    </row>
    <row r="26" spans="2:21" ht="14.5" outlineLevel="3">
      <c r="B26" s="44" t="s">
        <v>209</v>
      </c>
      <c r="C26" s="45" t="s">
        <v>210</v>
      </c>
      <c r="D26" s="46" t="s">
        <v>179</v>
      </c>
      <c r="E26" s="47" t="s">
        <v>112</v>
      </c>
      <c r="F26" s="46" t="s">
        <v>211</v>
      </c>
      <c r="G26" s="47" t="s">
        <v>212</v>
      </c>
      <c r="H26" s="48">
        <v>250</v>
      </c>
      <c r="I26" s="48">
        <v>934982.1</v>
      </c>
      <c r="J26" s="47" t="s">
        <v>115</v>
      </c>
      <c r="K26" s="49">
        <v>2</v>
      </c>
      <c r="L26" s="49" t="s">
        <v>116</v>
      </c>
      <c r="M26" s="46" t="s">
        <v>117</v>
      </c>
      <c r="N26" s="50">
        <v>0</v>
      </c>
      <c r="O26" s="50">
        <v>0</v>
      </c>
      <c r="P26" s="50">
        <v>0</v>
      </c>
      <c r="Q26" s="46" t="s">
        <v>102</v>
      </c>
      <c r="R26" s="46" t="s">
        <v>102</v>
      </c>
      <c r="S26" s="46" t="s">
        <v>102</v>
      </c>
      <c r="T26" s="46" t="s">
        <v>213</v>
      </c>
      <c r="U26" s="51">
        <v>4</v>
      </c>
    </row>
    <row r="27" spans="2:21" ht="14.5" outlineLevel="3">
      <c r="B27" s="44" t="s">
        <v>214</v>
      </c>
      <c r="C27" s="45" t="s">
        <v>215</v>
      </c>
      <c r="D27" s="46" t="s">
        <v>165</v>
      </c>
      <c r="E27" s="47" t="s">
        <v>112</v>
      </c>
      <c r="F27" s="46" t="s">
        <v>216</v>
      </c>
      <c r="G27" s="47" t="s">
        <v>217</v>
      </c>
      <c r="H27" s="48">
        <v>16000</v>
      </c>
      <c r="I27" s="48">
        <v>7200</v>
      </c>
      <c r="J27" s="47" t="s">
        <v>115</v>
      </c>
      <c r="K27" s="49">
        <v>2</v>
      </c>
      <c r="L27" s="49" t="s">
        <v>116</v>
      </c>
      <c r="M27" s="46" t="s">
        <v>117</v>
      </c>
      <c r="N27" s="50">
        <v>0</v>
      </c>
      <c r="O27" s="50">
        <v>0</v>
      </c>
      <c r="P27" s="50">
        <v>0</v>
      </c>
      <c r="Q27" s="46" t="s">
        <v>102</v>
      </c>
      <c r="R27" s="46" t="s">
        <v>102</v>
      </c>
      <c r="S27" s="46" t="s">
        <v>102</v>
      </c>
      <c r="T27" s="46" t="s">
        <v>218</v>
      </c>
      <c r="U27" s="51">
        <v>4</v>
      </c>
    </row>
    <row r="28" spans="2:21" ht="14.5" outlineLevel="3">
      <c r="B28" s="44" t="s">
        <v>219</v>
      </c>
      <c r="C28" s="45" t="s">
        <v>220</v>
      </c>
      <c r="D28" s="46" t="s">
        <v>179</v>
      </c>
      <c r="E28" s="47" t="s">
        <v>112</v>
      </c>
      <c r="F28" s="46" t="s">
        <v>221</v>
      </c>
      <c r="G28" s="47" t="s">
        <v>222</v>
      </c>
      <c r="H28" s="48">
        <v>636</v>
      </c>
      <c r="I28" s="48">
        <v>1660000</v>
      </c>
      <c r="J28" s="47" t="s">
        <v>115</v>
      </c>
      <c r="K28" s="49">
        <v>2</v>
      </c>
      <c r="L28" s="49" t="s">
        <v>116</v>
      </c>
      <c r="M28" s="46" t="s">
        <v>117</v>
      </c>
      <c r="N28" s="50">
        <v>0</v>
      </c>
      <c r="O28" s="50">
        <v>0</v>
      </c>
      <c r="P28" s="50">
        <v>0</v>
      </c>
      <c r="Q28" s="46" t="s">
        <v>102</v>
      </c>
      <c r="R28" s="46" t="s">
        <v>102</v>
      </c>
      <c r="S28" s="46" t="s">
        <v>102</v>
      </c>
      <c r="T28" s="46" t="s">
        <v>223</v>
      </c>
      <c r="U28" s="51">
        <v>4</v>
      </c>
    </row>
    <row r="29" spans="2:21" ht="14.5" outlineLevel="3">
      <c r="B29" s="44" t="s">
        <v>224</v>
      </c>
      <c r="C29" s="45" t="s">
        <v>225</v>
      </c>
      <c r="D29" s="46" t="s">
        <v>111</v>
      </c>
      <c r="E29" s="47" t="s">
        <v>112</v>
      </c>
      <c r="F29" s="46" t="s">
        <v>226</v>
      </c>
      <c r="G29" s="47" t="s">
        <v>227</v>
      </c>
      <c r="H29" s="48">
        <v>285.25</v>
      </c>
      <c r="I29" s="48">
        <v>135000</v>
      </c>
      <c r="J29" s="47" t="s">
        <v>115</v>
      </c>
      <c r="K29" s="49">
        <v>2</v>
      </c>
      <c r="L29" s="49" t="s">
        <v>116</v>
      </c>
      <c r="M29" s="46" t="s">
        <v>117</v>
      </c>
      <c r="N29" s="50">
        <v>0</v>
      </c>
      <c r="O29" s="50">
        <v>0</v>
      </c>
      <c r="P29" s="50">
        <v>0</v>
      </c>
      <c r="Q29" s="46" t="s">
        <v>102</v>
      </c>
      <c r="R29" s="46" t="s">
        <v>102</v>
      </c>
      <c r="S29" s="46" t="s">
        <v>102</v>
      </c>
      <c r="T29" s="46" t="s">
        <v>228</v>
      </c>
      <c r="U29" s="51">
        <v>4</v>
      </c>
    </row>
    <row r="30" spans="2:21" ht="14.5" outlineLevel="3">
      <c r="B30" s="44" t="s">
        <v>229</v>
      </c>
      <c r="C30" s="45" t="s">
        <v>230</v>
      </c>
      <c r="D30" s="46" t="s">
        <v>195</v>
      </c>
      <c r="E30" s="47" t="s">
        <v>112</v>
      </c>
      <c r="F30" s="46" t="s">
        <v>231</v>
      </c>
      <c r="G30" s="47" t="s">
        <v>232</v>
      </c>
      <c r="H30" s="48">
        <v>93</v>
      </c>
      <c r="I30" s="48">
        <v>29324.7</v>
      </c>
      <c r="J30" s="47" t="s">
        <v>115</v>
      </c>
      <c r="K30" s="49">
        <v>2</v>
      </c>
      <c r="L30" s="49" t="s">
        <v>116</v>
      </c>
      <c r="M30" s="46" t="s">
        <v>117</v>
      </c>
      <c r="N30" s="50">
        <v>0</v>
      </c>
      <c r="O30" s="50">
        <v>0</v>
      </c>
      <c r="P30" s="50">
        <v>0</v>
      </c>
      <c r="Q30" s="46" t="s">
        <v>102</v>
      </c>
      <c r="R30" s="46" t="s">
        <v>102</v>
      </c>
      <c r="S30" s="46" t="s">
        <v>102</v>
      </c>
      <c r="T30" s="46" t="s">
        <v>233</v>
      </c>
      <c r="U30" s="51">
        <v>4</v>
      </c>
    </row>
    <row r="31" spans="2:21" ht="14.5" outlineLevel="3">
      <c r="B31" s="44" t="s">
        <v>234</v>
      </c>
      <c r="C31" s="45" t="s">
        <v>235</v>
      </c>
      <c r="D31" s="46" t="s">
        <v>179</v>
      </c>
      <c r="E31" s="47" t="s">
        <v>112</v>
      </c>
      <c r="F31" s="46" t="s">
        <v>236</v>
      </c>
      <c r="G31" s="47" t="s">
        <v>237</v>
      </c>
      <c r="H31" s="48">
        <v>407.36</v>
      </c>
      <c r="I31" s="48">
        <v>630000</v>
      </c>
      <c r="J31" s="47" t="s">
        <v>115</v>
      </c>
      <c r="K31" s="49">
        <v>2</v>
      </c>
      <c r="L31" s="49" t="s">
        <v>116</v>
      </c>
      <c r="M31" s="46" t="s">
        <v>117</v>
      </c>
      <c r="N31" s="50">
        <v>0</v>
      </c>
      <c r="O31" s="50">
        <v>0</v>
      </c>
      <c r="P31" s="50">
        <v>0</v>
      </c>
      <c r="Q31" s="46" t="s">
        <v>102</v>
      </c>
      <c r="R31" s="46" t="s">
        <v>102</v>
      </c>
      <c r="S31" s="46" t="s">
        <v>102</v>
      </c>
      <c r="T31" s="46" t="s">
        <v>238</v>
      </c>
      <c r="U31" s="51">
        <v>4</v>
      </c>
    </row>
    <row r="32" spans="2:21" ht="14.5" outlineLevel="3">
      <c r="B32" s="44" t="s">
        <v>239</v>
      </c>
      <c r="C32" s="45" t="s">
        <v>240</v>
      </c>
      <c r="D32" s="46" t="s">
        <v>179</v>
      </c>
      <c r="E32" s="47" t="s">
        <v>112</v>
      </c>
      <c r="F32" s="46" t="s">
        <v>241</v>
      </c>
      <c r="G32" s="47" t="s">
        <v>242</v>
      </c>
      <c r="H32" s="48">
        <v>155</v>
      </c>
      <c r="I32" s="48">
        <v>153188.88</v>
      </c>
      <c r="J32" s="47" t="s">
        <v>115</v>
      </c>
      <c r="K32" s="49">
        <v>2</v>
      </c>
      <c r="L32" s="49" t="s">
        <v>116</v>
      </c>
      <c r="M32" s="46" t="s">
        <v>117</v>
      </c>
      <c r="N32" s="50">
        <v>0</v>
      </c>
      <c r="O32" s="50">
        <v>0</v>
      </c>
      <c r="P32" s="50">
        <v>0</v>
      </c>
      <c r="Q32" s="46" t="s">
        <v>102</v>
      </c>
      <c r="R32" s="46" t="s">
        <v>102</v>
      </c>
      <c r="S32" s="46" t="s">
        <v>102</v>
      </c>
      <c r="T32" s="46" t="s">
        <v>243</v>
      </c>
      <c r="U32" s="51">
        <v>4</v>
      </c>
    </row>
    <row r="33" spans="2:21" ht="14.5" outlineLevel="2">
      <c r="B33" s="36" t="s">
        <v>244</v>
      </c>
      <c r="C33" s="37" t="s">
        <v>245</v>
      </c>
      <c r="D33" s="38" t="s">
        <v>102</v>
      </c>
      <c r="E33" s="39" t="s">
        <v>102</v>
      </c>
      <c r="F33" s="38" t="s">
        <v>102</v>
      </c>
      <c r="G33" s="39" t="s">
        <v>102</v>
      </c>
      <c r="H33" s="40">
        <v>0</v>
      </c>
      <c r="I33" s="40">
        <v>0</v>
      </c>
      <c r="J33" s="39" t="s">
        <v>102</v>
      </c>
      <c r="K33" s="41">
        <v>0</v>
      </c>
      <c r="L33" s="41" t="s">
        <v>102</v>
      </c>
      <c r="M33" s="38" t="s">
        <v>102</v>
      </c>
      <c r="N33" s="42">
        <v>0</v>
      </c>
      <c r="O33" s="42">
        <v>0</v>
      </c>
      <c r="P33" s="42">
        <v>0</v>
      </c>
      <c r="Q33" s="38" t="s">
        <v>102</v>
      </c>
      <c r="R33" s="38" t="s">
        <v>102</v>
      </c>
      <c r="S33" s="38" t="s">
        <v>246</v>
      </c>
      <c r="T33" s="38" t="s">
        <v>102</v>
      </c>
      <c r="U33" s="43">
        <v>3</v>
      </c>
    </row>
    <row r="34" spans="2:21" ht="14.5" outlineLevel="3">
      <c r="B34" s="44" t="s">
        <v>247</v>
      </c>
      <c r="C34" s="45" t="s">
        <v>248</v>
      </c>
      <c r="D34" s="46" t="s">
        <v>111</v>
      </c>
      <c r="E34" s="47" t="s">
        <v>112</v>
      </c>
      <c r="F34" s="46" t="s">
        <v>249</v>
      </c>
      <c r="G34" s="47" t="s">
        <v>250</v>
      </c>
      <c r="H34" s="48">
        <v>110</v>
      </c>
      <c r="I34" s="48">
        <v>170196.48000000001</v>
      </c>
      <c r="J34" s="47" t="s">
        <v>115</v>
      </c>
      <c r="K34" s="49">
        <v>2</v>
      </c>
      <c r="L34" s="49" t="s">
        <v>116</v>
      </c>
      <c r="M34" s="46" t="s">
        <v>117</v>
      </c>
      <c r="N34" s="50">
        <v>0</v>
      </c>
      <c r="O34" s="50">
        <v>0</v>
      </c>
      <c r="P34" s="50">
        <v>0</v>
      </c>
      <c r="Q34" s="46" t="s">
        <v>102</v>
      </c>
      <c r="R34" s="46" t="s">
        <v>102</v>
      </c>
      <c r="S34" s="46" t="s">
        <v>102</v>
      </c>
      <c r="T34" s="46" t="s">
        <v>118</v>
      </c>
      <c r="U34" s="51">
        <v>4</v>
      </c>
    </row>
    <row r="35" spans="2:21" ht="14.5" outlineLevel="3">
      <c r="B35" s="44" t="s">
        <v>251</v>
      </c>
      <c r="C35" s="45" t="s">
        <v>252</v>
      </c>
      <c r="D35" s="46" t="s">
        <v>179</v>
      </c>
      <c r="E35" s="47" t="s">
        <v>112</v>
      </c>
      <c r="F35" s="46" t="s">
        <v>253</v>
      </c>
      <c r="G35" s="47" t="s">
        <v>254</v>
      </c>
      <c r="H35" s="48">
        <v>1305</v>
      </c>
      <c r="I35" s="48">
        <v>37395.9</v>
      </c>
      <c r="J35" s="47" t="s">
        <v>115</v>
      </c>
      <c r="K35" s="49">
        <v>2</v>
      </c>
      <c r="L35" s="49" t="s">
        <v>116</v>
      </c>
      <c r="M35" s="46" t="s">
        <v>117</v>
      </c>
      <c r="N35" s="50">
        <v>0</v>
      </c>
      <c r="O35" s="50">
        <v>0</v>
      </c>
      <c r="P35" s="50">
        <v>0</v>
      </c>
      <c r="Q35" s="46" t="s">
        <v>102</v>
      </c>
      <c r="R35" s="46" t="s">
        <v>102</v>
      </c>
      <c r="S35" s="46" t="s">
        <v>102</v>
      </c>
      <c r="T35" s="46" t="s">
        <v>182</v>
      </c>
      <c r="U35" s="51">
        <v>4</v>
      </c>
    </row>
    <row r="36" spans="2:21" ht="14.5" outlineLevel="3">
      <c r="B36" s="44" t="s">
        <v>255</v>
      </c>
      <c r="C36" s="45" t="s">
        <v>256</v>
      </c>
      <c r="D36" s="46" t="s">
        <v>111</v>
      </c>
      <c r="E36" s="47" t="s">
        <v>112</v>
      </c>
      <c r="F36" s="46" t="s">
        <v>257</v>
      </c>
      <c r="G36" s="47" t="s">
        <v>258</v>
      </c>
      <c r="H36" s="48">
        <v>490</v>
      </c>
      <c r="I36" s="48">
        <v>4545</v>
      </c>
      <c r="J36" s="47" t="s">
        <v>115</v>
      </c>
      <c r="K36" s="49">
        <v>2</v>
      </c>
      <c r="L36" s="49" t="s">
        <v>116</v>
      </c>
      <c r="M36" s="46" t="s">
        <v>117</v>
      </c>
      <c r="N36" s="50">
        <v>0</v>
      </c>
      <c r="O36" s="50">
        <v>0</v>
      </c>
      <c r="P36" s="50">
        <v>0</v>
      </c>
      <c r="Q36" s="46" t="s">
        <v>102</v>
      </c>
      <c r="R36" s="46" t="s">
        <v>102</v>
      </c>
      <c r="S36" s="46" t="s">
        <v>102</v>
      </c>
      <c r="T36" s="46" t="s">
        <v>259</v>
      </c>
      <c r="U36" s="51">
        <v>4</v>
      </c>
    </row>
    <row r="37" spans="2:21" ht="14.5" outlineLevel="3">
      <c r="B37" s="44" t="s">
        <v>260</v>
      </c>
      <c r="C37" s="45" t="s">
        <v>261</v>
      </c>
      <c r="D37" s="46" t="s">
        <v>111</v>
      </c>
      <c r="E37" s="47" t="s">
        <v>112</v>
      </c>
      <c r="F37" s="46" t="s">
        <v>262</v>
      </c>
      <c r="G37" s="47" t="s">
        <v>263</v>
      </c>
      <c r="H37" s="48">
        <v>848.31</v>
      </c>
      <c r="I37" s="48">
        <v>112310.1</v>
      </c>
      <c r="J37" s="47" t="s">
        <v>115</v>
      </c>
      <c r="K37" s="49">
        <v>2</v>
      </c>
      <c r="L37" s="49" t="s">
        <v>116</v>
      </c>
      <c r="M37" s="46" t="s">
        <v>117</v>
      </c>
      <c r="N37" s="50">
        <v>0</v>
      </c>
      <c r="O37" s="50">
        <v>0</v>
      </c>
      <c r="P37" s="50">
        <v>0</v>
      </c>
      <c r="Q37" s="46" t="s">
        <v>102</v>
      </c>
      <c r="R37" s="46" t="s">
        <v>102</v>
      </c>
      <c r="S37" s="46" t="s">
        <v>102</v>
      </c>
      <c r="T37" s="46" t="s">
        <v>192</v>
      </c>
      <c r="U37" s="51">
        <v>4</v>
      </c>
    </row>
    <row r="38" spans="2:21" ht="14.5" outlineLevel="3">
      <c r="B38" s="44" t="s">
        <v>264</v>
      </c>
      <c r="C38" s="45" t="s">
        <v>265</v>
      </c>
      <c r="D38" s="46" t="s">
        <v>111</v>
      </c>
      <c r="E38" s="47" t="s">
        <v>112</v>
      </c>
      <c r="F38" s="46" t="s">
        <v>266</v>
      </c>
      <c r="G38" s="47" t="s">
        <v>267</v>
      </c>
      <c r="H38" s="48">
        <v>1800</v>
      </c>
      <c r="I38" s="48">
        <v>21953.7</v>
      </c>
      <c r="J38" s="47" t="s">
        <v>115</v>
      </c>
      <c r="K38" s="49">
        <v>2</v>
      </c>
      <c r="L38" s="49" t="s">
        <v>116</v>
      </c>
      <c r="M38" s="46" t="s">
        <v>117</v>
      </c>
      <c r="N38" s="50">
        <v>0</v>
      </c>
      <c r="O38" s="50">
        <v>0</v>
      </c>
      <c r="P38" s="50">
        <v>0</v>
      </c>
      <c r="Q38" s="46" t="s">
        <v>102</v>
      </c>
      <c r="R38" s="46" t="s">
        <v>102</v>
      </c>
      <c r="S38" s="46" t="s">
        <v>102</v>
      </c>
      <c r="T38" s="46" t="s">
        <v>268</v>
      </c>
      <c r="U38" s="51">
        <v>4</v>
      </c>
    </row>
    <row r="39" spans="2:21" ht="14.5" outlineLevel="3">
      <c r="B39" s="44" t="s">
        <v>269</v>
      </c>
      <c r="C39" s="45" t="s">
        <v>270</v>
      </c>
      <c r="D39" s="46" t="s">
        <v>165</v>
      </c>
      <c r="E39" s="47" t="s">
        <v>112</v>
      </c>
      <c r="F39" s="46" t="s">
        <v>271</v>
      </c>
      <c r="G39" s="47" t="s">
        <v>272</v>
      </c>
      <c r="H39" s="48">
        <v>33000</v>
      </c>
      <c r="I39" s="48">
        <v>1095.3</v>
      </c>
      <c r="J39" s="47" t="s">
        <v>115</v>
      </c>
      <c r="K39" s="49">
        <v>2</v>
      </c>
      <c r="L39" s="49" t="s">
        <v>116</v>
      </c>
      <c r="M39" s="46" t="s">
        <v>117</v>
      </c>
      <c r="N39" s="50">
        <v>0</v>
      </c>
      <c r="O39" s="50">
        <v>0</v>
      </c>
      <c r="P39" s="50">
        <v>0</v>
      </c>
      <c r="Q39" s="46" t="s">
        <v>102</v>
      </c>
      <c r="R39" s="46" t="s">
        <v>102</v>
      </c>
      <c r="S39" s="46" t="s">
        <v>102</v>
      </c>
      <c r="T39" s="46" t="s">
        <v>273</v>
      </c>
      <c r="U39" s="51">
        <v>4</v>
      </c>
    </row>
    <row r="40" spans="2:21" ht="14.5" outlineLevel="3">
      <c r="B40" s="44" t="s">
        <v>274</v>
      </c>
      <c r="C40" s="45" t="s">
        <v>275</v>
      </c>
      <c r="D40" s="46" t="s">
        <v>276</v>
      </c>
      <c r="E40" s="47" t="s">
        <v>112</v>
      </c>
      <c r="F40" s="46" t="s">
        <v>277</v>
      </c>
      <c r="G40" s="47" t="s">
        <v>278</v>
      </c>
      <c r="H40" s="48">
        <v>55</v>
      </c>
      <c r="I40" s="48">
        <v>23948.1</v>
      </c>
      <c r="J40" s="47" t="s">
        <v>115</v>
      </c>
      <c r="K40" s="49">
        <v>2</v>
      </c>
      <c r="L40" s="49" t="s">
        <v>116</v>
      </c>
      <c r="M40" s="46" t="s">
        <v>117</v>
      </c>
      <c r="N40" s="50">
        <v>0</v>
      </c>
      <c r="O40" s="50">
        <v>0</v>
      </c>
      <c r="P40" s="50">
        <v>0</v>
      </c>
      <c r="Q40" s="46" t="s">
        <v>102</v>
      </c>
      <c r="R40" s="46" t="s">
        <v>102</v>
      </c>
      <c r="S40" s="46" t="s">
        <v>102</v>
      </c>
      <c r="T40" s="46" t="s">
        <v>198</v>
      </c>
      <c r="U40" s="51">
        <v>4</v>
      </c>
    </row>
    <row r="41" spans="2:21" ht="14.5" outlineLevel="3">
      <c r="B41" s="44" t="s">
        <v>279</v>
      </c>
      <c r="C41" s="45" t="s">
        <v>280</v>
      </c>
      <c r="D41" s="46" t="s">
        <v>276</v>
      </c>
      <c r="E41" s="47" t="s">
        <v>112</v>
      </c>
      <c r="F41" s="46" t="s">
        <v>281</v>
      </c>
      <c r="G41" s="47" t="s">
        <v>282</v>
      </c>
      <c r="H41" s="48">
        <v>50</v>
      </c>
      <c r="I41" s="48">
        <v>250839.9</v>
      </c>
      <c r="J41" s="47" t="s">
        <v>115</v>
      </c>
      <c r="K41" s="49">
        <v>2</v>
      </c>
      <c r="L41" s="49" t="s">
        <v>116</v>
      </c>
      <c r="M41" s="46" t="s">
        <v>117</v>
      </c>
      <c r="N41" s="50">
        <v>0</v>
      </c>
      <c r="O41" s="50">
        <v>0</v>
      </c>
      <c r="P41" s="50">
        <v>0</v>
      </c>
      <c r="Q41" s="46" t="s">
        <v>102</v>
      </c>
      <c r="R41" s="46" t="s">
        <v>102</v>
      </c>
      <c r="S41" s="46" t="s">
        <v>102</v>
      </c>
      <c r="T41" s="46" t="s">
        <v>283</v>
      </c>
      <c r="U41" s="51">
        <v>4</v>
      </c>
    </row>
    <row r="42" spans="2:21" ht="14.5" outlineLevel="3">
      <c r="B42" s="44" t="s">
        <v>284</v>
      </c>
      <c r="C42" s="45" t="s">
        <v>285</v>
      </c>
      <c r="D42" s="46" t="s">
        <v>179</v>
      </c>
      <c r="E42" s="47" t="s">
        <v>112</v>
      </c>
      <c r="F42" s="46" t="s">
        <v>286</v>
      </c>
      <c r="G42" s="47" t="s">
        <v>287</v>
      </c>
      <c r="H42" s="48">
        <v>3000</v>
      </c>
      <c r="I42" s="48">
        <v>1451.7</v>
      </c>
      <c r="J42" s="47" t="s">
        <v>115</v>
      </c>
      <c r="K42" s="49">
        <v>2</v>
      </c>
      <c r="L42" s="49" t="s">
        <v>116</v>
      </c>
      <c r="M42" s="46" t="s">
        <v>117</v>
      </c>
      <c r="N42" s="50">
        <v>0</v>
      </c>
      <c r="O42" s="50">
        <v>0</v>
      </c>
      <c r="P42" s="50">
        <v>0</v>
      </c>
      <c r="Q42" s="46" t="s">
        <v>102</v>
      </c>
      <c r="R42" s="46" t="s">
        <v>102</v>
      </c>
      <c r="S42" s="46" t="s">
        <v>102</v>
      </c>
      <c r="T42" s="46" t="s">
        <v>288</v>
      </c>
      <c r="U42" s="51">
        <v>4</v>
      </c>
    </row>
    <row r="43" spans="2:21" ht="14.5" outlineLevel="3">
      <c r="B43" s="44" t="s">
        <v>289</v>
      </c>
      <c r="C43" s="45" t="s">
        <v>290</v>
      </c>
      <c r="D43" s="46" t="s">
        <v>291</v>
      </c>
      <c r="E43" s="47" t="s">
        <v>112</v>
      </c>
      <c r="F43" s="46" t="s">
        <v>292</v>
      </c>
      <c r="G43" s="47" t="s">
        <v>293</v>
      </c>
      <c r="H43" s="48">
        <v>301.25</v>
      </c>
      <c r="I43" s="48">
        <v>10033.200000000001</v>
      </c>
      <c r="J43" s="47" t="s">
        <v>115</v>
      </c>
      <c r="K43" s="49">
        <v>2</v>
      </c>
      <c r="L43" s="49" t="s">
        <v>116</v>
      </c>
      <c r="M43" s="46" t="s">
        <v>117</v>
      </c>
      <c r="N43" s="50">
        <v>0</v>
      </c>
      <c r="O43" s="50">
        <v>0</v>
      </c>
      <c r="P43" s="50">
        <v>0</v>
      </c>
      <c r="Q43" s="46" t="s">
        <v>102</v>
      </c>
      <c r="R43" s="46" t="s">
        <v>102</v>
      </c>
      <c r="S43" s="46" t="s">
        <v>102</v>
      </c>
      <c r="T43" s="46" t="s">
        <v>203</v>
      </c>
      <c r="U43" s="51">
        <v>4</v>
      </c>
    </row>
    <row r="44" spans="2:21" ht="14.5" outlineLevel="3">
      <c r="B44" s="44" t="s">
        <v>294</v>
      </c>
      <c r="C44" s="45" t="s">
        <v>295</v>
      </c>
      <c r="D44" s="46" t="s">
        <v>165</v>
      </c>
      <c r="E44" s="47" t="s">
        <v>112</v>
      </c>
      <c r="F44" s="46" t="s">
        <v>296</v>
      </c>
      <c r="G44" s="47" t="s">
        <v>297</v>
      </c>
      <c r="H44" s="48">
        <v>22580</v>
      </c>
      <c r="I44" s="48">
        <v>323.42</v>
      </c>
      <c r="J44" s="47" t="s">
        <v>115</v>
      </c>
      <c r="K44" s="49">
        <v>2</v>
      </c>
      <c r="L44" s="49" t="s">
        <v>116</v>
      </c>
      <c r="M44" s="46" t="s">
        <v>117</v>
      </c>
      <c r="N44" s="50">
        <v>0</v>
      </c>
      <c r="O44" s="50">
        <v>0</v>
      </c>
      <c r="P44" s="50">
        <v>0</v>
      </c>
      <c r="Q44" s="46" t="s">
        <v>102</v>
      </c>
      <c r="R44" s="46" t="s">
        <v>102</v>
      </c>
      <c r="S44" s="46" t="s">
        <v>102</v>
      </c>
      <c r="T44" s="46" t="s">
        <v>298</v>
      </c>
      <c r="U44" s="51">
        <v>4</v>
      </c>
    </row>
    <row r="45" spans="2:21" ht="14.5" outlineLevel="3">
      <c r="B45" s="44" t="s">
        <v>299</v>
      </c>
      <c r="C45" s="45" t="s">
        <v>300</v>
      </c>
      <c r="D45" s="46" t="s">
        <v>111</v>
      </c>
      <c r="E45" s="47" t="s">
        <v>112</v>
      </c>
      <c r="F45" s="46" t="s">
        <v>301</v>
      </c>
      <c r="G45" s="47" t="s">
        <v>302</v>
      </c>
      <c r="H45" s="48">
        <v>2100</v>
      </c>
      <c r="I45" s="48">
        <v>878.4</v>
      </c>
      <c r="J45" s="47" t="s">
        <v>115</v>
      </c>
      <c r="K45" s="49">
        <v>2</v>
      </c>
      <c r="L45" s="49" t="s">
        <v>116</v>
      </c>
      <c r="M45" s="46" t="s">
        <v>117</v>
      </c>
      <c r="N45" s="50">
        <v>0</v>
      </c>
      <c r="O45" s="50">
        <v>0</v>
      </c>
      <c r="P45" s="50">
        <v>0</v>
      </c>
      <c r="Q45" s="46" t="s">
        <v>102</v>
      </c>
      <c r="R45" s="46" t="s">
        <v>102</v>
      </c>
      <c r="S45" s="46" t="s">
        <v>102</v>
      </c>
      <c r="T45" s="46" t="s">
        <v>303</v>
      </c>
      <c r="U45" s="51">
        <v>4</v>
      </c>
    </row>
    <row r="46" spans="2:21" ht="14.5" outlineLevel="2">
      <c r="B46" s="36" t="s">
        <v>304</v>
      </c>
      <c r="C46" s="37" t="s">
        <v>305</v>
      </c>
      <c r="D46" s="38" t="s">
        <v>102</v>
      </c>
      <c r="E46" s="39" t="s">
        <v>102</v>
      </c>
      <c r="F46" s="38" t="s">
        <v>102</v>
      </c>
      <c r="G46" s="39" t="s">
        <v>102</v>
      </c>
      <c r="H46" s="40">
        <v>0</v>
      </c>
      <c r="I46" s="40">
        <v>0</v>
      </c>
      <c r="J46" s="39" t="s">
        <v>102</v>
      </c>
      <c r="K46" s="41">
        <v>0</v>
      </c>
      <c r="L46" s="41" t="s">
        <v>102</v>
      </c>
      <c r="M46" s="38" t="s">
        <v>102</v>
      </c>
      <c r="N46" s="42">
        <v>0</v>
      </c>
      <c r="O46" s="42">
        <v>0</v>
      </c>
      <c r="P46" s="42">
        <v>0</v>
      </c>
      <c r="Q46" s="38" t="s">
        <v>102</v>
      </c>
      <c r="R46" s="38" t="s">
        <v>102</v>
      </c>
      <c r="S46" s="38" t="s">
        <v>306</v>
      </c>
      <c r="T46" s="38" t="s">
        <v>102</v>
      </c>
      <c r="U46" s="43">
        <v>3</v>
      </c>
    </row>
    <row r="47" spans="2:21" ht="14.5" outlineLevel="3">
      <c r="B47" s="44" t="s">
        <v>307</v>
      </c>
      <c r="C47" s="45" t="s">
        <v>308</v>
      </c>
      <c r="D47" s="46" t="s">
        <v>111</v>
      </c>
      <c r="E47" s="47" t="s">
        <v>112</v>
      </c>
      <c r="F47" s="46" t="s">
        <v>309</v>
      </c>
      <c r="G47" s="47" t="s">
        <v>310</v>
      </c>
      <c r="H47" s="48">
        <v>400</v>
      </c>
      <c r="I47" s="48">
        <v>1822176.14</v>
      </c>
      <c r="J47" s="47" t="s">
        <v>115</v>
      </c>
      <c r="K47" s="49">
        <v>2</v>
      </c>
      <c r="L47" s="49" t="s">
        <v>116</v>
      </c>
      <c r="M47" s="46" t="s">
        <v>117</v>
      </c>
      <c r="N47" s="50">
        <v>0</v>
      </c>
      <c r="O47" s="50">
        <v>0</v>
      </c>
      <c r="P47" s="50">
        <v>0</v>
      </c>
      <c r="Q47" s="46" t="s">
        <v>102</v>
      </c>
      <c r="R47" s="46" t="s">
        <v>102</v>
      </c>
      <c r="S47" s="46" t="s">
        <v>102</v>
      </c>
      <c r="T47" s="46" t="s">
        <v>118</v>
      </c>
      <c r="U47" s="51">
        <v>4</v>
      </c>
    </row>
    <row r="48" spans="2:21" ht="14.5" outlineLevel="3">
      <c r="B48" s="44" t="s">
        <v>311</v>
      </c>
      <c r="C48" s="45" t="s">
        <v>312</v>
      </c>
      <c r="D48" s="46" t="s">
        <v>165</v>
      </c>
      <c r="E48" s="47" t="s">
        <v>112</v>
      </c>
      <c r="F48" s="46" t="s">
        <v>313</v>
      </c>
      <c r="G48" s="47" t="s">
        <v>314</v>
      </c>
      <c r="H48" s="48">
        <v>34248.07</v>
      </c>
      <c r="I48" s="48">
        <v>17100</v>
      </c>
      <c r="J48" s="47" t="s">
        <v>115</v>
      </c>
      <c r="K48" s="49">
        <v>2</v>
      </c>
      <c r="L48" s="49" t="s">
        <v>116</v>
      </c>
      <c r="M48" s="46" t="s">
        <v>117</v>
      </c>
      <c r="N48" s="50">
        <v>0</v>
      </c>
      <c r="O48" s="50">
        <v>0</v>
      </c>
      <c r="P48" s="50">
        <v>0</v>
      </c>
      <c r="Q48" s="46" t="s">
        <v>102</v>
      </c>
      <c r="R48" s="46" t="s">
        <v>102</v>
      </c>
      <c r="S48" s="46" t="s">
        <v>102</v>
      </c>
      <c r="T48" s="46" t="s">
        <v>123</v>
      </c>
      <c r="U48" s="51">
        <v>4</v>
      </c>
    </row>
    <row r="49" spans="2:21" ht="14.5" outlineLevel="3">
      <c r="B49" s="44" t="s">
        <v>315</v>
      </c>
      <c r="C49" s="45" t="s">
        <v>316</v>
      </c>
      <c r="D49" s="46" t="s">
        <v>179</v>
      </c>
      <c r="E49" s="47" t="s">
        <v>112</v>
      </c>
      <c r="F49" s="46" t="s">
        <v>317</v>
      </c>
      <c r="G49" s="47" t="s">
        <v>318</v>
      </c>
      <c r="H49" s="48">
        <v>1440</v>
      </c>
      <c r="I49" s="48">
        <v>843750</v>
      </c>
      <c r="J49" s="47" t="s">
        <v>115</v>
      </c>
      <c r="K49" s="49">
        <v>2</v>
      </c>
      <c r="L49" s="49" t="s">
        <v>116</v>
      </c>
      <c r="M49" s="46" t="s">
        <v>117</v>
      </c>
      <c r="N49" s="50">
        <v>0</v>
      </c>
      <c r="O49" s="50">
        <v>0</v>
      </c>
      <c r="P49" s="50">
        <v>0</v>
      </c>
      <c r="Q49" s="46" t="s">
        <v>102</v>
      </c>
      <c r="R49" s="46" t="s">
        <v>102</v>
      </c>
      <c r="S49" s="46" t="s">
        <v>102</v>
      </c>
      <c r="T49" s="46" t="s">
        <v>128</v>
      </c>
      <c r="U49" s="51">
        <v>4</v>
      </c>
    </row>
    <row r="50" spans="2:21" ht="14.5" outlineLevel="3">
      <c r="B50" s="44" t="s">
        <v>319</v>
      </c>
      <c r="C50" s="45" t="s">
        <v>320</v>
      </c>
      <c r="D50" s="46" t="s">
        <v>179</v>
      </c>
      <c r="E50" s="47" t="s">
        <v>112</v>
      </c>
      <c r="F50" s="46" t="s">
        <v>321</v>
      </c>
      <c r="G50" s="47" t="s">
        <v>322</v>
      </c>
      <c r="H50" s="48">
        <v>125</v>
      </c>
      <c r="I50" s="48">
        <v>421875</v>
      </c>
      <c r="J50" s="47" t="s">
        <v>115</v>
      </c>
      <c r="K50" s="49">
        <v>2</v>
      </c>
      <c r="L50" s="49" t="s">
        <v>116</v>
      </c>
      <c r="M50" s="46" t="s">
        <v>117</v>
      </c>
      <c r="N50" s="50">
        <v>0</v>
      </c>
      <c r="O50" s="50">
        <v>0</v>
      </c>
      <c r="P50" s="50">
        <v>0</v>
      </c>
      <c r="Q50" s="46" t="s">
        <v>102</v>
      </c>
      <c r="R50" s="46" t="s">
        <v>102</v>
      </c>
      <c r="S50" s="46" t="s">
        <v>102</v>
      </c>
      <c r="T50" s="46" t="s">
        <v>133</v>
      </c>
      <c r="U50" s="51">
        <v>4</v>
      </c>
    </row>
    <row r="51" spans="2:21" ht="14.5" outlineLevel="3">
      <c r="B51" s="44" t="s">
        <v>323</v>
      </c>
      <c r="C51" s="45" t="s">
        <v>324</v>
      </c>
      <c r="D51" s="46" t="s">
        <v>165</v>
      </c>
      <c r="E51" s="47" t="s">
        <v>112</v>
      </c>
      <c r="F51" s="46" t="s">
        <v>325</v>
      </c>
      <c r="G51" s="47" t="s">
        <v>326</v>
      </c>
      <c r="H51" s="48">
        <v>28258.35</v>
      </c>
      <c r="I51" s="48">
        <v>12600</v>
      </c>
      <c r="J51" s="47" t="s">
        <v>115</v>
      </c>
      <c r="K51" s="49">
        <v>2</v>
      </c>
      <c r="L51" s="49" t="s">
        <v>116</v>
      </c>
      <c r="M51" s="46" t="s">
        <v>117</v>
      </c>
      <c r="N51" s="50">
        <v>0</v>
      </c>
      <c r="O51" s="50">
        <v>0</v>
      </c>
      <c r="P51" s="50">
        <v>0</v>
      </c>
      <c r="Q51" s="46" t="s">
        <v>102</v>
      </c>
      <c r="R51" s="46" t="s">
        <v>102</v>
      </c>
      <c r="S51" s="46" t="s">
        <v>102</v>
      </c>
      <c r="T51" s="46" t="s">
        <v>138</v>
      </c>
      <c r="U51" s="51">
        <v>4</v>
      </c>
    </row>
    <row r="52" spans="2:21" ht="14.5" outlineLevel="3">
      <c r="B52" s="44" t="s">
        <v>327</v>
      </c>
      <c r="C52" s="45" t="s">
        <v>328</v>
      </c>
      <c r="D52" s="46" t="s">
        <v>111</v>
      </c>
      <c r="E52" s="47" t="s">
        <v>112</v>
      </c>
      <c r="F52" s="46" t="s">
        <v>329</v>
      </c>
      <c r="G52" s="47" t="s">
        <v>330</v>
      </c>
      <c r="H52" s="48">
        <v>2038.34</v>
      </c>
      <c r="I52" s="48">
        <v>167241.60000000001</v>
      </c>
      <c r="J52" s="47" t="s">
        <v>115</v>
      </c>
      <c r="K52" s="49">
        <v>2</v>
      </c>
      <c r="L52" s="49" t="s">
        <v>116</v>
      </c>
      <c r="M52" s="46" t="s">
        <v>117</v>
      </c>
      <c r="N52" s="50">
        <v>0</v>
      </c>
      <c r="O52" s="50">
        <v>0</v>
      </c>
      <c r="P52" s="50">
        <v>0</v>
      </c>
      <c r="Q52" s="46" t="s">
        <v>102</v>
      </c>
      <c r="R52" s="46" t="s">
        <v>102</v>
      </c>
      <c r="S52" s="46" t="s">
        <v>102</v>
      </c>
      <c r="T52" s="46" t="s">
        <v>143</v>
      </c>
      <c r="U52" s="51">
        <v>4</v>
      </c>
    </row>
    <row r="53" spans="2:21" ht="14.5" outlineLevel="3">
      <c r="B53" s="44" t="s">
        <v>331</v>
      </c>
      <c r="C53" s="45" t="s">
        <v>332</v>
      </c>
      <c r="D53" s="46" t="s">
        <v>179</v>
      </c>
      <c r="E53" s="47" t="s">
        <v>112</v>
      </c>
      <c r="F53" s="46" t="s">
        <v>333</v>
      </c>
      <c r="G53" s="47" t="s">
        <v>334</v>
      </c>
      <c r="H53" s="48">
        <v>163</v>
      </c>
      <c r="I53" s="48">
        <v>363756.4</v>
      </c>
      <c r="J53" s="47" t="s">
        <v>115</v>
      </c>
      <c r="K53" s="49">
        <v>2</v>
      </c>
      <c r="L53" s="49" t="s">
        <v>116</v>
      </c>
      <c r="M53" s="46" t="s">
        <v>117</v>
      </c>
      <c r="N53" s="50">
        <v>0</v>
      </c>
      <c r="O53" s="50">
        <v>0</v>
      </c>
      <c r="P53" s="50">
        <v>0</v>
      </c>
      <c r="Q53" s="46" t="s">
        <v>102</v>
      </c>
      <c r="R53" s="46" t="s">
        <v>102</v>
      </c>
      <c r="S53" s="46" t="s">
        <v>102</v>
      </c>
      <c r="T53" s="46" t="s">
        <v>176</v>
      </c>
      <c r="U53" s="51">
        <v>4</v>
      </c>
    </row>
    <row r="54" spans="2:21" ht="14.5" outlineLevel="3">
      <c r="B54" s="44" t="s">
        <v>335</v>
      </c>
      <c r="C54" s="45" t="s">
        <v>336</v>
      </c>
      <c r="D54" s="46" t="s">
        <v>179</v>
      </c>
      <c r="E54" s="47" t="s">
        <v>112</v>
      </c>
      <c r="F54" s="46" t="s">
        <v>337</v>
      </c>
      <c r="G54" s="47" t="s">
        <v>338</v>
      </c>
      <c r="H54" s="48">
        <v>250</v>
      </c>
      <c r="I54" s="48">
        <v>2503800</v>
      </c>
      <c r="J54" s="47" t="s">
        <v>115</v>
      </c>
      <c r="K54" s="49">
        <v>2</v>
      </c>
      <c r="L54" s="49" t="s">
        <v>116</v>
      </c>
      <c r="M54" s="46" t="s">
        <v>117</v>
      </c>
      <c r="N54" s="50">
        <v>0</v>
      </c>
      <c r="O54" s="50">
        <v>0</v>
      </c>
      <c r="P54" s="50">
        <v>0</v>
      </c>
      <c r="Q54" s="46" t="s">
        <v>102</v>
      </c>
      <c r="R54" s="46" t="s">
        <v>102</v>
      </c>
      <c r="S54" s="46" t="s">
        <v>102</v>
      </c>
      <c r="T54" s="46" t="s">
        <v>187</v>
      </c>
      <c r="U54" s="51">
        <v>4</v>
      </c>
    </row>
    <row r="55" spans="2:21" ht="14.5" outlineLevel="3">
      <c r="B55" s="44" t="s">
        <v>339</v>
      </c>
      <c r="C55" s="45" t="s">
        <v>340</v>
      </c>
      <c r="D55" s="46" t="s">
        <v>276</v>
      </c>
      <c r="E55" s="47" t="s">
        <v>112</v>
      </c>
      <c r="F55" s="46" t="s">
        <v>341</v>
      </c>
      <c r="G55" s="47" t="s">
        <v>342</v>
      </c>
      <c r="H55" s="48">
        <v>213</v>
      </c>
      <c r="I55" s="48">
        <v>527532.24</v>
      </c>
      <c r="J55" s="47" t="s">
        <v>115</v>
      </c>
      <c r="K55" s="49">
        <v>2</v>
      </c>
      <c r="L55" s="49" t="s">
        <v>116</v>
      </c>
      <c r="M55" s="46" t="s">
        <v>117</v>
      </c>
      <c r="N55" s="50">
        <v>0</v>
      </c>
      <c r="O55" s="50">
        <v>0</v>
      </c>
      <c r="P55" s="50">
        <v>0</v>
      </c>
      <c r="Q55" s="46" t="s">
        <v>102</v>
      </c>
      <c r="R55" s="46" t="s">
        <v>102</v>
      </c>
      <c r="S55" s="46" t="s">
        <v>102</v>
      </c>
      <c r="T55" s="46" t="s">
        <v>259</v>
      </c>
      <c r="U55" s="51">
        <v>4</v>
      </c>
    </row>
    <row r="56" spans="2:21" ht="14.5" outlineLevel="3">
      <c r="B56" s="44" t="s">
        <v>343</v>
      </c>
      <c r="C56" s="45" t="s">
        <v>344</v>
      </c>
      <c r="D56" s="46" t="s">
        <v>111</v>
      </c>
      <c r="E56" s="47" t="s">
        <v>112</v>
      </c>
      <c r="F56" s="46" t="s">
        <v>345</v>
      </c>
      <c r="G56" s="47" t="s">
        <v>346</v>
      </c>
      <c r="H56" s="48">
        <v>1360</v>
      </c>
      <c r="I56" s="48">
        <v>365372.1</v>
      </c>
      <c r="J56" s="47" t="s">
        <v>115</v>
      </c>
      <c r="K56" s="49">
        <v>2</v>
      </c>
      <c r="L56" s="49" t="s">
        <v>116</v>
      </c>
      <c r="M56" s="46" t="s">
        <v>117</v>
      </c>
      <c r="N56" s="50">
        <v>0</v>
      </c>
      <c r="O56" s="50">
        <v>0</v>
      </c>
      <c r="P56" s="50">
        <v>0</v>
      </c>
      <c r="Q56" s="46" t="s">
        <v>102</v>
      </c>
      <c r="R56" s="46" t="s">
        <v>102</v>
      </c>
      <c r="S56" s="46" t="s">
        <v>102</v>
      </c>
      <c r="T56" s="46" t="s">
        <v>192</v>
      </c>
      <c r="U56" s="51">
        <v>4</v>
      </c>
    </row>
    <row r="57" spans="2:21" ht="14.5" outlineLevel="3">
      <c r="B57" s="44" t="s">
        <v>347</v>
      </c>
      <c r="C57" s="45" t="s">
        <v>348</v>
      </c>
      <c r="D57" s="46" t="s">
        <v>179</v>
      </c>
      <c r="E57" s="47" t="s">
        <v>112</v>
      </c>
      <c r="F57" s="46" t="s">
        <v>349</v>
      </c>
      <c r="G57" s="47" t="s">
        <v>350</v>
      </c>
      <c r="H57" s="48">
        <v>1050</v>
      </c>
      <c r="I57" s="48">
        <v>23383.8</v>
      </c>
      <c r="J57" s="47" t="s">
        <v>115</v>
      </c>
      <c r="K57" s="49">
        <v>2</v>
      </c>
      <c r="L57" s="49" t="s">
        <v>116</v>
      </c>
      <c r="M57" s="46" t="s">
        <v>117</v>
      </c>
      <c r="N57" s="50">
        <v>0</v>
      </c>
      <c r="O57" s="50">
        <v>0</v>
      </c>
      <c r="P57" s="50">
        <v>0</v>
      </c>
      <c r="Q57" s="46" t="s">
        <v>102</v>
      </c>
      <c r="R57" s="46" t="s">
        <v>102</v>
      </c>
      <c r="S57" s="46" t="s">
        <v>102</v>
      </c>
      <c r="T57" s="46" t="s">
        <v>268</v>
      </c>
      <c r="U57" s="51">
        <v>4</v>
      </c>
    </row>
    <row r="58" spans="2:21" ht="14.5" outlineLevel="3">
      <c r="B58" s="44" t="s">
        <v>351</v>
      </c>
      <c r="C58" s="45" t="s">
        <v>352</v>
      </c>
      <c r="D58" s="46" t="s">
        <v>165</v>
      </c>
      <c r="E58" s="47" t="s">
        <v>112</v>
      </c>
      <c r="F58" s="46" t="s">
        <v>353</v>
      </c>
      <c r="G58" s="47" t="s">
        <v>354</v>
      </c>
      <c r="H58" s="48">
        <v>1050</v>
      </c>
      <c r="I58" s="48">
        <v>54000</v>
      </c>
      <c r="J58" s="47" t="s">
        <v>115</v>
      </c>
      <c r="K58" s="49">
        <v>2</v>
      </c>
      <c r="L58" s="49" t="s">
        <v>116</v>
      </c>
      <c r="M58" s="46" t="s">
        <v>117</v>
      </c>
      <c r="N58" s="50">
        <v>0</v>
      </c>
      <c r="O58" s="50">
        <v>0</v>
      </c>
      <c r="P58" s="50">
        <v>0</v>
      </c>
      <c r="Q58" s="46" t="s">
        <v>102</v>
      </c>
      <c r="R58" s="46" t="s">
        <v>102</v>
      </c>
      <c r="S58" s="46" t="s">
        <v>102</v>
      </c>
      <c r="T58" s="46" t="s">
        <v>283</v>
      </c>
      <c r="U58" s="51">
        <v>4</v>
      </c>
    </row>
    <row r="59" spans="2:21" ht="14.5" outlineLevel="3">
      <c r="B59" s="44" t="s">
        <v>355</v>
      </c>
      <c r="C59" s="45" t="s">
        <v>356</v>
      </c>
      <c r="D59" s="46" t="s">
        <v>179</v>
      </c>
      <c r="E59" s="47" t="s">
        <v>112</v>
      </c>
      <c r="F59" s="46" t="s">
        <v>357</v>
      </c>
      <c r="G59" s="47" t="s">
        <v>358</v>
      </c>
      <c r="H59" s="48">
        <v>250</v>
      </c>
      <c r="I59" s="48">
        <v>198000</v>
      </c>
      <c r="J59" s="47" t="s">
        <v>115</v>
      </c>
      <c r="K59" s="49">
        <v>2</v>
      </c>
      <c r="L59" s="49" t="s">
        <v>116</v>
      </c>
      <c r="M59" s="46" t="s">
        <v>117</v>
      </c>
      <c r="N59" s="50">
        <v>0</v>
      </c>
      <c r="O59" s="50">
        <v>0</v>
      </c>
      <c r="P59" s="50">
        <v>0</v>
      </c>
      <c r="Q59" s="46" t="s">
        <v>102</v>
      </c>
      <c r="R59" s="46" t="s">
        <v>102</v>
      </c>
      <c r="S59" s="46" t="s">
        <v>102</v>
      </c>
      <c r="T59" s="46" t="s">
        <v>288</v>
      </c>
      <c r="U59" s="51">
        <v>4</v>
      </c>
    </row>
    <row r="60" spans="2:21" ht="14.5" outlineLevel="3">
      <c r="B60" s="44" t="s">
        <v>359</v>
      </c>
      <c r="C60" s="45" t="s">
        <v>360</v>
      </c>
      <c r="D60" s="46" t="s">
        <v>111</v>
      </c>
      <c r="E60" s="47" t="s">
        <v>112</v>
      </c>
      <c r="F60" s="46" t="s">
        <v>361</v>
      </c>
      <c r="G60" s="47" t="s">
        <v>362</v>
      </c>
      <c r="H60" s="48">
        <v>430.4</v>
      </c>
      <c r="I60" s="48">
        <v>2700</v>
      </c>
      <c r="J60" s="47" t="s">
        <v>115</v>
      </c>
      <c r="K60" s="49">
        <v>2</v>
      </c>
      <c r="L60" s="49" t="s">
        <v>116</v>
      </c>
      <c r="M60" s="46" t="s">
        <v>117</v>
      </c>
      <c r="N60" s="50">
        <v>0</v>
      </c>
      <c r="O60" s="50">
        <v>0</v>
      </c>
      <c r="P60" s="50">
        <v>0</v>
      </c>
      <c r="Q60" s="46" t="s">
        <v>102</v>
      </c>
      <c r="R60" s="46" t="s">
        <v>102</v>
      </c>
      <c r="S60" s="46" t="s">
        <v>102</v>
      </c>
      <c r="T60" s="46" t="s">
        <v>203</v>
      </c>
      <c r="U60" s="51">
        <v>4</v>
      </c>
    </row>
    <row r="61" spans="2:21" ht="14.5" outlineLevel="2">
      <c r="B61" s="36" t="s">
        <v>363</v>
      </c>
      <c r="C61" s="37" t="s">
        <v>364</v>
      </c>
      <c r="D61" s="38" t="s">
        <v>102</v>
      </c>
      <c r="E61" s="39" t="s">
        <v>102</v>
      </c>
      <c r="F61" s="38" t="s">
        <v>102</v>
      </c>
      <c r="G61" s="39" t="s">
        <v>102</v>
      </c>
      <c r="H61" s="40">
        <v>0</v>
      </c>
      <c r="I61" s="40">
        <v>0</v>
      </c>
      <c r="J61" s="39" t="s">
        <v>102</v>
      </c>
      <c r="K61" s="41">
        <v>0</v>
      </c>
      <c r="L61" s="41" t="s">
        <v>102</v>
      </c>
      <c r="M61" s="38" t="s">
        <v>102</v>
      </c>
      <c r="N61" s="42">
        <v>0</v>
      </c>
      <c r="O61" s="42">
        <v>0</v>
      </c>
      <c r="P61" s="42">
        <v>0</v>
      </c>
      <c r="Q61" s="38" t="s">
        <v>102</v>
      </c>
      <c r="R61" s="38" t="s">
        <v>102</v>
      </c>
      <c r="S61" s="38" t="s">
        <v>365</v>
      </c>
      <c r="T61" s="38" t="s">
        <v>102</v>
      </c>
      <c r="U61" s="43">
        <v>3</v>
      </c>
    </row>
    <row r="62" spans="2:21" ht="14.5" outlineLevel="3">
      <c r="B62" s="44" t="s">
        <v>366</v>
      </c>
      <c r="C62" s="45" t="s">
        <v>367</v>
      </c>
      <c r="D62" s="46" t="s">
        <v>165</v>
      </c>
      <c r="E62" s="47" t="s">
        <v>112</v>
      </c>
      <c r="F62" s="46" t="s">
        <v>368</v>
      </c>
      <c r="G62" s="47" t="s">
        <v>369</v>
      </c>
      <c r="H62" s="48">
        <v>318.72000000000003</v>
      </c>
      <c r="I62" s="48">
        <v>198000</v>
      </c>
      <c r="J62" s="47" t="s">
        <v>115</v>
      </c>
      <c r="K62" s="49">
        <v>2</v>
      </c>
      <c r="L62" s="49" t="s">
        <v>116</v>
      </c>
      <c r="M62" s="46" t="s">
        <v>117</v>
      </c>
      <c r="N62" s="50">
        <v>0</v>
      </c>
      <c r="O62" s="50">
        <v>0</v>
      </c>
      <c r="P62" s="50">
        <v>0</v>
      </c>
      <c r="Q62" s="46" t="s">
        <v>102</v>
      </c>
      <c r="R62" s="46" t="s">
        <v>102</v>
      </c>
      <c r="S62" s="46" t="s">
        <v>102</v>
      </c>
      <c r="T62" s="46" t="s">
        <v>118</v>
      </c>
      <c r="U62" s="51">
        <v>4</v>
      </c>
    </row>
    <row r="63" spans="2:21" ht="14.5" outlineLevel="3">
      <c r="B63" s="44" t="s">
        <v>370</v>
      </c>
      <c r="C63" s="45" t="s">
        <v>371</v>
      </c>
      <c r="D63" s="46" t="s">
        <v>165</v>
      </c>
      <c r="E63" s="47" t="s">
        <v>112</v>
      </c>
      <c r="F63" s="46" t="s">
        <v>372</v>
      </c>
      <c r="G63" s="47" t="s">
        <v>373</v>
      </c>
      <c r="H63" s="48">
        <v>690</v>
      </c>
      <c r="I63" s="48">
        <v>10032.49</v>
      </c>
      <c r="J63" s="47" t="s">
        <v>115</v>
      </c>
      <c r="K63" s="49">
        <v>2</v>
      </c>
      <c r="L63" s="49" t="s">
        <v>116</v>
      </c>
      <c r="M63" s="46" t="s">
        <v>117</v>
      </c>
      <c r="N63" s="50">
        <v>0</v>
      </c>
      <c r="O63" s="50">
        <v>0</v>
      </c>
      <c r="P63" s="50">
        <v>0</v>
      </c>
      <c r="Q63" s="46" t="s">
        <v>102</v>
      </c>
      <c r="R63" s="46" t="s">
        <v>102</v>
      </c>
      <c r="S63" s="46" t="s">
        <v>102</v>
      </c>
      <c r="T63" s="46" t="s">
        <v>123</v>
      </c>
      <c r="U63" s="51">
        <v>4</v>
      </c>
    </row>
    <row r="64" spans="2:21" ht="14.5" outlineLevel="3">
      <c r="B64" s="44" t="s">
        <v>374</v>
      </c>
      <c r="C64" s="45" t="s">
        <v>375</v>
      </c>
      <c r="D64" s="46" t="s">
        <v>165</v>
      </c>
      <c r="E64" s="47" t="s">
        <v>112</v>
      </c>
      <c r="F64" s="46" t="s">
        <v>376</v>
      </c>
      <c r="G64" s="47" t="s">
        <v>377</v>
      </c>
      <c r="H64" s="48">
        <v>720</v>
      </c>
      <c r="I64" s="48">
        <v>11031.23</v>
      </c>
      <c r="J64" s="47" t="s">
        <v>115</v>
      </c>
      <c r="K64" s="49">
        <v>2</v>
      </c>
      <c r="L64" s="49" t="s">
        <v>116</v>
      </c>
      <c r="M64" s="46" t="s">
        <v>117</v>
      </c>
      <c r="N64" s="50">
        <v>0</v>
      </c>
      <c r="O64" s="50">
        <v>0</v>
      </c>
      <c r="P64" s="50">
        <v>0</v>
      </c>
      <c r="Q64" s="46" t="s">
        <v>102</v>
      </c>
      <c r="R64" s="46" t="s">
        <v>102</v>
      </c>
      <c r="S64" s="46" t="s">
        <v>102</v>
      </c>
      <c r="T64" s="46" t="s">
        <v>128</v>
      </c>
      <c r="U64" s="51">
        <v>4</v>
      </c>
    </row>
    <row r="65" spans="2:21" ht="14.5" outlineLevel="3">
      <c r="B65" s="44" t="s">
        <v>378</v>
      </c>
      <c r="C65" s="45" t="s">
        <v>379</v>
      </c>
      <c r="D65" s="46" t="s">
        <v>165</v>
      </c>
      <c r="E65" s="47" t="s">
        <v>112</v>
      </c>
      <c r="F65" s="46" t="s">
        <v>380</v>
      </c>
      <c r="G65" s="47" t="s">
        <v>381</v>
      </c>
      <c r="H65" s="48">
        <v>745</v>
      </c>
      <c r="I65" s="48">
        <v>8729.51</v>
      </c>
      <c r="J65" s="47" t="s">
        <v>115</v>
      </c>
      <c r="K65" s="49">
        <v>2</v>
      </c>
      <c r="L65" s="49" t="s">
        <v>116</v>
      </c>
      <c r="M65" s="46" t="s">
        <v>117</v>
      </c>
      <c r="N65" s="50">
        <v>0</v>
      </c>
      <c r="O65" s="50">
        <v>0</v>
      </c>
      <c r="P65" s="50">
        <v>0</v>
      </c>
      <c r="Q65" s="46" t="s">
        <v>102</v>
      </c>
      <c r="R65" s="46" t="s">
        <v>102</v>
      </c>
      <c r="S65" s="46" t="s">
        <v>102</v>
      </c>
      <c r="T65" s="46" t="s">
        <v>133</v>
      </c>
      <c r="U65" s="51">
        <v>4</v>
      </c>
    </row>
    <row r="66" spans="2:21" ht="14.5" outlineLevel="3">
      <c r="B66" s="44" t="s">
        <v>382</v>
      </c>
      <c r="C66" s="45" t="s">
        <v>383</v>
      </c>
      <c r="D66" s="46" t="s">
        <v>384</v>
      </c>
      <c r="E66" s="47" t="s">
        <v>112</v>
      </c>
      <c r="F66" s="46" t="s">
        <v>385</v>
      </c>
      <c r="G66" s="47" t="s">
        <v>386</v>
      </c>
      <c r="H66" s="48">
        <v>53000</v>
      </c>
      <c r="I66" s="48">
        <v>133.29</v>
      </c>
      <c r="J66" s="47" t="s">
        <v>115</v>
      </c>
      <c r="K66" s="49">
        <v>2</v>
      </c>
      <c r="L66" s="49" t="s">
        <v>116</v>
      </c>
      <c r="M66" s="46" t="s">
        <v>117</v>
      </c>
      <c r="N66" s="50">
        <v>0</v>
      </c>
      <c r="O66" s="50">
        <v>0</v>
      </c>
      <c r="P66" s="50">
        <v>0</v>
      </c>
      <c r="Q66" s="46" t="s">
        <v>102</v>
      </c>
      <c r="R66" s="46" t="s">
        <v>102</v>
      </c>
      <c r="S66" s="46" t="s">
        <v>102</v>
      </c>
      <c r="T66" s="46" t="s">
        <v>138</v>
      </c>
      <c r="U66" s="51">
        <v>4</v>
      </c>
    </row>
    <row r="67" spans="2:21" ht="14.5" outlineLevel="2">
      <c r="B67" s="36" t="s">
        <v>387</v>
      </c>
      <c r="C67" s="37" t="s">
        <v>388</v>
      </c>
      <c r="D67" s="38" t="s">
        <v>102</v>
      </c>
      <c r="E67" s="39" t="s">
        <v>102</v>
      </c>
      <c r="F67" s="38" t="s">
        <v>102</v>
      </c>
      <c r="G67" s="39" t="s">
        <v>102</v>
      </c>
      <c r="H67" s="40">
        <v>0</v>
      </c>
      <c r="I67" s="40">
        <v>0</v>
      </c>
      <c r="J67" s="39" t="s">
        <v>102</v>
      </c>
      <c r="K67" s="41">
        <v>0</v>
      </c>
      <c r="L67" s="41" t="s">
        <v>102</v>
      </c>
      <c r="M67" s="38" t="s">
        <v>102</v>
      </c>
      <c r="N67" s="42">
        <v>0</v>
      </c>
      <c r="O67" s="42">
        <v>0</v>
      </c>
      <c r="P67" s="42">
        <v>0</v>
      </c>
      <c r="Q67" s="38" t="s">
        <v>102</v>
      </c>
      <c r="R67" s="38" t="s">
        <v>102</v>
      </c>
      <c r="S67" s="38" t="s">
        <v>389</v>
      </c>
      <c r="T67" s="38" t="s">
        <v>102</v>
      </c>
      <c r="U67" s="43">
        <v>3</v>
      </c>
    </row>
    <row r="68" spans="2:21" ht="14.5" outlineLevel="3">
      <c r="B68" s="44" t="s">
        <v>390</v>
      </c>
      <c r="C68" s="45" t="s">
        <v>391</v>
      </c>
      <c r="D68" s="46" t="s">
        <v>392</v>
      </c>
      <c r="E68" s="47" t="s">
        <v>112</v>
      </c>
      <c r="F68" s="46" t="s">
        <v>393</v>
      </c>
      <c r="G68" s="47" t="s">
        <v>394</v>
      </c>
      <c r="H68" s="48">
        <v>72500000</v>
      </c>
      <c r="I68" s="48">
        <v>1</v>
      </c>
      <c r="J68" s="47" t="s">
        <v>395</v>
      </c>
      <c r="K68" s="49">
        <v>2</v>
      </c>
      <c r="L68" s="49" t="s">
        <v>116</v>
      </c>
      <c r="M68" s="46" t="s">
        <v>117</v>
      </c>
      <c r="N68" s="50">
        <v>0</v>
      </c>
      <c r="O68" s="50">
        <v>0</v>
      </c>
      <c r="P68" s="50">
        <v>0</v>
      </c>
      <c r="Q68" s="46" t="s">
        <v>102</v>
      </c>
      <c r="R68" s="46" t="s">
        <v>102</v>
      </c>
      <c r="S68" s="46" t="s">
        <v>102</v>
      </c>
      <c r="T68" s="46" t="s">
        <v>118</v>
      </c>
      <c r="U68" s="51">
        <v>4</v>
      </c>
    </row>
    <row r="69" spans="2:21" ht="14.5" outlineLevel="2">
      <c r="B69" s="36" t="s">
        <v>396</v>
      </c>
      <c r="C69" s="37" t="s">
        <v>397</v>
      </c>
      <c r="D69" s="38" t="s">
        <v>102</v>
      </c>
      <c r="E69" s="39" t="s">
        <v>102</v>
      </c>
      <c r="F69" s="38" t="s">
        <v>102</v>
      </c>
      <c r="G69" s="39" t="s">
        <v>102</v>
      </c>
      <c r="H69" s="40">
        <v>0</v>
      </c>
      <c r="I69" s="40">
        <v>0</v>
      </c>
      <c r="J69" s="39" t="s">
        <v>102</v>
      </c>
      <c r="K69" s="41">
        <v>0</v>
      </c>
      <c r="L69" s="41" t="s">
        <v>102</v>
      </c>
      <c r="M69" s="38" t="s">
        <v>102</v>
      </c>
      <c r="N69" s="42">
        <v>0</v>
      </c>
      <c r="O69" s="42">
        <v>0</v>
      </c>
      <c r="P69" s="42">
        <v>0</v>
      </c>
      <c r="Q69" s="38" t="s">
        <v>102</v>
      </c>
      <c r="R69" s="38" t="s">
        <v>102</v>
      </c>
      <c r="S69" s="38" t="s">
        <v>398</v>
      </c>
      <c r="T69" s="38" t="s">
        <v>102</v>
      </c>
      <c r="U69" s="43">
        <v>3</v>
      </c>
    </row>
    <row r="70" spans="2:21" ht="14.5" outlineLevel="3">
      <c r="B70" s="44" t="s">
        <v>399</v>
      </c>
      <c r="C70" s="45" t="s">
        <v>400</v>
      </c>
      <c r="D70" s="46" t="s">
        <v>392</v>
      </c>
      <c r="E70" s="47" t="s">
        <v>112</v>
      </c>
      <c r="F70" s="46" t="s">
        <v>401</v>
      </c>
      <c r="G70" s="47" t="s">
        <v>402</v>
      </c>
      <c r="H70" s="48">
        <v>381040722.05000001</v>
      </c>
      <c r="I70" s="48">
        <v>1</v>
      </c>
      <c r="J70" s="47" t="s">
        <v>115</v>
      </c>
      <c r="K70" s="49">
        <v>2</v>
      </c>
      <c r="L70" s="49" t="s">
        <v>116</v>
      </c>
      <c r="M70" s="46" t="s">
        <v>117</v>
      </c>
      <c r="N70" s="50">
        <v>0</v>
      </c>
      <c r="O70" s="50">
        <v>0</v>
      </c>
      <c r="P70" s="50">
        <v>0</v>
      </c>
      <c r="Q70" s="46" t="s">
        <v>102</v>
      </c>
      <c r="R70" s="46" t="s">
        <v>102</v>
      </c>
      <c r="S70" s="46" t="s">
        <v>102</v>
      </c>
      <c r="T70" s="46" t="s">
        <v>118</v>
      </c>
      <c r="U70" s="51">
        <v>4</v>
      </c>
    </row>
    <row r="71" spans="2:21" ht="14.5" outlineLevel="1">
      <c r="B71" s="28" t="s">
        <v>403</v>
      </c>
      <c r="C71" s="29" t="s">
        <v>404</v>
      </c>
      <c r="D71" s="30" t="s">
        <v>102</v>
      </c>
      <c r="E71" s="31" t="s">
        <v>102</v>
      </c>
      <c r="F71" s="30" t="s">
        <v>102</v>
      </c>
      <c r="G71" s="31" t="s">
        <v>102</v>
      </c>
      <c r="H71" s="32">
        <v>0</v>
      </c>
      <c r="I71" s="32">
        <v>0</v>
      </c>
      <c r="J71" s="31" t="s">
        <v>102</v>
      </c>
      <c r="K71" s="33">
        <v>0</v>
      </c>
      <c r="L71" s="33" t="s">
        <v>102</v>
      </c>
      <c r="M71" s="30" t="s">
        <v>102</v>
      </c>
      <c r="N71" s="34">
        <v>0</v>
      </c>
      <c r="O71" s="34">
        <v>0</v>
      </c>
      <c r="P71" s="34">
        <v>0</v>
      </c>
      <c r="Q71" s="30" t="s">
        <v>102</v>
      </c>
      <c r="R71" s="30" t="s">
        <v>405</v>
      </c>
      <c r="S71" s="30" t="s">
        <v>102</v>
      </c>
      <c r="T71" s="30" t="s">
        <v>102</v>
      </c>
      <c r="U71" s="35">
        <v>2</v>
      </c>
    </row>
    <row r="72" spans="2:21" ht="14.5" outlineLevel="2">
      <c r="B72" s="36" t="s">
        <v>406</v>
      </c>
      <c r="C72" s="37" t="s">
        <v>407</v>
      </c>
      <c r="D72" s="38" t="s">
        <v>102</v>
      </c>
      <c r="E72" s="39" t="s">
        <v>102</v>
      </c>
      <c r="F72" s="38" t="s">
        <v>102</v>
      </c>
      <c r="G72" s="39" t="s">
        <v>102</v>
      </c>
      <c r="H72" s="40">
        <v>0</v>
      </c>
      <c r="I72" s="40">
        <v>0</v>
      </c>
      <c r="J72" s="39" t="s">
        <v>102</v>
      </c>
      <c r="K72" s="41">
        <v>0</v>
      </c>
      <c r="L72" s="41" t="s">
        <v>102</v>
      </c>
      <c r="M72" s="38" t="s">
        <v>102</v>
      </c>
      <c r="N72" s="42">
        <v>0</v>
      </c>
      <c r="O72" s="42">
        <v>0</v>
      </c>
      <c r="P72" s="42">
        <v>0</v>
      </c>
      <c r="Q72" s="38" t="s">
        <v>102</v>
      </c>
      <c r="R72" s="38" t="s">
        <v>102</v>
      </c>
      <c r="S72" s="38" t="s">
        <v>408</v>
      </c>
      <c r="T72" s="38" t="s">
        <v>102</v>
      </c>
      <c r="U72" s="43">
        <v>3</v>
      </c>
    </row>
    <row r="73" spans="2:21" ht="14.5" outlineLevel="3">
      <c r="B73" s="44" t="s">
        <v>409</v>
      </c>
      <c r="C73" s="45" t="s">
        <v>410</v>
      </c>
      <c r="D73" s="46" t="s">
        <v>165</v>
      </c>
      <c r="E73" s="47" t="s">
        <v>411</v>
      </c>
      <c r="F73" s="46" t="s">
        <v>412</v>
      </c>
      <c r="G73" s="47" t="s">
        <v>413</v>
      </c>
      <c r="H73" s="48">
        <v>82</v>
      </c>
      <c r="I73" s="48">
        <v>48379.45</v>
      </c>
      <c r="J73" s="47" t="s">
        <v>115</v>
      </c>
      <c r="K73" s="49">
        <v>2</v>
      </c>
      <c r="L73" s="49" t="s">
        <v>116</v>
      </c>
      <c r="M73" s="46" t="s">
        <v>117</v>
      </c>
      <c r="N73" s="50">
        <v>0</v>
      </c>
      <c r="O73" s="50">
        <v>0</v>
      </c>
      <c r="P73" s="50">
        <v>0</v>
      </c>
      <c r="Q73" s="46" t="s">
        <v>102</v>
      </c>
      <c r="R73" s="46" t="s">
        <v>102</v>
      </c>
      <c r="S73" s="46" t="s">
        <v>102</v>
      </c>
      <c r="T73" s="46" t="s">
        <v>259</v>
      </c>
      <c r="U73" s="51">
        <v>4</v>
      </c>
    </row>
    <row r="74" spans="2:21" ht="14.5" outlineLevel="3">
      <c r="B74" s="44" t="s">
        <v>414</v>
      </c>
      <c r="C74" s="45" t="s">
        <v>415</v>
      </c>
      <c r="D74" s="46" t="s">
        <v>111</v>
      </c>
      <c r="E74" s="47" t="s">
        <v>411</v>
      </c>
      <c r="F74" s="46" t="s">
        <v>416</v>
      </c>
      <c r="G74" s="47" t="s">
        <v>417</v>
      </c>
      <c r="H74" s="48">
        <v>207.5</v>
      </c>
      <c r="I74" s="48">
        <v>376065.02</v>
      </c>
      <c r="J74" s="47" t="s">
        <v>115</v>
      </c>
      <c r="K74" s="49">
        <v>2</v>
      </c>
      <c r="L74" s="49" t="s">
        <v>116</v>
      </c>
      <c r="M74" s="46" t="s">
        <v>117</v>
      </c>
      <c r="N74" s="50">
        <v>0</v>
      </c>
      <c r="O74" s="50">
        <v>0</v>
      </c>
      <c r="P74" s="50">
        <v>0</v>
      </c>
      <c r="Q74" s="46" t="s">
        <v>102</v>
      </c>
      <c r="R74" s="46" t="s">
        <v>102</v>
      </c>
      <c r="S74" s="46" t="s">
        <v>102</v>
      </c>
      <c r="T74" s="46" t="s">
        <v>418</v>
      </c>
      <c r="U74" s="51">
        <v>4</v>
      </c>
    </row>
    <row r="75" spans="2:21" ht="14.5" outlineLevel="3">
      <c r="B75" s="44" t="s">
        <v>419</v>
      </c>
      <c r="C75" s="45" t="s">
        <v>420</v>
      </c>
      <c r="D75" s="46" t="s">
        <v>276</v>
      </c>
      <c r="E75" s="47" t="s">
        <v>411</v>
      </c>
      <c r="F75" s="46" t="s">
        <v>421</v>
      </c>
      <c r="G75" s="47" t="s">
        <v>422</v>
      </c>
      <c r="H75" s="48">
        <v>201</v>
      </c>
      <c r="I75" s="48">
        <v>160414.69</v>
      </c>
      <c r="J75" s="47" t="s">
        <v>115</v>
      </c>
      <c r="K75" s="49">
        <v>2</v>
      </c>
      <c r="L75" s="49" t="s">
        <v>116</v>
      </c>
      <c r="M75" s="46" t="s">
        <v>117</v>
      </c>
      <c r="N75" s="50">
        <v>0</v>
      </c>
      <c r="O75" s="50">
        <v>0</v>
      </c>
      <c r="P75" s="50">
        <v>0</v>
      </c>
      <c r="Q75" s="46" t="s">
        <v>102</v>
      </c>
      <c r="R75" s="46" t="s">
        <v>102</v>
      </c>
      <c r="S75" s="46" t="s">
        <v>102</v>
      </c>
      <c r="T75" s="46" t="s">
        <v>223</v>
      </c>
      <c r="U75" s="51">
        <v>4</v>
      </c>
    </row>
    <row r="76" spans="2:21" ht="14.5" outlineLevel="3">
      <c r="B76" s="44" t="s">
        <v>423</v>
      </c>
      <c r="C76" s="45" t="s">
        <v>424</v>
      </c>
      <c r="D76" s="46" t="s">
        <v>276</v>
      </c>
      <c r="E76" s="47" t="s">
        <v>411</v>
      </c>
      <c r="F76" s="46" t="s">
        <v>425</v>
      </c>
      <c r="G76" s="47" t="s">
        <v>426</v>
      </c>
      <c r="H76" s="48">
        <v>839</v>
      </c>
      <c r="I76" s="48">
        <v>24864</v>
      </c>
      <c r="J76" s="47" t="s">
        <v>115</v>
      </c>
      <c r="K76" s="49">
        <v>2</v>
      </c>
      <c r="L76" s="49" t="s">
        <v>116</v>
      </c>
      <c r="M76" s="46" t="s">
        <v>117</v>
      </c>
      <c r="N76" s="50">
        <v>0</v>
      </c>
      <c r="O76" s="50">
        <v>0</v>
      </c>
      <c r="P76" s="50">
        <v>0</v>
      </c>
      <c r="Q76" s="46" t="s">
        <v>102</v>
      </c>
      <c r="R76" s="46" t="s">
        <v>102</v>
      </c>
      <c r="S76" s="46" t="s">
        <v>102</v>
      </c>
      <c r="T76" s="46" t="s">
        <v>427</v>
      </c>
      <c r="U76" s="51">
        <v>4</v>
      </c>
    </row>
    <row r="77" spans="2:21" ht="14.5" outlineLevel="3">
      <c r="B77" s="44" t="s">
        <v>428</v>
      </c>
      <c r="C77" s="45" t="s">
        <v>429</v>
      </c>
      <c r="D77" s="46" t="s">
        <v>111</v>
      </c>
      <c r="E77" s="47" t="s">
        <v>411</v>
      </c>
      <c r="F77" s="46" t="s">
        <v>430</v>
      </c>
      <c r="G77" s="47" t="s">
        <v>431</v>
      </c>
      <c r="H77" s="48">
        <v>410</v>
      </c>
      <c r="I77" s="48">
        <v>329195.32</v>
      </c>
      <c r="J77" s="47" t="s">
        <v>115</v>
      </c>
      <c r="K77" s="49">
        <v>2</v>
      </c>
      <c r="L77" s="49" t="s">
        <v>116</v>
      </c>
      <c r="M77" s="46" t="s">
        <v>117</v>
      </c>
      <c r="N77" s="50">
        <v>0</v>
      </c>
      <c r="O77" s="50">
        <v>0</v>
      </c>
      <c r="P77" s="50">
        <v>0</v>
      </c>
      <c r="Q77" s="46" t="s">
        <v>102</v>
      </c>
      <c r="R77" s="46" t="s">
        <v>102</v>
      </c>
      <c r="S77" s="46" t="s">
        <v>102</v>
      </c>
      <c r="T77" s="46" t="s">
        <v>432</v>
      </c>
      <c r="U77" s="51">
        <v>4</v>
      </c>
    </row>
    <row r="78" spans="2:21" ht="14.5" outlineLevel="3">
      <c r="B78" s="44" t="s">
        <v>433</v>
      </c>
      <c r="C78" s="45" t="s">
        <v>434</v>
      </c>
      <c r="D78" s="46" t="s">
        <v>111</v>
      </c>
      <c r="E78" s="47" t="s">
        <v>411</v>
      </c>
      <c r="F78" s="46" t="s">
        <v>435</v>
      </c>
      <c r="G78" s="47" t="s">
        <v>431</v>
      </c>
      <c r="H78" s="48">
        <v>445</v>
      </c>
      <c r="I78" s="48">
        <v>282591.28000000003</v>
      </c>
      <c r="J78" s="47" t="s">
        <v>115</v>
      </c>
      <c r="K78" s="49">
        <v>2</v>
      </c>
      <c r="L78" s="49" t="s">
        <v>116</v>
      </c>
      <c r="M78" s="46" t="s">
        <v>117</v>
      </c>
      <c r="N78" s="50">
        <v>0</v>
      </c>
      <c r="O78" s="50">
        <v>0</v>
      </c>
      <c r="P78" s="50">
        <v>0</v>
      </c>
      <c r="Q78" s="46" t="s">
        <v>102</v>
      </c>
      <c r="R78" s="46" t="s">
        <v>102</v>
      </c>
      <c r="S78" s="46" t="s">
        <v>102</v>
      </c>
      <c r="T78" s="46" t="s">
        <v>436</v>
      </c>
      <c r="U78" s="51">
        <v>4</v>
      </c>
    </row>
    <row r="79" spans="2:21" ht="14.5" outlineLevel="3">
      <c r="B79" s="44" t="s">
        <v>437</v>
      </c>
      <c r="C79" s="45" t="s">
        <v>438</v>
      </c>
      <c r="D79" s="46" t="s">
        <v>165</v>
      </c>
      <c r="E79" s="47" t="s">
        <v>411</v>
      </c>
      <c r="F79" s="46" t="s">
        <v>439</v>
      </c>
      <c r="G79" s="47" t="s">
        <v>440</v>
      </c>
      <c r="H79" s="48">
        <v>4487</v>
      </c>
      <c r="I79" s="48">
        <v>129236.63</v>
      </c>
      <c r="J79" s="47" t="s">
        <v>115</v>
      </c>
      <c r="K79" s="49">
        <v>2</v>
      </c>
      <c r="L79" s="49" t="s">
        <v>116</v>
      </c>
      <c r="M79" s="46" t="s">
        <v>117</v>
      </c>
      <c r="N79" s="50">
        <v>0</v>
      </c>
      <c r="O79" s="50">
        <v>0</v>
      </c>
      <c r="P79" s="50">
        <v>0</v>
      </c>
      <c r="Q79" s="46" t="s">
        <v>102</v>
      </c>
      <c r="R79" s="46" t="s">
        <v>102</v>
      </c>
      <c r="S79" s="46" t="s">
        <v>102</v>
      </c>
      <c r="T79" s="46" t="s">
        <v>441</v>
      </c>
      <c r="U79" s="51">
        <v>4</v>
      </c>
    </row>
    <row r="80" spans="2:21" ht="14.5" outlineLevel="3">
      <c r="B80" s="44" t="s">
        <v>442</v>
      </c>
      <c r="C80" s="45" t="s">
        <v>443</v>
      </c>
      <c r="D80" s="46" t="s">
        <v>165</v>
      </c>
      <c r="E80" s="47" t="s">
        <v>411</v>
      </c>
      <c r="F80" s="46" t="s">
        <v>444</v>
      </c>
      <c r="G80" s="47" t="s">
        <v>440</v>
      </c>
      <c r="H80" s="48">
        <v>4487</v>
      </c>
      <c r="I80" s="48">
        <v>129236.63</v>
      </c>
      <c r="J80" s="47" t="s">
        <v>115</v>
      </c>
      <c r="K80" s="49">
        <v>2</v>
      </c>
      <c r="L80" s="49" t="s">
        <v>116</v>
      </c>
      <c r="M80" s="46" t="s">
        <v>117</v>
      </c>
      <c r="N80" s="50">
        <v>0</v>
      </c>
      <c r="O80" s="50">
        <v>0</v>
      </c>
      <c r="P80" s="50">
        <v>0</v>
      </c>
      <c r="Q80" s="46" t="s">
        <v>102</v>
      </c>
      <c r="R80" s="46" t="s">
        <v>102</v>
      </c>
      <c r="S80" s="46" t="s">
        <v>102</v>
      </c>
      <c r="T80" s="46" t="s">
        <v>445</v>
      </c>
      <c r="U80" s="51">
        <v>4</v>
      </c>
    </row>
    <row r="81" spans="2:21" ht="14.5" outlineLevel="3">
      <c r="B81" s="44" t="s">
        <v>446</v>
      </c>
      <c r="C81" s="45" t="s">
        <v>447</v>
      </c>
      <c r="D81" s="46" t="s">
        <v>165</v>
      </c>
      <c r="E81" s="47" t="s">
        <v>411</v>
      </c>
      <c r="F81" s="46" t="s">
        <v>448</v>
      </c>
      <c r="G81" s="47" t="s">
        <v>449</v>
      </c>
      <c r="H81" s="48">
        <v>7410</v>
      </c>
      <c r="I81" s="48">
        <v>32392</v>
      </c>
      <c r="J81" s="47" t="s">
        <v>115</v>
      </c>
      <c r="K81" s="49">
        <v>2</v>
      </c>
      <c r="L81" s="49" t="s">
        <v>116</v>
      </c>
      <c r="M81" s="46" t="s">
        <v>117</v>
      </c>
      <c r="N81" s="50">
        <v>0</v>
      </c>
      <c r="O81" s="50">
        <v>0</v>
      </c>
      <c r="P81" s="50">
        <v>0</v>
      </c>
      <c r="Q81" s="46" t="s">
        <v>102</v>
      </c>
      <c r="R81" s="46" t="s">
        <v>102</v>
      </c>
      <c r="S81" s="46" t="s">
        <v>102</v>
      </c>
      <c r="T81" s="46" t="s">
        <v>450</v>
      </c>
      <c r="U81" s="51">
        <v>4</v>
      </c>
    </row>
    <row r="82" spans="2:21" ht="14.5" outlineLevel="3">
      <c r="B82" s="44" t="s">
        <v>451</v>
      </c>
      <c r="C82" s="45" t="s">
        <v>452</v>
      </c>
      <c r="D82" s="46" t="s">
        <v>111</v>
      </c>
      <c r="E82" s="47" t="s">
        <v>411</v>
      </c>
      <c r="F82" s="46" t="s">
        <v>453</v>
      </c>
      <c r="G82" s="47" t="s">
        <v>454</v>
      </c>
      <c r="H82" s="48">
        <v>804</v>
      </c>
      <c r="I82" s="48">
        <v>35416</v>
      </c>
      <c r="J82" s="47" t="s">
        <v>115</v>
      </c>
      <c r="K82" s="49">
        <v>2</v>
      </c>
      <c r="L82" s="49" t="s">
        <v>116</v>
      </c>
      <c r="M82" s="46" t="s">
        <v>117</v>
      </c>
      <c r="N82" s="50">
        <v>0</v>
      </c>
      <c r="O82" s="50">
        <v>0</v>
      </c>
      <c r="P82" s="50">
        <v>0</v>
      </c>
      <c r="Q82" s="46" t="s">
        <v>102</v>
      </c>
      <c r="R82" s="46" t="s">
        <v>102</v>
      </c>
      <c r="S82" s="46" t="s">
        <v>102</v>
      </c>
      <c r="T82" s="46" t="s">
        <v>455</v>
      </c>
      <c r="U82" s="51">
        <v>4</v>
      </c>
    </row>
    <row r="83" spans="2:21" ht="14.5" outlineLevel="3">
      <c r="B83" s="44" t="s">
        <v>456</v>
      </c>
      <c r="C83" s="45" t="s">
        <v>457</v>
      </c>
      <c r="D83" s="46" t="s">
        <v>458</v>
      </c>
      <c r="E83" s="47" t="s">
        <v>411</v>
      </c>
      <c r="F83" s="46" t="s">
        <v>459</v>
      </c>
      <c r="G83" s="47" t="s">
        <v>460</v>
      </c>
      <c r="H83" s="48">
        <v>4942000</v>
      </c>
      <c r="I83" s="48">
        <v>24</v>
      </c>
      <c r="J83" s="47" t="s">
        <v>115</v>
      </c>
      <c r="K83" s="49">
        <v>2</v>
      </c>
      <c r="L83" s="49" t="s">
        <v>116</v>
      </c>
      <c r="M83" s="46" t="s">
        <v>117</v>
      </c>
      <c r="N83" s="50">
        <v>0</v>
      </c>
      <c r="O83" s="50">
        <v>0</v>
      </c>
      <c r="P83" s="50">
        <v>0</v>
      </c>
      <c r="Q83" s="46" t="s">
        <v>102</v>
      </c>
      <c r="R83" s="46" t="s">
        <v>102</v>
      </c>
      <c r="S83" s="46" t="s">
        <v>102</v>
      </c>
      <c r="T83" s="46" t="s">
        <v>461</v>
      </c>
      <c r="U83" s="51">
        <v>4</v>
      </c>
    </row>
    <row r="84" spans="2:21" ht="14.5" outlineLevel="3">
      <c r="B84" s="44" t="s">
        <v>462</v>
      </c>
      <c r="C84" s="45" t="s">
        <v>463</v>
      </c>
      <c r="D84" s="46" t="s">
        <v>458</v>
      </c>
      <c r="E84" s="47" t="s">
        <v>411</v>
      </c>
      <c r="F84" s="46" t="s">
        <v>464</v>
      </c>
      <c r="G84" s="47" t="s">
        <v>465</v>
      </c>
      <c r="H84" s="48">
        <v>4224000</v>
      </c>
      <c r="I84" s="48">
        <v>8</v>
      </c>
      <c r="J84" s="47" t="s">
        <v>115</v>
      </c>
      <c r="K84" s="49">
        <v>2</v>
      </c>
      <c r="L84" s="49" t="s">
        <v>116</v>
      </c>
      <c r="M84" s="46" t="s">
        <v>117</v>
      </c>
      <c r="N84" s="50">
        <v>0</v>
      </c>
      <c r="O84" s="50">
        <v>0</v>
      </c>
      <c r="P84" s="50">
        <v>0</v>
      </c>
      <c r="Q84" s="46" t="s">
        <v>102</v>
      </c>
      <c r="R84" s="46" t="s">
        <v>102</v>
      </c>
      <c r="S84" s="46" t="s">
        <v>102</v>
      </c>
      <c r="T84" s="46" t="s">
        <v>466</v>
      </c>
      <c r="U84" s="51">
        <v>4</v>
      </c>
    </row>
    <row r="85" spans="2:21" ht="14.5" outlineLevel="3">
      <c r="B85" s="44" t="s">
        <v>467</v>
      </c>
      <c r="C85" s="45" t="s">
        <v>468</v>
      </c>
      <c r="D85" s="46" t="s">
        <v>469</v>
      </c>
      <c r="E85" s="47" t="s">
        <v>411</v>
      </c>
      <c r="F85" s="46" t="s">
        <v>470</v>
      </c>
      <c r="G85" s="47" t="s">
        <v>471</v>
      </c>
      <c r="H85" s="48">
        <v>2832000</v>
      </c>
      <c r="I85" s="48">
        <v>8</v>
      </c>
      <c r="J85" s="47" t="s">
        <v>115</v>
      </c>
      <c r="K85" s="49">
        <v>2</v>
      </c>
      <c r="L85" s="49" t="s">
        <v>116</v>
      </c>
      <c r="M85" s="46" t="s">
        <v>117</v>
      </c>
      <c r="N85" s="50">
        <v>0</v>
      </c>
      <c r="O85" s="50">
        <v>0</v>
      </c>
      <c r="P85" s="50">
        <v>0</v>
      </c>
      <c r="Q85" s="46" t="s">
        <v>102</v>
      </c>
      <c r="R85" s="46" t="s">
        <v>102</v>
      </c>
      <c r="S85" s="46" t="s">
        <v>102</v>
      </c>
      <c r="T85" s="46" t="s">
        <v>472</v>
      </c>
      <c r="U85" s="51">
        <v>4</v>
      </c>
    </row>
    <row r="86" spans="2:21" ht="14.5" outlineLevel="3">
      <c r="B86" s="44" t="s">
        <v>473</v>
      </c>
      <c r="C86" s="45" t="s">
        <v>474</v>
      </c>
      <c r="D86" s="46" t="s">
        <v>458</v>
      </c>
      <c r="E86" s="47" t="s">
        <v>411</v>
      </c>
      <c r="F86" s="46" t="s">
        <v>475</v>
      </c>
      <c r="G86" s="47" t="s">
        <v>476</v>
      </c>
      <c r="H86" s="48">
        <v>3732000</v>
      </c>
      <c r="I86" s="48">
        <v>17</v>
      </c>
      <c r="J86" s="47" t="s">
        <v>115</v>
      </c>
      <c r="K86" s="49">
        <v>2</v>
      </c>
      <c r="L86" s="49" t="s">
        <v>116</v>
      </c>
      <c r="M86" s="46" t="s">
        <v>117</v>
      </c>
      <c r="N86" s="50">
        <v>0</v>
      </c>
      <c r="O86" s="50">
        <v>0</v>
      </c>
      <c r="P86" s="50">
        <v>0</v>
      </c>
      <c r="Q86" s="46" t="s">
        <v>102</v>
      </c>
      <c r="R86" s="46" t="s">
        <v>102</v>
      </c>
      <c r="S86" s="46" t="s">
        <v>102</v>
      </c>
      <c r="T86" s="46" t="s">
        <v>477</v>
      </c>
      <c r="U86" s="51">
        <v>4</v>
      </c>
    </row>
    <row r="87" spans="2:21" ht="14.5" outlineLevel="3">
      <c r="B87" s="44" t="s">
        <v>478</v>
      </c>
      <c r="C87" s="45" t="s">
        <v>479</v>
      </c>
      <c r="D87" s="46" t="s">
        <v>458</v>
      </c>
      <c r="E87" s="47" t="s">
        <v>411</v>
      </c>
      <c r="F87" s="46" t="s">
        <v>480</v>
      </c>
      <c r="G87" s="47" t="s">
        <v>481</v>
      </c>
      <c r="H87" s="48">
        <v>3201000</v>
      </c>
      <c r="I87" s="48">
        <v>5</v>
      </c>
      <c r="J87" s="47" t="s">
        <v>115</v>
      </c>
      <c r="K87" s="49">
        <v>2</v>
      </c>
      <c r="L87" s="49" t="s">
        <v>116</v>
      </c>
      <c r="M87" s="46" t="s">
        <v>117</v>
      </c>
      <c r="N87" s="50">
        <v>0</v>
      </c>
      <c r="O87" s="50">
        <v>0</v>
      </c>
      <c r="P87" s="50">
        <v>0</v>
      </c>
      <c r="Q87" s="46" t="s">
        <v>102</v>
      </c>
      <c r="R87" s="46" t="s">
        <v>102</v>
      </c>
      <c r="S87" s="46" t="s">
        <v>102</v>
      </c>
      <c r="T87" s="46" t="s">
        <v>482</v>
      </c>
      <c r="U87" s="51">
        <v>4</v>
      </c>
    </row>
    <row r="88" spans="2:21" ht="14.5" outlineLevel="3">
      <c r="B88" s="44" t="s">
        <v>483</v>
      </c>
      <c r="C88" s="45" t="s">
        <v>484</v>
      </c>
      <c r="D88" s="46" t="s">
        <v>469</v>
      </c>
      <c r="E88" s="47" t="s">
        <v>411</v>
      </c>
      <c r="F88" s="46" t="s">
        <v>485</v>
      </c>
      <c r="G88" s="47" t="s">
        <v>486</v>
      </c>
      <c r="H88" s="48">
        <v>2270000</v>
      </c>
      <c r="I88" s="48">
        <v>5</v>
      </c>
      <c r="J88" s="47" t="s">
        <v>115</v>
      </c>
      <c r="K88" s="49">
        <v>2</v>
      </c>
      <c r="L88" s="49" t="s">
        <v>116</v>
      </c>
      <c r="M88" s="46" t="s">
        <v>117</v>
      </c>
      <c r="N88" s="50">
        <v>0</v>
      </c>
      <c r="O88" s="50">
        <v>0</v>
      </c>
      <c r="P88" s="50">
        <v>0</v>
      </c>
      <c r="Q88" s="46" t="s">
        <v>102</v>
      </c>
      <c r="R88" s="46" t="s">
        <v>102</v>
      </c>
      <c r="S88" s="46" t="s">
        <v>102</v>
      </c>
      <c r="T88" s="46" t="s">
        <v>487</v>
      </c>
      <c r="U88" s="51">
        <v>4</v>
      </c>
    </row>
    <row r="89" spans="2:21" ht="14.5" outlineLevel="3">
      <c r="B89" s="44" t="s">
        <v>488</v>
      </c>
      <c r="C89" s="45" t="s">
        <v>489</v>
      </c>
      <c r="D89" s="46" t="s">
        <v>165</v>
      </c>
      <c r="E89" s="47" t="s">
        <v>411</v>
      </c>
      <c r="F89" s="46" t="s">
        <v>490</v>
      </c>
      <c r="G89" s="47" t="s">
        <v>491</v>
      </c>
      <c r="H89" s="48">
        <v>5.23</v>
      </c>
      <c r="I89" s="48">
        <v>290865.26</v>
      </c>
      <c r="J89" s="47" t="s">
        <v>115</v>
      </c>
      <c r="K89" s="49">
        <v>2</v>
      </c>
      <c r="L89" s="49" t="s">
        <v>116</v>
      </c>
      <c r="M89" s="46" t="s">
        <v>117</v>
      </c>
      <c r="N89" s="50">
        <v>0</v>
      </c>
      <c r="O89" s="50">
        <v>0</v>
      </c>
      <c r="P89" s="50">
        <v>0</v>
      </c>
      <c r="Q89" s="46" t="s">
        <v>102</v>
      </c>
      <c r="R89" s="46" t="s">
        <v>102</v>
      </c>
      <c r="S89" s="46" t="s">
        <v>102</v>
      </c>
      <c r="T89" s="46" t="s">
        <v>492</v>
      </c>
      <c r="U89" s="51">
        <v>4</v>
      </c>
    </row>
    <row r="90" spans="2:21" ht="14.5" outlineLevel="3">
      <c r="B90" s="44" t="s">
        <v>493</v>
      </c>
      <c r="C90" s="45" t="s">
        <v>494</v>
      </c>
      <c r="D90" s="46" t="s">
        <v>165</v>
      </c>
      <c r="E90" s="47" t="s">
        <v>411</v>
      </c>
      <c r="F90" s="46" t="s">
        <v>495</v>
      </c>
      <c r="G90" s="47" t="s">
        <v>496</v>
      </c>
      <c r="H90" s="48">
        <v>42.55</v>
      </c>
      <c r="I90" s="48">
        <v>290865.26</v>
      </c>
      <c r="J90" s="47" t="s">
        <v>115</v>
      </c>
      <c r="K90" s="49">
        <v>2</v>
      </c>
      <c r="L90" s="49" t="s">
        <v>116</v>
      </c>
      <c r="M90" s="46" t="s">
        <v>117</v>
      </c>
      <c r="N90" s="50">
        <v>0</v>
      </c>
      <c r="O90" s="50">
        <v>0</v>
      </c>
      <c r="P90" s="50">
        <v>0</v>
      </c>
      <c r="Q90" s="46" t="s">
        <v>102</v>
      </c>
      <c r="R90" s="46" t="s">
        <v>102</v>
      </c>
      <c r="S90" s="46" t="s">
        <v>102</v>
      </c>
      <c r="T90" s="46" t="s">
        <v>497</v>
      </c>
      <c r="U90" s="51">
        <v>4</v>
      </c>
    </row>
    <row r="91" spans="2:21" ht="14.5" outlineLevel="3">
      <c r="B91" s="44" t="s">
        <v>498</v>
      </c>
      <c r="C91" s="45" t="s">
        <v>499</v>
      </c>
      <c r="D91" s="46" t="s">
        <v>165</v>
      </c>
      <c r="E91" s="47" t="s">
        <v>411</v>
      </c>
      <c r="F91" s="46" t="s">
        <v>500</v>
      </c>
      <c r="G91" s="47" t="s">
        <v>501</v>
      </c>
      <c r="H91" s="48">
        <v>41.28</v>
      </c>
      <c r="I91" s="48">
        <v>290865.26</v>
      </c>
      <c r="J91" s="47" t="s">
        <v>115</v>
      </c>
      <c r="K91" s="49">
        <v>2</v>
      </c>
      <c r="L91" s="49" t="s">
        <v>116</v>
      </c>
      <c r="M91" s="46" t="s">
        <v>117</v>
      </c>
      <c r="N91" s="50">
        <v>0</v>
      </c>
      <c r="O91" s="50">
        <v>0</v>
      </c>
      <c r="P91" s="50">
        <v>0</v>
      </c>
      <c r="Q91" s="46" t="s">
        <v>102</v>
      </c>
      <c r="R91" s="46" t="s">
        <v>102</v>
      </c>
      <c r="S91" s="46" t="s">
        <v>102</v>
      </c>
      <c r="T91" s="46" t="s">
        <v>502</v>
      </c>
      <c r="U91" s="51">
        <v>4</v>
      </c>
    </row>
    <row r="92" spans="2:21" ht="14.5" outlineLevel="3">
      <c r="B92" s="44" t="s">
        <v>503</v>
      </c>
      <c r="C92" s="45" t="s">
        <v>504</v>
      </c>
      <c r="D92" s="46" t="s">
        <v>392</v>
      </c>
      <c r="E92" s="47" t="s">
        <v>411</v>
      </c>
      <c r="F92" s="46" t="s">
        <v>505</v>
      </c>
      <c r="G92" s="47" t="s">
        <v>506</v>
      </c>
      <c r="H92" s="48">
        <v>31795109.379999999</v>
      </c>
      <c r="I92" s="48">
        <v>1</v>
      </c>
      <c r="J92" s="47" t="s">
        <v>115</v>
      </c>
      <c r="K92" s="49">
        <v>2</v>
      </c>
      <c r="L92" s="49" t="s">
        <v>116</v>
      </c>
      <c r="M92" s="46" t="s">
        <v>117</v>
      </c>
      <c r="N92" s="50">
        <v>0</v>
      </c>
      <c r="O92" s="50">
        <v>0</v>
      </c>
      <c r="P92" s="50">
        <v>0</v>
      </c>
      <c r="Q92" s="46" t="s">
        <v>102</v>
      </c>
      <c r="R92" s="46" t="s">
        <v>102</v>
      </c>
      <c r="S92" s="46" t="s">
        <v>102</v>
      </c>
      <c r="T92" s="46" t="s">
        <v>507</v>
      </c>
      <c r="U92" s="51">
        <v>4</v>
      </c>
    </row>
    <row r="93" spans="2:21" ht="14.5" outlineLevel="3">
      <c r="B93" s="44" t="s">
        <v>508</v>
      </c>
      <c r="C93" s="45" t="s">
        <v>509</v>
      </c>
      <c r="D93" s="46" t="s">
        <v>165</v>
      </c>
      <c r="E93" s="47" t="s">
        <v>411</v>
      </c>
      <c r="F93" s="46" t="s">
        <v>510</v>
      </c>
      <c r="G93" s="47" t="s">
        <v>511</v>
      </c>
      <c r="H93" s="48">
        <v>62</v>
      </c>
      <c r="I93" s="48">
        <v>2500</v>
      </c>
      <c r="J93" s="47" t="s">
        <v>115</v>
      </c>
      <c r="K93" s="49">
        <v>2</v>
      </c>
      <c r="L93" s="49" t="s">
        <v>116</v>
      </c>
      <c r="M93" s="46" t="s">
        <v>117</v>
      </c>
      <c r="N93" s="50">
        <v>0</v>
      </c>
      <c r="O93" s="50">
        <v>0</v>
      </c>
      <c r="P93" s="50">
        <v>0</v>
      </c>
      <c r="Q93" s="46" t="s">
        <v>102</v>
      </c>
      <c r="R93" s="46" t="s">
        <v>102</v>
      </c>
      <c r="S93" s="46" t="s">
        <v>102</v>
      </c>
      <c r="T93" s="46" t="s">
        <v>512</v>
      </c>
      <c r="U93" s="51">
        <v>4</v>
      </c>
    </row>
    <row r="94" spans="2:21" ht="14.5" outlineLevel="3">
      <c r="B94" s="44" t="s">
        <v>513</v>
      </c>
      <c r="C94" s="45" t="s">
        <v>514</v>
      </c>
      <c r="D94" s="46" t="s">
        <v>458</v>
      </c>
      <c r="E94" s="47" t="s">
        <v>411</v>
      </c>
      <c r="F94" s="46" t="s">
        <v>515</v>
      </c>
      <c r="G94" s="47" t="s">
        <v>516</v>
      </c>
      <c r="H94" s="48">
        <v>40321</v>
      </c>
      <c r="I94" s="48">
        <v>6</v>
      </c>
      <c r="J94" s="47" t="s">
        <v>115</v>
      </c>
      <c r="K94" s="49">
        <v>2</v>
      </c>
      <c r="L94" s="49" t="s">
        <v>116</v>
      </c>
      <c r="M94" s="46" t="s">
        <v>117</v>
      </c>
      <c r="N94" s="50">
        <v>0</v>
      </c>
      <c r="O94" s="50">
        <v>0</v>
      </c>
      <c r="P94" s="50">
        <v>0</v>
      </c>
      <c r="Q94" s="46" t="s">
        <v>102</v>
      </c>
      <c r="R94" s="46" t="s">
        <v>102</v>
      </c>
      <c r="S94" s="46" t="s">
        <v>102</v>
      </c>
      <c r="T94" s="46" t="s">
        <v>517</v>
      </c>
      <c r="U94" s="51">
        <v>4</v>
      </c>
    </row>
    <row r="95" spans="2:21" ht="14.5" outlineLevel="3">
      <c r="B95" s="44" t="s">
        <v>518</v>
      </c>
      <c r="C95" s="45" t="s">
        <v>519</v>
      </c>
      <c r="D95" s="46" t="s">
        <v>165</v>
      </c>
      <c r="E95" s="47" t="s">
        <v>411</v>
      </c>
      <c r="F95" s="46" t="s">
        <v>520</v>
      </c>
      <c r="G95" s="47" t="s">
        <v>521</v>
      </c>
      <c r="H95" s="48">
        <v>1807</v>
      </c>
      <c r="I95" s="48">
        <v>2500</v>
      </c>
      <c r="J95" s="47" t="s">
        <v>115</v>
      </c>
      <c r="K95" s="49">
        <v>2</v>
      </c>
      <c r="L95" s="49" t="s">
        <v>116</v>
      </c>
      <c r="M95" s="46" t="s">
        <v>117</v>
      </c>
      <c r="N95" s="50">
        <v>0</v>
      </c>
      <c r="O95" s="50">
        <v>0</v>
      </c>
      <c r="P95" s="50">
        <v>0</v>
      </c>
      <c r="Q95" s="46" t="s">
        <v>102</v>
      </c>
      <c r="R95" s="46" t="s">
        <v>102</v>
      </c>
      <c r="S95" s="46" t="s">
        <v>102</v>
      </c>
      <c r="T95" s="46" t="s">
        <v>522</v>
      </c>
      <c r="U95" s="51">
        <v>4</v>
      </c>
    </row>
    <row r="96" spans="2:21" ht="14.5" outlineLevel="3">
      <c r="B96" s="44" t="s">
        <v>523</v>
      </c>
      <c r="C96" s="45" t="s">
        <v>524</v>
      </c>
      <c r="D96" s="46" t="s">
        <v>276</v>
      </c>
      <c r="E96" s="47" t="s">
        <v>411</v>
      </c>
      <c r="F96" s="46" t="s">
        <v>525</v>
      </c>
      <c r="G96" s="47" t="s">
        <v>526</v>
      </c>
      <c r="H96" s="48">
        <v>49</v>
      </c>
      <c r="I96" s="48">
        <v>1209486.3</v>
      </c>
      <c r="J96" s="47" t="s">
        <v>115</v>
      </c>
      <c r="K96" s="49">
        <v>2</v>
      </c>
      <c r="L96" s="49" t="s">
        <v>116</v>
      </c>
      <c r="M96" s="46" t="s">
        <v>117</v>
      </c>
      <c r="N96" s="50">
        <v>0</v>
      </c>
      <c r="O96" s="50">
        <v>0</v>
      </c>
      <c r="P96" s="50">
        <v>0</v>
      </c>
      <c r="Q96" s="46" t="s">
        <v>102</v>
      </c>
      <c r="R96" s="46" t="s">
        <v>102</v>
      </c>
      <c r="S96" s="46" t="s">
        <v>102</v>
      </c>
      <c r="T96" s="46" t="s">
        <v>527</v>
      </c>
      <c r="U96" s="51">
        <v>4</v>
      </c>
    </row>
    <row r="97" spans="2:21" ht="14.5" outlineLevel="3">
      <c r="B97" s="44" t="s">
        <v>528</v>
      </c>
      <c r="C97" s="45" t="s">
        <v>529</v>
      </c>
      <c r="D97" s="46" t="s">
        <v>179</v>
      </c>
      <c r="E97" s="47" t="s">
        <v>411</v>
      </c>
      <c r="F97" s="46" t="s">
        <v>530</v>
      </c>
      <c r="G97" s="47" t="s">
        <v>531</v>
      </c>
      <c r="H97" s="48">
        <v>375</v>
      </c>
      <c r="I97" s="48">
        <v>241897.26</v>
      </c>
      <c r="J97" s="47" t="s">
        <v>115</v>
      </c>
      <c r="K97" s="49">
        <v>2</v>
      </c>
      <c r="L97" s="49" t="s">
        <v>116</v>
      </c>
      <c r="M97" s="46" t="s">
        <v>117</v>
      </c>
      <c r="N97" s="50">
        <v>0</v>
      </c>
      <c r="O97" s="50">
        <v>0</v>
      </c>
      <c r="P97" s="50">
        <v>0</v>
      </c>
      <c r="Q97" s="46" t="s">
        <v>102</v>
      </c>
      <c r="R97" s="46" t="s">
        <v>102</v>
      </c>
      <c r="S97" s="46" t="s">
        <v>102</v>
      </c>
      <c r="T97" s="46" t="s">
        <v>532</v>
      </c>
      <c r="U97" s="51">
        <v>4</v>
      </c>
    </row>
    <row r="98" spans="2:21" ht="14.5" outlineLevel="2">
      <c r="B98" s="36" t="s">
        <v>533</v>
      </c>
      <c r="C98" s="37" t="s">
        <v>534</v>
      </c>
      <c r="D98" s="38" t="s">
        <v>102</v>
      </c>
      <c r="E98" s="39" t="s">
        <v>102</v>
      </c>
      <c r="F98" s="38" t="s">
        <v>102</v>
      </c>
      <c r="G98" s="39" t="s">
        <v>102</v>
      </c>
      <c r="H98" s="40">
        <v>0</v>
      </c>
      <c r="I98" s="40">
        <v>0</v>
      </c>
      <c r="J98" s="39" t="s">
        <v>102</v>
      </c>
      <c r="K98" s="41">
        <v>0</v>
      </c>
      <c r="L98" s="41" t="s">
        <v>102</v>
      </c>
      <c r="M98" s="38" t="s">
        <v>102</v>
      </c>
      <c r="N98" s="42">
        <v>0</v>
      </c>
      <c r="O98" s="42">
        <v>0</v>
      </c>
      <c r="P98" s="42">
        <v>0</v>
      </c>
      <c r="Q98" s="38" t="s">
        <v>102</v>
      </c>
      <c r="R98" s="38" t="s">
        <v>102</v>
      </c>
      <c r="S98" s="38" t="s">
        <v>535</v>
      </c>
      <c r="T98" s="38" t="s">
        <v>102</v>
      </c>
      <c r="U98" s="43">
        <v>3</v>
      </c>
    </row>
    <row r="99" spans="2:21" ht="14.5" outlineLevel="3">
      <c r="B99" s="44" t="s">
        <v>536</v>
      </c>
      <c r="C99" s="45" t="s">
        <v>537</v>
      </c>
      <c r="D99" s="46" t="s">
        <v>392</v>
      </c>
      <c r="E99" s="47" t="s">
        <v>411</v>
      </c>
      <c r="F99" s="46" t="s">
        <v>538</v>
      </c>
      <c r="G99" s="47" t="s">
        <v>539</v>
      </c>
      <c r="H99" s="48">
        <v>69536770.040000007</v>
      </c>
      <c r="I99" s="48">
        <v>1</v>
      </c>
      <c r="J99" s="47" t="s">
        <v>115</v>
      </c>
      <c r="K99" s="49">
        <v>2</v>
      </c>
      <c r="L99" s="49" t="s">
        <v>116</v>
      </c>
      <c r="M99" s="46" t="s">
        <v>117</v>
      </c>
      <c r="N99" s="50">
        <v>0</v>
      </c>
      <c r="O99" s="50">
        <v>0</v>
      </c>
      <c r="P99" s="50">
        <v>0</v>
      </c>
      <c r="Q99" s="46" t="s">
        <v>102</v>
      </c>
      <c r="R99" s="46" t="s">
        <v>102</v>
      </c>
      <c r="S99" s="46" t="s">
        <v>102</v>
      </c>
      <c r="T99" s="46" t="s">
        <v>118</v>
      </c>
      <c r="U99" s="51">
        <v>4</v>
      </c>
    </row>
    <row r="100" spans="2:21" ht="14.5" outlineLevel="1">
      <c r="B100" s="28" t="s">
        <v>540</v>
      </c>
      <c r="C100" s="29" t="s">
        <v>541</v>
      </c>
      <c r="D100" s="30" t="s">
        <v>102</v>
      </c>
      <c r="E100" s="31" t="s">
        <v>102</v>
      </c>
      <c r="F100" s="30" t="s">
        <v>102</v>
      </c>
      <c r="G100" s="31" t="s">
        <v>102</v>
      </c>
      <c r="H100" s="32">
        <v>0</v>
      </c>
      <c r="I100" s="32">
        <v>0</v>
      </c>
      <c r="J100" s="31" t="s">
        <v>102</v>
      </c>
      <c r="K100" s="33">
        <v>0</v>
      </c>
      <c r="L100" s="33" t="s">
        <v>102</v>
      </c>
      <c r="M100" s="30" t="s">
        <v>102</v>
      </c>
      <c r="N100" s="34">
        <v>0</v>
      </c>
      <c r="O100" s="34">
        <v>0</v>
      </c>
      <c r="P100" s="34">
        <v>0</v>
      </c>
      <c r="Q100" s="30" t="s">
        <v>102</v>
      </c>
      <c r="R100" s="30" t="s">
        <v>542</v>
      </c>
      <c r="S100" s="30" t="s">
        <v>102</v>
      </c>
      <c r="T100" s="30" t="s">
        <v>102</v>
      </c>
      <c r="U100" s="35">
        <v>2</v>
      </c>
    </row>
    <row r="101" spans="2:21" ht="14.5" outlineLevel="2">
      <c r="B101" s="36" t="s">
        <v>543</v>
      </c>
      <c r="C101" s="37" t="s">
        <v>544</v>
      </c>
      <c r="D101" s="38" t="s">
        <v>102</v>
      </c>
      <c r="E101" s="39" t="s">
        <v>102</v>
      </c>
      <c r="F101" s="38" t="s">
        <v>102</v>
      </c>
      <c r="G101" s="39" t="s">
        <v>102</v>
      </c>
      <c r="H101" s="40">
        <v>0</v>
      </c>
      <c r="I101" s="40">
        <v>0</v>
      </c>
      <c r="J101" s="39" t="s">
        <v>102</v>
      </c>
      <c r="K101" s="41">
        <v>0</v>
      </c>
      <c r="L101" s="41" t="s">
        <v>102</v>
      </c>
      <c r="M101" s="38" t="s">
        <v>102</v>
      </c>
      <c r="N101" s="42">
        <v>0</v>
      </c>
      <c r="O101" s="42">
        <v>0</v>
      </c>
      <c r="P101" s="42">
        <v>0</v>
      </c>
      <c r="Q101" s="38" t="s">
        <v>102</v>
      </c>
      <c r="R101" s="38" t="s">
        <v>102</v>
      </c>
      <c r="S101" s="38" t="s">
        <v>545</v>
      </c>
      <c r="T101" s="38" t="s">
        <v>102</v>
      </c>
      <c r="U101" s="43">
        <v>3</v>
      </c>
    </row>
    <row r="102" spans="2:21" ht="14.5" outlineLevel="2">
      <c r="B102" s="36" t="s">
        <v>546</v>
      </c>
      <c r="C102" s="37" t="s">
        <v>547</v>
      </c>
      <c r="D102" s="38" t="s">
        <v>102</v>
      </c>
      <c r="E102" s="39" t="s">
        <v>102</v>
      </c>
      <c r="F102" s="38" t="s">
        <v>102</v>
      </c>
      <c r="G102" s="39" t="s">
        <v>102</v>
      </c>
      <c r="H102" s="40">
        <v>0</v>
      </c>
      <c r="I102" s="40">
        <v>0</v>
      </c>
      <c r="J102" s="39" t="s">
        <v>102</v>
      </c>
      <c r="K102" s="41">
        <v>0</v>
      </c>
      <c r="L102" s="41" t="s">
        <v>102</v>
      </c>
      <c r="M102" s="38" t="s">
        <v>102</v>
      </c>
      <c r="N102" s="42">
        <v>0</v>
      </c>
      <c r="O102" s="42">
        <v>0</v>
      </c>
      <c r="P102" s="42">
        <v>0</v>
      </c>
      <c r="Q102" s="38" t="s">
        <v>102</v>
      </c>
      <c r="R102" s="38" t="s">
        <v>102</v>
      </c>
      <c r="S102" s="38" t="s">
        <v>548</v>
      </c>
      <c r="T102" s="38" t="s">
        <v>102</v>
      </c>
      <c r="U102" s="43">
        <v>3</v>
      </c>
    </row>
    <row r="103" spans="2:21" ht="14.5" outlineLevel="3">
      <c r="B103" s="44" t="s">
        <v>549</v>
      </c>
      <c r="C103" s="45" t="s">
        <v>550</v>
      </c>
      <c r="D103" s="46" t="s">
        <v>392</v>
      </c>
      <c r="E103" s="47" t="s">
        <v>551</v>
      </c>
      <c r="F103" s="46" t="s">
        <v>552</v>
      </c>
      <c r="G103" s="47" t="s">
        <v>553</v>
      </c>
      <c r="H103" s="48">
        <v>39475000</v>
      </c>
      <c r="I103" s="48">
        <v>1</v>
      </c>
      <c r="J103" s="47" t="s">
        <v>115</v>
      </c>
      <c r="K103" s="49">
        <v>2</v>
      </c>
      <c r="L103" s="49" t="s">
        <v>116</v>
      </c>
      <c r="M103" s="46" t="s">
        <v>117</v>
      </c>
      <c r="N103" s="50">
        <v>0</v>
      </c>
      <c r="O103" s="50">
        <v>0</v>
      </c>
      <c r="P103" s="50">
        <v>0</v>
      </c>
      <c r="Q103" s="46" t="s">
        <v>102</v>
      </c>
      <c r="R103" s="46" t="s">
        <v>102</v>
      </c>
      <c r="S103" s="46" t="s">
        <v>102</v>
      </c>
      <c r="T103" s="46" t="s">
        <v>118</v>
      </c>
      <c r="U103" s="51">
        <v>4</v>
      </c>
    </row>
    <row r="104" spans="2:21" ht="14.5" outlineLevel="3">
      <c r="B104" s="44" t="s">
        <v>554</v>
      </c>
      <c r="C104" s="45" t="s">
        <v>555</v>
      </c>
      <c r="D104" s="46" t="s">
        <v>392</v>
      </c>
      <c r="E104" s="47" t="s">
        <v>551</v>
      </c>
      <c r="F104" s="46" t="s">
        <v>556</v>
      </c>
      <c r="G104" s="47" t="s">
        <v>557</v>
      </c>
      <c r="H104" s="48">
        <v>39475000</v>
      </c>
      <c r="I104" s="48">
        <v>1</v>
      </c>
      <c r="J104" s="47" t="s">
        <v>115</v>
      </c>
      <c r="K104" s="49">
        <v>2</v>
      </c>
      <c r="L104" s="49" t="s">
        <v>116</v>
      </c>
      <c r="M104" s="46" t="s">
        <v>117</v>
      </c>
      <c r="N104" s="50">
        <v>0</v>
      </c>
      <c r="O104" s="50">
        <v>0</v>
      </c>
      <c r="P104" s="50">
        <v>0</v>
      </c>
      <c r="Q104" s="46" t="s">
        <v>102</v>
      </c>
      <c r="R104" s="46" t="s">
        <v>102</v>
      </c>
      <c r="S104" s="46" t="s">
        <v>102</v>
      </c>
      <c r="T104" s="46" t="s">
        <v>123</v>
      </c>
      <c r="U104" s="51">
        <v>4</v>
      </c>
    </row>
    <row r="105" spans="2:21" ht="14.5" outlineLevel="2">
      <c r="B105" s="36" t="s">
        <v>558</v>
      </c>
      <c r="C105" s="37" t="s">
        <v>559</v>
      </c>
      <c r="D105" s="38" t="s">
        <v>102</v>
      </c>
      <c r="E105" s="39" t="s">
        <v>102</v>
      </c>
      <c r="F105" s="38" t="s">
        <v>102</v>
      </c>
      <c r="G105" s="39" t="s">
        <v>102</v>
      </c>
      <c r="H105" s="40">
        <v>0</v>
      </c>
      <c r="I105" s="40">
        <v>0</v>
      </c>
      <c r="J105" s="39" t="s">
        <v>102</v>
      </c>
      <c r="K105" s="41">
        <v>0</v>
      </c>
      <c r="L105" s="41" t="s">
        <v>102</v>
      </c>
      <c r="M105" s="38" t="s">
        <v>102</v>
      </c>
      <c r="N105" s="42">
        <v>0</v>
      </c>
      <c r="O105" s="42">
        <v>0</v>
      </c>
      <c r="P105" s="42">
        <v>0</v>
      </c>
      <c r="Q105" s="38" t="s">
        <v>102</v>
      </c>
      <c r="R105" s="38" t="s">
        <v>102</v>
      </c>
      <c r="S105" s="38" t="s">
        <v>535</v>
      </c>
      <c r="T105" s="38" t="s">
        <v>102</v>
      </c>
      <c r="U105" s="43">
        <v>3</v>
      </c>
    </row>
    <row r="106" spans="2:21" ht="14.5" outlineLevel="3">
      <c r="B106" s="44" t="s">
        <v>560</v>
      </c>
      <c r="C106" s="45" t="s">
        <v>561</v>
      </c>
      <c r="D106" s="46" t="s">
        <v>392</v>
      </c>
      <c r="E106" s="47" t="s">
        <v>551</v>
      </c>
      <c r="F106" s="46" t="s">
        <v>562</v>
      </c>
      <c r="G106" s="47" t="s">
        <v>563</v>
      </c>
      <c r="H106" s="48">
        <v>2372447.5</v>
      </c>
      <c r="I106" s="48">
        <v>1</v>
      </c>
      <c r="J106" s="47" t="s">
        <v>115</v>
      </c>
      <c r="K106" s="49">
        <v>2</v>
      </c>
      <c r="L106" s="49" t="s">
        <v>116</v>
      </c>
      <c r="M106" s="46" t="s">
        <v>117</v>
      </c>
      <c r="N106" s="50">
        <v>0</v>
      </c>
      <c r="O106" s="50">
        <v>0</v>
      </c>
      <c r="P106" s="50">
        <v>0</v>
      </c>
      <c r="Q106" s="46" t="s">
        <v>102</v>
      </c>
      <c r="R106" s="46" t="s">
        <v>102</v>
      </c>
      <c r="S106" s="46" t="s">
        <v>102</v>
      </c>
      <c r="T106" s="46" t="s">
        <v>118</v>
      </c>
      <c r="U106" s="51">
        <v>4</v>
      </c>
    </row>
    <row r="107" spans="2:21" ht="14.5" outlineLevel="1">
      <c r="B107" s="28" t="s">
        <v>564</v>
      </c>
      <c r="C107" s="29" t="s">
        <v>565</v>
      </c>
      <c r="D107" s="30" t="s">
        <v>102</v>
      </c>
      <c r="E107" s="31" t="s">
        <v>102</v>
      </c>
      <c r="F107" s="30" t="s">
        <v>102</v>
      </c>
      <c r="G107" s="31" t="s">
        <v>102</v>
      </c>
      <c r="H107" s="32">
        <v>0</v>
      </c>
      <c r="I107" s="32">
        <v>0</v>
      </c>
      <c r="J107" s="31" t="s">
        <v>102</v>
      </c>
      <c r="K107" s="33">
        <v>0</v>
      </c>
      <c r="L107" s="33" t="s">
        <v>102</v>
      </c>
      <c r="M107" s="30" t="s">
        <v>102</v>
      </c>
      <c r="N107" s="34">
        <v>0</v>
      </c>
      <c r="O107" s="34">
        <v>0</v>
      </c>
      <c r="P107" s="34">
        <v>0</v>
      </c>
      <c r="Q107" s="30" t="s">
        <v>102</v>
      </c>
      <c r="R107" s="30" t="s">
        <v>566</v>
      </c>
      <c r="S107" s="30" t="s">
        <v>102</v>
      </c>
      <c r="T107" s="30" t="s">
        <v>102</v>
      </c>
      <c r="U107" s="35">
        <v>2</v>
      </c>
    </row>
    <row r="108" spans="2:21" ht="14.5" outlineLevel="2">
      <c r="B108" s="36" t="s">
        <v>567</v>
      </c>
      <c r="C108" s="37" t="s">
        <v>568</v>
      </c>
      <c r="D108" s="38" t="s">
        <v>102</v>
      </c>
      <c r="E108" s="39" t="s">
        <v>102</v>
      </c>
      <c r="F108" s="38" t="s">
        <v>102</v>
      </c>
      <c r="G108" s="39" t="s">
        <v>102</v>
      </c>
      <c r="H108" s="40">
        <v>0</v>
      </c>
      <c r="I108" s="40">
        <v>0</v>
      </c>
      <c r="J108" s="39" t="s">
        <v>102</v>
      </c>
      <c r="K108" s="41">
        <v>0</v>
      </c>
      <c r="L108" s="41" t="s">
        <v>102</v>
      </c>
      <c r="M108" s="38" t="s">
        <v>102</v>
      </c>
      <c r="N108" s="42">
        <v>0</v>
      </c>
      <c r="O108" s="42">
        <v>0</v>
      </c>
      <c r="P108" s="42">
        <v>0</v>
      </c>
      <c r="Q108" s="38" t="s">
        <v>102</v>
      </c>
      <c r="R108" s="38" t="s">
        <v>102</v>
      </c>
      <c r="S108" s="38" t="s">
        <v>545</v>
      </c>
      <c r="T108" s="38" t="s">
        <v>102</v>
      </c>
      <c r="U108" s="43">
        <v>3</v>
      </c>
    </row>
    <row r="109" spans="2:21" ht="14.5" outlineLevel="2">
      <c r="B109" s="36" t="s">
        <v>569</v>
      </c>
      <c r="C109" s="37" t="s">
        <v>570</v>
      </c>
      <c r="D109" s="38" t="s">
        <v>102</v>
      </c>
      <c r="E109" s="39" t="s">
        <v>102</v>
      </c>
      <c r="F109" s="38" t="s">
        <v>102</v>
      </c>
      <c r="G109" s="39" t="s">
        <v>102</v>
      </c>
      <c r="H109" s="40">
        <v>0</v>
      </c>
      <c r="I109" s="40">
        <v>0</v>
      </c>
      <c r="J109" s="39" t="s">
        <v>102</v>
      </c>
      <c r="K109" s="41">
        <v>0</v>
      </c>
      <c r="L109" s="41" t="s">
        <v>102</v>
      </c>
      <c r="M109" s="38" t="s">
        <v>102</v>
      </c>
      <c r="N109" s="42">
        <v>0</v>
      </c>
      <c r="O109" s="42">
        <v>0</v>
      </c>
      <c r="P109" s="42">
        <v>0</v>
      </c>
      <c r="Q109" s="38" t="s">
        <v>102</v>
      </c>
      <c r="R109" s="38" t="s">
        <v>102</v>
      </c>
      <c r="S109" s="38" t="s">
        <v>571</v>
      </c>
      <c r="T109" s="38" t="s">
        <v>102</v>
      </c>
      <c r="U109" s="43">
        <v>3</v>
      </c>
    </row>
    <row r="110" spans="2:21" ht="14.5" outlineLevel="3">
      <c r="B110" s="44" t="s">
        <v>572</v>
      </c>
      <c r="C110" s="45" t="s">
        <v>573</v>
      </c>
      <c r="D110" s="46" t="s">
        <v>458</v>
      </c>
      <c r="E110" s="47" t="s">
        <v>574</v>
      </c>
      <c r="F110" s="46" t="s">
        <v>575</v>
      </c>
      <c r="G110" s="47" t="s">
        <v>573</v>
      </c>
      <c r="H110" s="48">
        <v>38755.919999999998</v>
      </c>
      <c r="I110" s="48">
        <v>2269</v>
      </c>
      <c r="J110" s="47" t="s">
        <v>115</v>
      </c>
      <c r="K110" s="49">
        <v>2</v>
      </c>
      <c r="L110" s="49" t="s">
        <v>116</v>
      </c>
      <c r="M110" s="46" t="s">
        <v>117</v>
      </c>
      <c r="N110" s="50">
        <v>0</v>
      </c>
      <c r="O110" s="50">
        <v>0</v>
      </c>
      <c r="P110" s="50">
        <v>0</v>
      </c>
      <c r="Q110" s="46" t="s">
        <v>102</v>
      </c>
      <c r="R110" s="46" t="s">
        <v>102</v>
      </c>
      <c r="S110" s="46" t="s">
        <v>102</v>
      </c>
      <c r="T110" s="46" t="s">
        <v>118</v>
      </c>
      <c r="U110" s="51">
        <v>4</v>
      </c>
    </row>
    <row r="111" spans="2:21" ht="14.5" outlineLevel="3">
      <c r="B111" s="44" t="s">
        <v>576</v>
      </c>
      <c r="C111" s="45" t="s">
        <v>577</v>
      </c>
      <c r="D111" s="46" t="s">
        <v>458</v>
      </c>
      <c r="E111" s="47" t="s">
        <v>574</v>
      </c>
      <c r="F111" s="46" t="s">
        <v>578</v>
      </c>
      <c r="G111" s="47" t="s">
        <v>577</v>
      </c>
      <c r="H111" s="48">
        <v>40694.480000000003</v>
      </c>
      <c r="I111" s="48">
        <v>999</v>
      </c>
      <c r="J111" s="47" t="s">
        <v>115</v>
      </c>
      <c r="K111" s="49">
        <v>2</v>
      </c>
      <c r="L111" s="49" t="s">
        <v>116</v>
      </c>
      <c r="M111" s="46" t="s">
        <v>117</v>
      </c>
      <c r="N111" s="50">
        <v>0</v>
      </c>
      <c r="O111" s="50">
        <v>0</v>
      </c>
      <c r="P111" s="50">
        <v>0</v>
      </c>
      <c r="Q111" s="46" t="s">
        <v>102</v>
      </c>
      <c r="R111" s="46" t="s">
        <v>102</v>
      </c>
      <c r="S111" s="46" t="s">
        <v>102</v>
      </c>
      <c r="T111" s="46" t="s">
        <v>123</v>
      </c>
      <c r="U111" s="51">
        <v>4</v>
      </c>
    </row>
    <row r="112" spans="2:21" ht="14.5" outlineLevel="3">
      <c r="B112" s="44" t="s">
        <v>579</v>
      </c>
      <c r="C112" s="45" t="s">
        <v>580</v>
      </c>
      <c r="D112" s="46" t="s">
        <v>458</v>
      </c>
      <c r="E112" s="47" t="s">
        <v>574</v>
      </c>
      <c r="F112" s="46" t="s">
        <v>581</v>
      </c>
      <c r="G112" s="47" t="s">
        <v>582</v>
      </c>
      <c r="H112" s="48">
        <v>42648.18</v>
      </c>
      <c r="I112" s="48">
        <v>508</v>
      </c>
      <c r="J112" s="47" t="s">
        <v>115</v>
      </c>
      <c r="K112" s="49">
        <v>2</v>
      </c>
      <c r="L112" s="49" t="s">
        <v>116</v>
      </c>
      <c r="M112" s="46" t="s">
        <v>117</v>
      </c>
      <c r="N112" s="50">
        <v>0</v>
      </c>
      <c r="O112" s="50">
        <v>0</v>
      </c>
      <c r="P112" s="50">
        <v>0</v>
      </c>
      <c r="Q112" s="46" t="s">
        <v>102</v>
      </c>
      <c r="R112" s="46" t="s">
        <v>102</v>
      </c>
      <c r="S112" s="46" t="s">
        <v>102</v>
      </c>
      <c r="T112" s="46" t="s">
        <v>128</v>
      </c>
      <c r="U112" s="51">
        <v>4</v>
      </c>
    </row>
    <row r="113" spans="2:21" ht="14.5" outlineLevel="3">
      <c r="B113" s="44" t="s">
        <v>583</v>
      </c>
      <c r="C113" s="45" t="s">
        <v>584</v>
      </c>
      <c r="D113" s="46" t="s">
        <v>458</v>
      </c>
      <c r="E113" s="47" t="s">
        <v>574</v>
      </c>
      <c r="F113" s="46" t="s">
        <v>585</v>
      </c>
      <c r="G113" s="47" t="s">
        <v>584</v>
      </c>
      <c r="H113" s="48">
        <v>43829.48</v>
      </c>
      <c r="I113" s="48">
        <v>149</v>
      </c>
      <c r="J113" s="47" t="s">
        <v>115</v>
      </c>
      <c r="K113" s="49">
        <v>2</v>
      </c>
      <c r="L113" s="49" t="s">
        <v>116</v>
      </c>
      <c r="M113" s="46" t="s">
        <v>117</v>
      </c>
      <c r="N113" s="50">
        <v>0</v>
      </c>
      <c r="O113" s="50">
        <v>0</v>
      </c>
      <c r="P113" s="50">
        <v>0</v>
      </c>
      <c r="Q113" s="46" t="s">
        <v>102</v>
      </c>
      <c r="R113" s="46" t="s">
        <v>102</v>
      </c>
      <c r="S113" s="46" t="s">
        <v>102</v>
      </c>
      <c r="T113" s="46" t="s">
        <v>133</v>
      </c>
      <c r="U113" s="51">
        <v>4</v>
      </c>
    </row>
    <row r="114" spans="2:21" ht="14.5" outlineLevel="3">
      <c r="B114" s="44" t="s">
        <v>586</v>
      </c>
      <c r="C114" s="45" t="s">
        <v>587</v>
      </c>
      <c r="D114" s="46" t="s">
        <v>458</v>
      </c>
      <c r="E114" s="47" t="s">
        <v>574</v>
      </c>
      <c r="F114" s="46" t="s">
        <v>588</v>
      </c>
      <c r="G114" s="47" t="s">
        <v>587</v>
      </c>
      <c r="H114" s="48">
        <v>33500.629999999997</v>
      </c>
      <c r="I114" s="48">
        <v>4</v>
      </c>
      <c r="J114" s="47" t="s">
        <v>115</v>
      </c>
      <c r="K114" s="49">
        <v>2</v>
      </c>
      <c r="L114" s="49" t="s">
        <v>116</v>
      </c>
      <c r="M114" s="46" t="s">
        <v>117</v>
      </c>
      <c r="N114" s="50">
        <v>0</v>
      </c>
      <c r="O114" s="50">
        <v>0</v>
      </c>
      <c r="P114" s="50">
        <v>0</v>
      </c>
      <c r="Q114" s="46" t="s">
        <v>102</v>
      </c>
      <c r="R114" s="46" t="s">
        <v>102</v>
      </c>
      <c r="S114" s="46" t="s">
        <v>102</v>
      </c>
      <c r="T114" s="46" t="s">
        <v>138</v>
      </c>
      <c r="U114" s="51">
        <v>4</v>
      </c>
    </row>
    <row r="115" spans="2:21" ht="14.5" outlineLevel="3">
      <c r="B115" s="44" t="s">
        <v>589</v>
      </c>
      <c r="C115" s="45" t="s">
        <v>590</v>
      </c>
      <c r="D115" s="46" t="s">
        <v>458</v>
      </c>
      <c r="E115" s="47" t="s">
        <v>574</v>
      </c>
      <c r="F115" s="46" t="s">
        <v>591</v>
      </c>
      <c r="G115" s="47" t="s">
        <v>592</v>
      </c>
      <c r="H115" s="48">
        <v>37695.78</v>
      </c>
      <c r="I115" s="48">
        <v>456</v>
      </c>
      <c r="J115" s="47" t="s">
        <v>115</v>
      </c>
      <c r="K115" s="49">
        <v>2</v>
      </c>
      <c r="L115" s="49" t="s">
        <v>116</v>
      </c>
      <c r="M115" s="46" t="s">
        <v>117</v>
      </c>
      <c r="N115" s="50">
        <v>0</v>
      </c>
      <c r="O115" s="50">
        <v>0</v>
      </c>
      <c r="P115" s="50">
        <v>0</v>
      </c>
      <c r="Q115" s="46" t="s">
        <v>102</v>
      </c>
      <c r="R115" s="46" t="s">
        <v>102</v>
      </c>
      <c r="S115" s="46" t="s">
        <v>102</v>
      </c>
      <c r="T115" s="46" t="s">
        <v>143</v>
      </c>
      <c r="U115" s="51">
        <v>4</v>
      </c>
    </row>
    <row r="116" spans="2:21" ht="14.5" outlineLevel="3">
      <c r="B116" s="44" t="s">
        <v>593</v>
      </c>
      <c r="C116" s="45" t="s">
        <v>594</v>
      </c>
      <c r="D116" s="46" t="s">
        <v>458</v>
      </c>
      <c r="E116" s="47" t="s">
        <v>574</v>
      </c>
      <c r="F116" s="46" t="s">
        <v>595</v>
      </c>
      <c r="G116" s="47" t="s">
        <v>596</v>
      </c>
      <c r="H116" s="48">
        <v>41754.620000000003</v>
      </c>
      <c r="I116" s="48">
        <v>17</v>
      </c>
      <c r="J116" s="47" t="s">
        <v>115</v>
      </c>
      <c r="K116" s="49">
        <v>2</v>
      </c>
      <c r="L116" s="49" t="s">
        <v>116</v>
      </c>
      <c r="M116" s="46" t="s">
        <v>117</v>
      </c>
      <c r="N116" s="50">
        <v>0</v>
      </c>
      <c r="O116" s="50">
        <v>0</v>
      </c>
      <c r="P116" s="50">
        <v>0</v>
      </c>
      <c r="Q116" s="46" t="s">
        <v>102</v>
      </c>
      <c r="R116" s="46" t="s">
        <v>102</v>
      </c>
      <c r="S116" s="46" t="s">
        <v>102</v>
      </c>
      <c r="T116" s="46" t="s">
        <v>176</v>
      </c>
      <c r="U116" s="51">
        <v>4</v>
      </c>
    </row>
    <row r="117" spans="2:21" ht="14.5" outlineLevel="3">
      <c r="B117" s="44" t="s">
        <v>597</v>
      </c>
      <c r="C117" s="45" t="s">
        <v>598</v>
      </c>
      <c r="D117" s="46" t="s">
        <v>458</v>
      </c>
      <c r="E117" s="47" t="s">
        <v>574</v>
      </c>
      <c r="F117" s="46" t="s">
        <v>599</v>
      </c>
      <c r="G117" s="47" t="s">
        <v>600</v>
      </c>
      <c r="H117" s="48">
        <v>46616.15</v>
      </c>
      <c r="I117" s="48">
        <v>50</v>
      </c>
      <c r="J117" s="47" t="s">
        <v>115</v>
      </c>
      <c r="K117" s="49">
        <v>2</v>
      </c>
      <c r="L117" s="49" t="s">
        <v>116</v>
      </c>
      <c r="M117" s="46" t="s">
        <v>117</v>
      </c>
      <c r="N117" s="50">
        <v>0</v>
      </c>
      <c r="O117" s="50">
        <v>0</v>
      </c>
      <c r="P117" s="50">
        <v>0</v>
      </c>
      <c r="Q117" s="46" t="s">
        <v>102</v>
      </c>
      <c r="R117" s="46" t="s">
        <v>102</v>
      </c>
      <c r="S117" s="46" t="s">
        <v>102</v>
      </c>
      <c r="T117" s="46" t="s">
        <v>182</v>
      </c>
      <c r="U117" s="51">
        <v>4</v>
      </c>
    </row>
    <row r="118" spans="2:21" ht="14.5" outlineLevel="3">
      <c r="B118" s="44" t="s">
        <v>601</v>
      </c>
      <c r="C118" s="45" t="s">
        <v>602</v>
      </c>
      <c r="D118" s="46" t="s">
        <v>458</v>
      </c>
      <c r="E118" s="47" t="s">
        <v>574</v>
      </c>
      <c r="F118" s="46" t="s">
        <v>603</v>
      </c>
      <c r="G118" s="47" t="s">
        <v>604</v>
      </c>
      <c r="H118" s="48">
        <v>49690.58</v>
      </c>
      <c r="I118" s="48">
        <v>5</v>
      </c>
      <c r="J118" s="47" t="s">
        <v>115</v>
      </c>
      <c r="K118" s="49">
        <v>2</v>
      </c>
      <c r="L118" s="49" t="s">
        <v>116</v>
      </c>
      <c r="M118" s="46" t="s">
        <v>117</v>
      </c>
      <c r="N118" s="50">
        <v>0</v>
      </c>
      <c r="O118" s="50">
        <v>0</v>
      </c>
      <c r="P118" s="50">
        <v>0</v>
      </c>
      <c r="Q118" s="46" t="s">
        <v>102</v>
      </c>
      <c r="R118" s="46" t="s">
        <v>102</v>
      </c>
      <c r="S118" s="46" t="s">
        <v>102</v>
      </c>
      <c r="T118" s="46" t="s">
        <v>187</v>
      </c>
      <c r="U118" s="51">
        <v>4</v>
      </c>
    </row>
    <row r="119" spans="2:21" ht="14.5" outlineLevel="3">
      <c r="B119" s="44" t="s">
        <v>605</v>
      </c>
      <c r="C119" s="45" t="s">
        <v>606</v>
      </c>
      <c r="D119" s="46" t="s">
        <v>458</v>
      </c>
      <c r="E119" s="47" t="s">
        <v>574</v>
      </c>
      <c r="F119" s="46" t="s">
        <v>607</v>
      </c>
      <c r="G119" s="47" t="s">
        <v>606</v>
      </c>
      <c r="H119" s="48">
        <v>49251.37</v>
      </c>
      <c r="I119" s="48">
        <v>175</v>
      </c>
      <c r="J119" s="47" t="s">
        <v>115</v>
      </c>
      <c r="K119" s="49">
        <v>2</v>
      </c>
      <c r="L119" s="49" t="s">
        <v>116</v>
      </c>
      <c r="M119" s="46" t="s">
        <v>117</v>
      </c>
      <c r="N119" s="50">
        <v>0</v>
      </c>
      <c r="O119" s="50">
        <v>0</v>
      </c>
      <c r="P119" s="50">
        <v>0</v>
      </c>
      <c r="Q119" s="46" t="s">
        <v>102</v>
      </c>
      <c r="R119" s="46" t="s">
        <v>102</v>
      </c>
      <c r="S119" s="46" t="s">
        <v>102</v>
      </c>
      <c r="T119" s="46" t="s">
        <v>259</v>
      </c>
      <c r="U119" s="51">
        <v>4</v>
      </c>
    </row>
    <row r="120" spans="2:21" ht="14.5" outlineLevel="3">
      <c r="B120" s="44" t="s">
        <v>608</v>
      </c>
      <c r="C120" s="45" t="s">
        <v>609</v>
      </c>
      <c r="D120" s="46" t="s">
        <v>458</v>
      </c>
      <c r="E120" s="47" t="s">
        <v>574</v>
      </c>
      <c r="F120" s="46" t="s">
        <v>610</v>
      </c>
      <c r="G120" s="47" t="s">
        <v>611</v>
      </c>
      <c r="H120" s="48">
        <v>46994.78</v>
      </c>
      <c r="I120" s="48">
        <v>79</v>
      </c>
      <c r="J120" s="47" t="s">
        <v>115</v>
      </c>
      <c r="K120" s="49">
        <v>2</v>
      </c>
      <c r="L120" s="49" t="s">
        <v>116</v>
      </c>
      <c r="M120" s="46" t="s">
        <v>117</v>
      </c>
      <c r="N120" s="50">
        <v>0</v>
      </c>
      <c r="O120" s="50">
        <v>0</v>
      </c>
      <c r="P120" s="50">
        <v>0</v>
      </c>
      <c r="Q120" s="46" t="s">
        <v>102</v>
      </c>
      <c r="R120" s="46" t="s">
        <v>102</v>
      </c>
      <c r="S120" s="46" t="s">
        <v>102</v>
      </c>
      <c r="T120" s="46" t="s">
        <v>192</v>
      </c>
      <c r="U120" s="51">
        <v>4</v>
      </c>
    </row>
    <row r="121" spans="2:21" ht="14.5" outlineLevel="3">
      <c r="B121" s="44" t="s">
        <v>612</v>
      </c>
      <c r="C121" s="45" t="s">
        <v>613</v>
      </c>
      <c r="D121" s="46" t="s">
        <v>458</v>
      </c>
      <c r="E121" s="47" t="s">
        <v>574</v>
      </c>
      <c r="F121" s="46" t="s">
        <v>614</v>
      </c>
      <c r="G121" s="47" t="s">
        <v>613</v>
      </c>
      <c r="H121" s="48">
        <v>45874.05</v>
      </c>
      <c r="I121" s="48">
        <v>2</v>
      </c>
      <c r="J121" s="47" t="s">
        <v>115</v>
      </c>
      <c r="K121" s="49">
        <v>2</v>
      </c>
      <c r="L121" s="49" t="s">
        <v>116</v>
      </c>
      <c r="M121" s="46" t="s">
        <v>117</v>
      </c>
      <c r="N121" s="50">
        <v>0</v>
      </c>
      <c r="O121" s="50">
        <v>0</v>
      </c>
      <c r="P121" s="50">
        <v>0</v>
      </c>
      <c r="Q121" s="46" t="s">
        <v>102</v>
      </c>
      <c r="R121" s="46" t="s">
        <v>102</v>
      </c>
      <c r="S121" s="46" t="s">
        <v>102</v>
      </c>
      <c r="T121" s="46" t="s">
        <v>615</v>
      </c>
      <c r="U121" s="51">
        <v>4</v>
      </c>
    </row>
    <row r="122" spans="2:21" ht="14.5" outlineLevel="3">
      <c r="B122" s="44" t="s">
        <v>616</v>
      </c>
      <c r="C122" s="45" t="s">
        <v>617</v>
      </c>
      <c r="D122" s="46" t="s">
        <v>458</v>
      </c>
      <c r="E122" s="47" t="s">
        <v>574</v>
      </c>
      <c r="F122" s="46" t="s">
        <v>618</v>
      </c>
      <c r="G122" s="47" t="s">
        <v>617</v>
      </c>
      <c r="H122" s="48">
        <v>47752.02</v>
      </c>
      <c r="I122" s="48">
        <v>2</v>
      </c>
      <c r="J122" s="47" t="s">
        <v>115</v>
      </c>
      <c r="K122" s="49">
        <v>2</v>
      </c>
      <c r="L122" s="49" t="s">
        <v>116</v>
      </c>
      <c r="M122" s="46" t="s">
        <v>117</v>
      </c>
      <c r="N122" s="50">
        <v>0</v>
      </c>
      <c r="O122" s="50">
        <v>0</v>
      </c>
      <c r="P122" s="50">
        <v>0</v>
      </c>
      <c r="Q122" s="46" t="s">
        <v>102</v>
      </c>
      <c r="R122" s="46" t="s">
        <v>102</v>
      </c>
      <c r="S122" s="46" t="s">
        <v>102</v>
      </c>
      <c r="T122" s="46" t="s">
        <v>268</v>
      </c>
      <c r="U122" s="51">
        <v>4</v>
      </c>
    </row>
    <row r="123" spans="2:21" ht="14.5" outlineLevel="3">
      <c r="B123" s="44" t="s">
        <v>619</v>
      </c>
      <c r="C123" s="45" t="s">
        <v>620</v>
      </c>
      <c r="D123" s="46" t="s">
        <v>458</v>
      </c>
      <c r="E123" s="47" t="s">
        <v>574</v>
      </c>
      <c r="F123" s="46" t="s">
        <v>621</v>
      </c>
      <c r="G123" s="47" t="s">
        <v>620</v>
      </c>
      <c r="H123" s="48">
        <v>45495.43</v>
      </c>
      <c r="I123" s="48">
        <v>4</v>
      </c>
      <c r="J123" s="47" t="s">
        <v>115</v>
      </c>
      <c r="K123" s="49">
        <v>2</v>
      </c>
      <c r="L123" s="49" t="s">
        <v>116</v>
      </c>
      <c r="M123" s="46" t="s">
        <v>117</v>
      </c>
      <c r="N123" s="50">
        <v>0</v>
      </c>
      <c r="O123" s="50">
        <v>0</v>
      </c>
      <c r="P123" s="50">
        <v>0</v>
      </c>
      <c r="Q123" s="46" t="s">
        <v>102</v>
      </c>
      <c r="R123" s="46" t="s">
        <v>102</v>
      </c>
      <c r="S123" s="46" t="s">
        <v>102</v>
      </c>
      <c r="T123" s="46" t="s">
        <v>273</v>
      </c>
      <c r="U123" s="51">
        <v>4</v>
      </c>
    </row>
    <row r="124" spans="2:21" ht="14.5" outlineLevel="3">
      <c r="B124" s="44" t="s">
        <v>622</v>
      </c>
      <c r="C124" s="45" t="s">
        <v>623</v>
      </c>
      <c r="D124" s="46" t="s">
        <v>458</v>
      </c>
      <c r="E124" s="47" t="s">
        <v>574</v>
      </c>
      <c r="F124" s="46" t="s">
        <v>624</v>
      </c>
      <c r="G124" s="47" t="s">
        <v>625</v>
      </c>
      <c r="H124" s="48">
        <v>46252.67</v>
      </c>
      <c r="I124" s="48">
        <v>47</v>
      </c>
      <c r="J124" s="47" t="s">
        <v>115</v>
      </c>
      <c r="K124" s="49">
        <v>2</v>
      </c>
      <c r="L124" s="49" t="s">
        <v>116</v>
      </c>
      <c r="M124" s="46" t="s">
        <v>117</v>
      </c>
      <c r="N124" s="50">
        <v>0</v>
      </c>
      <c r="O124" s="50">
        <v>0</v>
      </c>
      <c r="P124" s="50">
        <v>0</v>
      </c>
      <c r="Q124" s="46" t="s">
        <v>102</v>
      </c>
      <c r="R124" s="46" t="s">
        <v>102</v>
      </c>
      <c r="S124" s="46" t="s">
        <v>102</v>
      </c>
      <c r="T124" s="46" t="s">
        <v>198</v>
      </c>
      <c r="U124" s="51">
        <v>4</v>
      </c>
    </row>
    <row r="125" spans="2:21" ht="14.5" outlineLevel="3">
      <c r="B125" s="44" t="s">
        <v>626</v>
      </c>
      <c r="C125" s="45" t="s">
        <v>627</v>
      </c>
      <c r="D125" s="46" t="s">
        <v>458</v>
      </c>
      <c r="E125" s="47" t="s">
        <v>574</v>
      </c>
      <c r="F125" s="46" t="s">
        <v>628</v>
      </c>
      <c r="G125" s="47" t="s">
        <v>629</v>
      </c>
      <c r="H125" s="48">
        <v>86023.31</v>
      </c>
      <c r="I125" s="48">
        <v>42</v>
      </c>
      <c r="J125" s="47" t="s">
        <v>115</v>
      </c>
      <c r="K125" s="49">
        <v>2</v>
      </c>
      <c r="L125" s="49" t="s">
        <v>116</v>
      </c>
      <c r="M125" s="46" t="s">
        <v>117</v>
      </c>
      <c r="N125" s="50">
        <v>0</v>
      </c>
      <c r="O125" s="50">
        <v>0</v>
      </c>
      <c r="P125" s="50">
        <v>0</v>
      </c>
      <c r="Q125" s="46" t="s">
        <v>102</v>
      </c>
      <c r="R125" s="46" t="s">
        <v>102</v>
      </c>
      <c r="S125" s="46" t="s">
        <v>102</v>
      </c>
      <c r="T125" s="46" t="s">
        <v>283</v>
      </c>
      <c r="U125" s="51">
        <v>4</v>
      </c>
    </row>
    <row r="126" spans="2:21" ht="14.5" outlineLevel="3">
      <c r="B126" s="44" t="s">
        <v>630</v>
      </c>
      <c r="C126" s="45" t="s">
        <v>631</v>
      </c>
      <c r="D126" s="46" t="s">
        <v>458</v>
      </c>
      <c r="E126" s="47" t="s">
        <v>574</v>
      </c>
      <c r="F126" s="46" t="s">
        <v>632</v>
      </c>
      <c r="G126" s="47" t="s">
        <v>633</v>
      </c>
      <c r="H126" s="48">
        <v>74058.8</v>
      </c>
      <c r="I126" s="48">
        <v>52</v>
      </c>
      <c r="J126" s="47" t="s">
        <v>115</v>
      </c>
      <c r="K126" s="49">
        <v>2</v>
      </c>
      <c r="L126" s="49" t="s">
        <v>116</v>
      </c>
      <c r="M126" s="46" t="s">
        <v>117</v>
      </c>
      <c r="N126" s="50">
        <v>0</v>
      </c>
      <c r="O126" s="50">
        <v>0</v>
      </c>
      <c r="P126" s="50">
        <v>0</v>
      </c>
      <c r="Q126" s="46" t="s">
        <v>102</v>
      </c>
      <c r="R126" s="46" t="s">
        <v>102</v>
      </c>
      <c r="S126" s="46" t="s">
        <v>102</v>
      </c>
      <c r="T126" s="46" t="s">
        <v>288</v>
      </c>
      <c r="U126" s="51">
        <v>4</v>
      </c>
    </row>
    <row r="127" spans="2:21" ht="14.5" outlineLevel="3">
      <c r="B127" s="44" t="s">
        <v>634</v>
      </c>
      <c r="C127" s="45" t="s">
        <v>635</v>
      </c>
      <c r="D127" s="46" t="s">
        <v>458</v>
      </c>
      <c r="E127" s="47" t="s">
        <v>574</v>
      </c>
      <c r="F127" s="46" t="s">
        <v>636</v>
      </c>
      <c r="G127" s="47" t="s">
        <v>637</v>
      </c>
      <c r="H127" s="48">
        <v>44753.32</v>
      </c>
      <c r="I127" s="48">
        <v>4</v>
      </c>
      <c r="J127" s="47" t="s">
        <v>115</v>
      </c>
      <c r="K127" s="49">
        <v>2</v>
      </c>
      <c r="L127" s="49" t="s">
        <v>116</v>
      </c>
      <c r="M127" s="46" t="s">
        <v>117</v>
      </c>
      <c r="N127" s="50">
        <v>0</v>
      </c>
      <c r="O127" s="50">
        <v>0</v>
      </c>
      <c r="P127" s="50">
        <v>0</v>
      </c>
      <c r="Q127" s="46" t="s">
        <v>102</v>
      </c>
      <c r="R127" s="46" t="s">
        <v>102</v>
      </c>
      <c r="S127" s="46" t="s">
        <v>102</v>
      </c>
      <c r="T127" s="46" t="s">
        <v>203</v>
      </c>
      <c r="U127" s="51">
        <v>4</v>
      </c>
    </row>
    <row r="128" spans="2:21" ht="14.5" outlineLevel="3">
      <c r="B128" s="44" t="s">
        <v>638</v>
      </c>
      <c r="C128" s="45" t="s">
        <v>639</v>
      </c>
      <c r="D128" s="46" t="s">
        <v>458</v>
      </c>
      <c r="E128" s="47" t="s">
        <v>574</v>
      </c>
      <c r="F128" s="46" t="s">
        <v>640</v>
      </c>
      <c r="G128" s="47" t="s">
        <v>639</v>
      </c>
      <c r="H128" s="48">
        <v>45874.05</v>
      </c>
      <c r="I128" s="48">
        <v>26</v>
      </c>
      <c r="J128" s="47" t="s">
        <v>115</v>
      </c>
      <c r="K128" s="49">
        <v>2</v>
      </c>
      <c r="L128" s="49" t="s">
        <v>116</v>
      </c>
      <c r="M128" s="46" t="s">
        <v>117</v>
      </c>
      <c r="N128" s="50">
        <v>0</v>
      </c>
      <c r="O128" s="50">
        <v>0</v>
      </c>
      <c r="P128" s="50">
        <v>0</v>
      </c>
      <c r="Q128" s="46" t="s">
        <v>102</v>
      </c>
      <c r="R128" s="46" t="s">
        <v>102</v>
      </c>
      <c r="S128" s="46" t="s">
        <v>102</v>
      </c>
      <c r="T128" s="46" t="s">
        <v>298</v>
      </c>
      <c r="U128" s="51">
        <v>4</v>
      </c>
    </row>
    <row r="129" spans="2:21" ht="14.5" outlineLevel="3">
      <c r="B129" s="44" t="s">
        <v>641</v>
      </c>
      <c r="C129" s="45" t="s">
        <v>642</v>
      </c>
      <c r="D129" s="46" t="s">
        <v>458</v>
      </c>
      <c r="E129" s="47" t="s">
        <v>574</v>
      </c>
      <c r="F129" s="46" t="s">
        <v>643</v>
      </c>
      <c r="G129" s="47" t="s">
        <v>644</v>
      </c>
      <c r="H129" s="48">
        <v>51114.2</v>
      </c>
      <c r="I129" s="48">
        <v>2</v>
      </c>
      <c r="J129" s="47" t="s">
        <v>115</v>
      </c>
      <c r="K129" s="49">
        <v>2</v>
      </c>
      <c r="L129" s="49" t="s">
        <v>116</v>
      </c>
      <c r="M129" s="46" t="s">
        <v>117</v>
      </c>
      <c r="N129" s="50">
        <v>0</v>
      </c>
      <c r="O129" s="50">
        <v>0</v>
      </c>
      <c r="P129" s="50">
        <v>0</v>
      </c>
      <c r="Q129" s="46" t="s">
        <v>102</v>
      </c>
      <c r="R129" s="46" t="s">
        <v>102</v>
      </c>
      <c r="S129" s="46" t="s">
        <v>102</v>
      </c>
      <c r="T129" s="46" t="s">
        <v>418</v>
      </c>
      <c r="U129" s="51">
        <v>4</v>
      </c>
    </row>
    <row r="130" spans="2:21" ht="14.5" outlineLevel="3">
      <c r="B130" s="44" t="s">
        <v>645</v>
      </c>
      <c r="C130" s="45" t="s">
        <v>646</v>
      </c>
      <c r="D130" s="46" t="s">
        <v>458</v>
      </c>
      <c r="E130" s="47" t="s">
        <v>574</v>
      </c>
      <c r="F130" s="46" t="s">
        <v>647</v>
      </c>
      <c r="G130" s="47" t="s">
        <v>646</v>
      </c>
      <c r="H130" s="48">
        <v>51795.73</v>
      </c>
      <c r="I130" s="48">
        <v>11</v>
      </c>
      <c r="J130" s="47" t="s">
        <v>115</v>
      </c>
      <c r="K130" s="49">
        <v>2</v>
      </c>
      <c r="L130" s="49" t="s">
        <v>116</v>
      </c>
      <c r="M130" s="46" t="s">
        <v>117</v>
      </c>
      <c r="N130" s="50">
        <v>0</v>
      </c>
      <c r="O130" s="50">
        <v>0</v>
      </c>
      <c r="P130" s="50">
        <v>0</v>
      </c>
      <c r="Q130" s="46" t="s">
        <v>102</v>
      </c>
      <c r="R130" s="46" t="s">
        <v>102</v>
      </c>
      <c r="S130" s="46" t="s">
        <v>102</v>
      </c>
      <c r="T130" s="46" t="s">
        <v>208</v>
      </c>
      <c r="U130" s="51">
        <v>4</v>
      </c>
    </row>
    <row r="131" spans="2:21" ht="14.5" outlineLevel="3">
      <c r="B131" s="44" t="s">
        <v>648</v>
      </c>
      <c r="C131" s="45" t="s">
        <v>649</v>
      </c>
      <c r="D131" s="46" t="s">
        <v>458</v>
      </c>
      <c r="E131" s="47" t="s">
        <v>574</v>
      </c>
      <c r="F131" s="46" t="s">
        <v>650</v>
      </c>
      <c r="G131" s="47" t="s">
        <v>651</v>
      </c>
      <c r="H131" s="48">
        <v>52689.279999999999</v>
      </c>
      <c r="I131" s="48">
        <v>2</v>
      </c>
      <c r="J131" s="47" t="s">
        <v>115</v>
      </c>
      <c r="K131" s="49">
        <v>2</v>
      </c>
      <c r="L131" s="49" t="s">
        <v>116</v>
      </c>
      <c r="M131" s="46" t="s">
        <v>117</v>
      </c>
      <c r="N131" s="50">
        <v>0</v>
      </c>
      <c r="O131" s="50">
        <v>0</v>
      </c>
      <c r="P131" s="50">
        <v>0</v>
      </c>
      <c r="Q131" s="46" t="s">
        <v>102</v>
      </c>
      <c r="R131" s="46" t="s">
        <v>102</v>
      </c>
      <c r="S131" s="46" t="s">
        <v>102</v>
      </c>
      <c r="T131" s="46" t="s">
        <v>303</v>
      </c>
      <c r="U131" s="51">
        <v>4</v>
      </c>
    </row>
    <row r="132" spans="2:21" ht="14.5" outlineLevel="3">
      <c r="B132" s="44" t="s">
        <v>652</v>
      </c>
      <c r="C132" s="45" t="s">
        <v>653</v>
      </c>
      <c r="D132" s="46" t="s">
        <v>458</v>
      </c>
      <c r="E132" s="47" t="s">
        <v>574</v>
      </c>
      <c r="F132" s="46" t="s">
        <v>654</v>
      </c>
      <c r="G132" s="47" t="s">
        <v>653</v>
      </c>
      <c r="H132" s="48">
        <v>53143.63</v>
      </c>
      <c r="I132" s="48">
        <v>10</v>
      </c>
      <c r="J132" s="47" t="s">
        <v>115</v>
      </c>
      <c r="K132" s="49">
        <v>2</v>
      </c>
      <c r="L132" s="49" t="s">
        <v>116</v>
      </c>
      <c r="M132" s="46" t="s">
        <v>117</v>
      </c>
      <c r="N132" s="50">
        <v>0</v>
      </c>
      <c r="O132" s="50">
        <v>0</v>
      </c>
      <c r="P132" s="50">
        <v>0</v>
      </c>
      <c r="Q132" s="46" t="s">
        <v>102</v>
      </c>
      <c r="R132" s="46" t="s">
        <v>102</v>
      </c>
      <c r="S132" s="46" t="s">
        <v>102</v>
      </c>
      <c r="T132" s="46" t="s">
        <v>213</v>
      </c>
      <c r="U132" s="51">
        <v>4</v>
      </c>
    </row>
    <row r="133" spans="2:21" ht="14.5" outlineLevel="3">
      <c r="B133" s="44" t="s">
        <v>655</v>
      </c>
      <c r="C133" s="45" t="s">
        <v>656</v>
      </c>
      <c r="D133" s="46" t="s">
        <v>458</v>
      </c>
      <c r="E133" s="47" t="s">
        <v>574</v>
      </c>
      <c r="F133" s="46" t="s">
        <v>657</v>
      </c>
      <c r="G133" s="47" t="s">
        <v>656</v>
      </c>
      <c r="H133" s="48">
        <v>53749.42</v>
      </c>
      <c r="I133" s="48">
        <v>4</v>
      </c>
      <c r="J133" s="47" t="s">
        <v>115</v>
      </c>
      <c r="K133" s="49">
        <v>2</v>
      </c>
      <c r="L133" s="49" t="s">
        <v>116</v>
      </c>
      <c r="M133" s="46" t="s">
        <v>117</v>
      </c>
      <c r="N133" s="50">
        <v>0</v>
      </c>
      <c r="O133" s="50">
        <v>0</v>
      </c>
      <c r="P133" s="50">
        <v>0</v>
      </c>
      <c r="Q133" s="46" t="s">
        <v>102</v>
      </c>
      <c r="R133" s="46" t="s">
        <v>102</v>
      </c>
      <c r="S133" s="46" t="s">
        <v>102</v>
      </c>
      <c r="T133" s="46" t="s">
        <v>658</v>
      </c>
      <c r="U133" s="51">
        <v>4</v>
      </c>
    </row>
    <row r="134" spans="2:21" ht="14.5" outlineLevel="3">
      <c r="B134" s="44" t="s">
        <v>659</v>
      </c>
      <c r="C134" s="45" t="s">
        <v>660</v>
      </c>
      <c r="D134" s="46" t="s">
        <v>458</v>
      </c>
      <c r="E134" s="47" t="s">
        <v>574</v>
      </c>
      <c r="F134" s="46" t="s">
        <v>661</v>
      </c>
      <c r="G134" s="47" t="s">
        <v>662</v>
      </c>
      <c r="H134" s="48">
        <v>13342.7</v>
      </c>
      <c r="I134" s="48">
        <v>24</v>
      </c>
      <c r="J134" s="47" t="s">
        <v>115</v>
      </c>
      <c r="K134" s="49">
        <v>2</v>
      </c>
      <c r="L134" s="49" t="s">
        <v>116</v>
      </c>
      <c r="M134" s="46" t="s">
        <v>117</v>
      </c>
      <c r="N134" s="50">
        <v>0</v>
      </c>
      <c r="O134" s="50">
        <v>0</v>
      </c>
      <c r="P134" s="50">
        <v>0</v>
      </c>
      <c r="Q134" s="46" t="s">
        <v>102</v>
      </c>
      <c r="R134" s="46" t="s">
        <v>102</v>
      </c>
      <c r="S134" s="46" t="s">
        <v>102</v>
      </c>
      <c r="T134" s="46" t="s">
        <v>663</v>
      </c>
      <c r="U134" s="51">
        <v>4</v>
      </c>
    </row>
    <row r="135" spans="2:21" ht="14.5" outlineLevel="3">
      <c r="B135" s="44" t="s">
        <v>664</v>
      </c>
      <c r="C135" s="45" t="s">
        <v>665</v>
      </c>
      <c r="D135" s="46" t="s">
        <v>458</v>
      </c>
      <c r="E135" s="47" t="s">
        <v>574</v>
      </c>
      <c r="F135" s="46" t="s">
        <v>666</v>
      </c>
      <c r="G135" s="47" t="s">
        <v>667</v>
      </c>
      <c r="H135" s="48">
        <v>9374.7199999999993</v>
      </c>
      <c r="I135" s="48">
        <v>52</v>
      </c>
      <c r="J135" s="47" t="s">
        <v>115</v>
      </c>
      <c r="K135" s="49">
        <v>2</v>
      </c>
      <c r="L135" s="49" t="s">
        <v>116</v>
      </c>
      <c r="M135" s="46" t="s">
        <v>117</v>
      </c>
      <c r="N135" s="50">
        <v>0</v>
      </c>
      <c r="O135" s="50">
        <v>0</v>
      </c>
      <c r="P135" s="50">
        <v>0</v>
      </c>
      <c r="Q135" s="46" t="s">
        <v>102</v>
      </c>
      <c r="R135" s="46" t="s">
        <v>102</v>
      </c>
      <c r="S135" s="46" t="s">
        <v>102</v>
      </c>
      <c r="T135" s="46" t="s">
        <v>668</v>
      </c>
      <c r="U135" s="51">
        <v>4</v>
      </c>
    </row>
    <row r="136" spans="2:21" ht="14.5" outlineLevel="3">
      <c r="B136" s="44" t="s">
        <v>669</v>
      </c>
      <c r="C136" s="45" t="s">
        <v>670</v>
      </c>
      <c r="D136" s="46" t="s">
        <v>458</v>
      </c>
      <c r="E136" s="47" t="s">
        <v>574</v>
      </c>
      <c r="F136" s="46" t="s">
        <v>671</v>
      </c>
      <c r="G136" s="47" t="s">
        <v>672</v>
      </c>
      <c r="H136" s="48">
        <v>14857.2</v>
      </c>
      <c r="I136" s="48">
        <v>976</v>
      </c>
      <c r="J136" s="47" t="s">
        <v>115</v>
      </c>
      <c r="K136" s="49">
        <v>2</v>
      </c>
      <c r="L136" s="49" t="s">
        <v>116</v>
      </c>
      <c r="M136" s="46" t="s">
        <v>117</v>
      </c>
      <c r="N136" s="50">
        <v>0</v>
      </c>
      <c r="O136" s="50">
        <v>0</v>
      </c>
      <c r="P136" s="50">
        <v>0</v>
      </c>
      <c r="Q136" s="46" t="s">
        <v>102</v>
      </c>
      <c r="R136" s="46" t="s">
        <v>102</v>
      </c>
      <c r="S136" s="46" t="s">
        <v>102</v>
      </c>
      <c r="T136" s="46" t="s">
        <v>673</v>
      </c>
      <c r="U136" s="51">
        <v>4</v>
      </c>
    </row>
    <row r="137" spans="2:21" ht="14.5" outlineLevel="3">
      <c r="B137" s="44" t="s">
        <v>674</v>
      </c>
      <c r="C137" s="45" t="s">
        <v>675</v>
      </c>
      <c r="D137" s="46" t="s">
        <v>111</v>
      </c>
      <c r="E137" s="47" t="s">
        <v>574</v>
      </c>
      <c r="F137" s="46" t="s">
        <v>676</v>
      </c>
      <c r="G137" s="47" t="s">
        <v>677</v>
      </c>
      <c r="H137" s="48">
        <v>2695.8</v>
      </c>
      <c r="I137" s="48">
        <v>2966.7</v>
      </c>
      <c r="J137" s="47" t="s">
        <v>115</v>
      </c>
      <c r="K137" s="49">
        <v>2</v>
      </c>
      <c r="L137" s="49" t="s">
        <v>116</v>
      </c>
      <c r="M137" s="46" t="s">
        <v>117</v>
      </c>
      <c r="N137" s="50">
        <v>0</v>
      </c>
      <c r="O137" s="50">
        <v>0</v>
      </c>
      <c r="P137" s="50">
        <v>0</v>
      </c>
      <c r="Q137" s="46" t="s">
        <v>102</v>
      </c>
      <c r="R137" s="46" t="s">
        <v>102</v>
      </c>
      <c r="S137" s="46" t="s">
        <v>102</v>
      </c>
      <c r="T137" s="46" t="s">
        <v>678</v>
      </c>
      <c r="U137" s="51">
        <v>4</v>
      </c>
    </row>
    <row r="138" spans="2:21" ht="14.5" outlineLevel="3">
      <c r="B138" s="44" t="s">
        <v>679</v>
      </c>
      <c r="C138" s="45" t="s">
        <v>680</v>
      </c>
      <c r="D138" s="46" t="s">
        <v>111</v>
      </c>
      <c r="E138" s="47" t="s">
        <v>574</v>
      </c>
      <c r="F138" s="46" t="s">
        <v>681</v>
      </c>
      <c r="G138" s="47" t="s">
        <v>682</v>
      </c>
      <c r="H138" s="48">
        <v>2847.25</v>
      </c>
      <c r="I138" s="48">
        <v>12057.1</v>
      </c>
      <c r="J138" s="47" t="s">
        <v>115</v>
      </c>
      <c r="K138" s="49">
        <v>2</v>
      </c>
      <c r="L138" s="49" t="s">
        <v>116</v>
      </c>
      <c r="M138" s="46" t="s">
        <v>117</v>
      </c>
      <c r="N138" s="50">
        <v>0</v>
      </c>
      <c r="O138" s="50">
        <v>0</v>
      </c>
      <c r="P138" s="50">
        <v>0</v>
      </c>
      <c r="Q138" s="46" t="s">
        <v>102</v>
      </c>
      <c r="R138" s="46" t="s">
        <v>102</v>
      </c>
      <c r="S138" s="46" t="s">
        <v>102</v>
      </c>
      <c r="T138" s="46" t="s">
        <v>218</v>
      </c>
      <c r="U138" s="51">
        <v>4</v>
      </c>
    </row>
    <row r="139" spans="2:21" ht="14.5" outlineLevel="3">
      <c r="B139" s="44" t="s">
        <v>683</v>
      </c>
      <c r="C139" s="45" t="s">
        <v>684</v>
      </c>
      <c r="D139" s="46" t="s">
        <v>469</v>
      </c>
      <c r="E139" s="47" t="s">
        <v>574</v>
      </c>
      <c r="F139" s="46" t="s">
        <v>685</v>
      </c>
      <c r="G139" s="47" t="s">
        <v>686</v>
      </c>
      <c r="H139" s="48">
        <v>3256.16</v>
      </c>
      <c r="I139" s="48">
        <v>146</v>
      </c>
      <c r="J139" s="47" t="s">
        <v>115</v>
      </c>
      <c r="K139" s="49">
        <v>2</v>
      </c>
      <c r="L139" s="49" t="s">
        <v>116</v>
      </c>
      <c r="M139" s="46" t="s">
        <v>117</v>
      </c>
      <c r="N139" s="50">
        <v>0</v>
      </c>
      <c r="O139" s="50">
        <v>0</v>
      </c>
      <c r="P139" s="50">
        <v>0</v>
      </c>
      <c r="Q139" s="46" t="s">
        <v>102</v>
      </c>
      <c r="R139" s="46" t="s">
        <v>102</v>
      </c>
      <c r="S139" s="46" t="s">
        <v>102</v>
      </c>
      <c r="T139" s="46" t="s">
        <v>223</v>
      </c>
      <c r="U139" s="51">
        <v>4</v>
      </c>
    </row>
    <row r="140" spans="2:21" ht="14.5" outlineLevel="3">
      <c r="B140" s="44" t="s">
        <v>687</v>
      </c>
      <c r="C140" s="45" t="s">
        <v>688</v>
      </c>
      <c r="D140" s="46" t="s">
        <v>469</v>
      </c>
      <c r="E140" s="47" t="s">
        <v>574</v>
      </c>
      <c r="F140" s="46" t="s">
        <v>689</v>
      </c>
      <c r="G140" s="47" t="s">
        <v>690</v>
      </c>
      <c r="H140" s="48">
        <v>3241.02</v>
      </c>
      <c r="I140" s="48">
        <v>24</v>
      </c>
      <c r="J140" s="47" t="s">
        <v>115</v>
      </c>
      <c r="K140" s="49">
        <v>2</v>
      </c>
      <c r="L140" s="49" t="s">
        <v>116</v>
      </c>
      <c r="M140" s="46" t="s">
        <v>117</v>
      </c>
      <c r="N140" s="50">
        <v>0</v>
      </c>
      <c r="O140" s="50">
        <v>0</v>
      </c>
      <c r="P140" s="50">
        <v>0</v>
      </c>
      <c r="Q140" s="46" t="s">
        <v>102</v>
      </c>
      <c r="R140" s="46" t="s">
        <v>102</v>
      </c>
      <c r="S140" s="46" t="s">
        <v>102</v>
      </c>
      <c r="T140" s="46" t="s">
        <v>691</v>
      </c>
      <c r="U140" s="51">
        <v>4</v>
      </c>
    </row>
    <row r="141" spans="2:21" ht="14.5" outlineLevel="3">
      <c r="B141" s="44" t="s">
        <v>692</v>
      </c>
      <c r="C141" s="45" t="s">
        <v>693</v>
      </c>
      <c r="D141" s="46" t="s">
        <v>469</v>
      </c>
      <c r="E141" s="47" t="s">
        <v>574</v>
      </c>
      <c r="F141" s="46" t="s">
        <v>694</v>
      </c>
      <c r="G141" s="47" t="s">
        <v>693</v>
      </c>
      <c r="H141" s="48">
        <v>7860.23</v>
      </c>
      <c r="I141" s="48">
        <v>28</v>
      </c>
      <c r="J141" s="47" t="s">
        <v>115</v>
      </c>
      <c r="K141" s="49">
        <v>2</v>
      </c>
      <c r="L141" s="49" t="s">
        <v>116</v>
      </c>
      <c r="M141" s="46" t="s">
        <v>117</v>
      </c>
      <c r="N141" s="50">
        <v>0</v>
      </c>
      <c r="O141" s="50">
        <v>0</v>
      </c>
      <c r="P141" s="50">
        <v>0</v>
      </c>
      <c r="Q141" s="46" t="s">
        <v>102</v>
      </c>
      <c r="R141" s="46" t="s">
        <v>102</v>
      </c>
      <c r="S141" s="46" t="s">
        <v>102</v>
      </c>
      <c r="T141" s="46" t="s">
        <v>695</v>
      </c>
      <c r="U141" s="51">
        <v>4</v>
      </c>
    </row>
    <row r="142" spans="2:21" ht="14.5" outlineLevel="3">
      <c r="B142" s="44" t="s">
        <v>696</v>
      </c>
      <c r="C142" s="45" t="s">
        <v>697</v>
      </c>
      <c r="D142" s="46" t="s">
        <v>179</v>
      </c>
      <c r="E142" s="47" t="s">
        <v>574</v>
      </c>
      <c r="F142" s="46" t="s">
        <v>698</v>
      </c>
      <c r="G142" s="47" t="s">
        <v>699</v>
      </c>
      <c r="H142" s="48">
        <v>227.02</v>
      </c>
      <c r="I142" s="48">
        <v>355296</v>
      </c>
      <c r="J142" s="47" t="s">
        <v>115</v>
      </c>
      <c r="K142" s="49">
        <v>2</v>
      </c>
      <c r="L142" s="49" t="s">
        <v>116</v>
      </c>
      <c r="M142" s="46" t="s">
        <v>117</v>
      </c>
      <c r="N142" s="50">
        <v>0</v>
      </c>
      <c r="O142" s="50">
        <v>0</v>
      </c>
      <c r="P142" s="50">
        <v>0</v>
      </c>
      <c r="Q142" s="46" t="s">
        <v>102</v>
      </c>
      <c r="R142" s="46" t="s">
        <v>102</v>
      </c>
      <c r="S142" s="46" t="s">
        <v>102</v>
      </c>
      <c r="T142" s="46" t="s">
        <v>228</v>
      </c>
      <c r="U142" s="51">
        <v>4</v>
      </c>
    </row>
    <row r="143" spans="2:21" ht="14.5" outlineLevel="3">
      <c r="B143" s="44" t="s">
        <v>700</v>
      </c>
      <c r="C143" s="45" t="s">
        <v>701</v>
      </c>
      <c r="D143" s="46" t="s">
        <v>179</v>
      </c>
      <c r="E143" s="47" t="s">
        <v>574</v>
      </c>
      <c r="F143" s="46" t="s">
        <v>702</v>
      </c>
      <c r="G143" s="47" t="s">
        <v>703</v>
      </c>
      <c r="H143" s="48">
        <v>130.25</v>
      </c>
      <c r="I143" s="48">
        <v>355296</v>
      </c>
      <c r="J143" s="47" t="s">
        <v>115</v>
      </c>
      <c r="K143" s="49">
        <v>2</v>
      </c>
      <c r="L143" s="49" t="s">
        <v>116</v>
      </c>
      <c r="M143" s="46" t="s">
        <v>117</v>
      </c>
      <c r="N143" s="50">
        <v>0</v>
      </c>
      <c r="O143" s="50">
        <v>0</v>
      </c>
      <c r="P143" s="50">
        <v>0</v>
      </c>
      <c r="Q143" s="46" t="s">
        <v>102</v>
      </c>
      <c r="R143" s="46" t="s">
        <v>102</v>
      </c>
      <c r="S143" s="46" t="s">
        <v>102</v>
      </c>
      <c r="T143" s="46" t="s">
        <v>233</v>
      </c>
      <c r="U143" s="51">
        <v>4</v>
      </c>
    </row>
    <row r="144" spans="2:21" ht="14.5" outlineLevel="3">
      <c r="B144" s="44" t="s">
        <v>704</v>
      </c>
      <c r="C144" s="45" t="s">
        <v>705</v>
      </c>
      <c r="D144" s="46" t="s">
        <v>179</v>
      </c>
      <c r="E144" s="47" t="s">
        <v>574</v>
      </c>
      <c r="F144" s="46" t="s">
        <v>706</v>
      </c>
      <c r="G144" s="47" t="s">
        <v>707</v>
      </c>
      <c r="H144" s="48">
        <v>54.17</v>
      </c>
      <c r="I144" s="48">
        <v>285605</v>
      </c>
      <c r="J144" s="47" t="s">
        <v>115</v>
      </c>
      <c r="K144" s="49">
        <v>2</v>
      </c>
      <c r="L144" s="49" t="s">
        <v>116</v>
      </c>
      <c r="M144" s="46" t="s">
        <v>117</v>
      </c>
      <c r="N144" s="50">
        <v>0</v>
      </c>
      <c r="O144" s="50">
        <v>0</v>
      </c>
      <c r="P144" s="50">
        <v>0</v>
      </c>
      <c r="Q144" s="46" t="s">
        <v>102</v>
      </c>
      <c r="R144" s="46" t="s">
        <v>102</v>
      </c>
      <c r="S144" s="46" t="s">
        <v>102</v>
      </c>
      <c r="T144" s="46" t="s">
        <v>708</v>
      </c>
      <c r="U144" s="51">
        <v>4</v>
      </c>
    </row>
    <row r="145" spans="2:21" ht="14.5" outlineLevel="3">
      <c r="B145" s="44" t="s">
        <v>709</v>
      </c>
      <c r="C145" s="45" t="s">
        <v>710</v>
      </c>
      <c r="D145" s="46" t="s">
        <v>469</v>
      </c>
      <c r="E145" s="47" t="s">
        <v>574</v>
      </c>
      <c r="F145" s="46" t="s">
        <v>711</v>
      </c>
      <c r="G145" s="47" t="s">
        <v>712</v>
      </c>
      <c r="H145" s="48">
        <v>1896.38</v>
      </c>
      <c r="I145" s="48">
        <v>1828</v>
      </c>
      <c r="J145" s="47" t="s">
        <v>115</v>
      </c>
      <c r="K145" s="49">
        <v>2</v>
      </c>
      <c r="L145" s="49" t="s">
        <v>116</v>
      </c>
      <c r="M145" s="46" t="s">
        <v>117</v>
      </c>
      <c r="N145" s="50">
        <v>0</v>
      </c>
      <c r="O145" s="50">
        <v>0</v>
      </c>
      <c r="P145" s="50">
        <v>0</v>
      </c>
      <c r="Q145" s="46" t="s">
        <v>102</v>
      </c>
      <c r="R145" s="46" t="s">
        <v>102</v>
      </c>
      <c r="S145" s="46" t="s">
        <v>102</v>
      </c>
      <c r="T145" s="46" t="s">
        <v>713</v>
      </c>
      <c r="U145" s="51">
        <v>4</v>
      </c>
    </row>
    <row r="146" spans="2:21" ht="14.5" outlineLevel="3">
      <c r="B146" s="44" t="s">
        <v>714</v>
      </c>
      <c r="C146" s="45" t="s">
        <v>715</v>
      </c>
      <c r="D146" s="46" t="s">
        <v>469</v>
      </c>
      <c r="E146" s="47" t="s">
        <v>574</v>
      </c>
      <c r="F146" s="46" t="s">
        <v>716</v>
      </c>
      <c r="G146" s="47" t="s">
        <v>717</v>
      </c>
      <c r="H146" s="48">
        <v>2044.9</v>
      </c>
      <c r="I146" s="48">
        <v>2831</v>
      </c>
      <c r="J146" s="47" t="s">
        <v>115</v>
      </c>
      <c r="K146" s="49">
        <v>2</v>
      </c>
      <c r="L146" s="49" t="s">
        <v>116</v>
      </c>
      <c r="M146" s="46" t="s">
        <v>117</v>
      </c>
      <c r="N146" s="50">
        <v>0</v>
      </c>
      <c r="O146" s="50">
        <v>0</v>
      </c>
      <c r="P146" s="50">
        <v>0</v>
      </c>
      <c r="Q146" s="46" t="s">
        <v>102</v>
      </c>
      <c r="R146" s="46" t="s">
        <v>102</v>
      </c>
      <c r="S146" s="46" t="s">
        <v>102</v>
      </c>
      <c r="T146" s="46" t="s">
        <v>238</v>
      </c>
      <c r="U146" s="51">
        <v>4</v>
      </c>
    </row>
    <row r="147" spans="2:21" ht="14.5" outlineLevel="3">
      <c r="B147" s="44" t="s">
        <v>718</v>
      </c>
      <c r="C147" s="45" t="s">
        <v>719</v>
      </c>
      <c r="D147" s="46" t="s">
        <v>469</v>
      </c>
      <c r="E147" s="47" t="s">
        <v>574</v>
      </c>
      <c r="F147" s="46" t="s">
        <v>720</v>
      </c>
      <c r="G147" s="47" t="s">
        <v>721</v>
      </c>
      <c r="H147" s="48">
        <v>357.53</v>
      </c>
      <c r="I147" s="48">
        <v>42853</v>
      </c>
      <c r="J147" s="47" t="s">
        <v>115</v>
      </c>
      <c r="K147" s="49">
        <v>2</v>
      </c>
      <c r="L147" s="49" t="s">
        <v>116</v>
      </c>
      <c r="M147" s="46" t="s">
        <v>117</v>
      </c>
      <c r="N147" s="50">
        <v>0</v>
      </c>
      <c r="O147" s="50">
        <v>0</v>
      </c>
      <c r="P147" s="50">
        <v>0</v>
      </c>
      <c r="Q147" s="46" t="s">
        <v>102</v>
      </c>
      <c r="R147" s="46" t="s">
        <v>102</v>
      </c>
      <c r="S147" s="46" t="s">
        <v>102</v>
      </c>
      <c r="T147" s="46" t="s">
        <v>722</v>
      </c>
      <c r="U147" s="51">
        <v>4</v>
      </c>
    </row>
    <row r="148" spans="2:21" ht="14.5" outlineLevel="3">
      <c r="B148" s="44" t="s">
        <v>723</v>
      </c>
      <c r="C148" s="45" t="s">
        <v>724</v>
      </c>
      <c r="D148" s="46" t="s">
        <v>179</v>
      </c>
      <c r="E148" s="47" t="s">
        <v>574</v>
      </c>
      <c r="F148" s="46" t="s">
        <v>725</v>
      </c>
      <c r="G148" s="47" t="s">
        <v>726</v>
      </c>
      <c r="H148" s="48">
        <v>67.819999999999993</v>
      </c>
      <c r="I148" s="48">
        <v>79200</v>
      </c>
      <c r="J148" s="47" t="s">
        <v>115</v>
      </c>
      <c r="K148" s="49">
        <v>2</v>
      </c>
      <c r="L148" s="49" t="s">
        <v>116</v>
      </c>
      <c r="M148" s="46" t="s">
        <v>117</v>
      </c>
      <c r="N148" s="50">
        <v>0</v>
      </c>
      <c r="O148" s="50">
        <v>0</v>
      </c>
      <c r="P148" s="50">
        <v>0</v>
      </c>
      <c r="Q148" s="46" t="s">
        <v>102</v>
      </c>
      <c r="R148" s="46" t="s">
        <v>102</v>
      </c>
      <c r="S148" s="46" t="s">
        <v>102</v>
      </c>
      <c r="T148" s="46" t="s">
        <v>727</v>
      </c>
      <c r="U148" s="51">
        <v>4</v>
      </c>
    </row>
    <row r="149" spans="2:21" ht="14.5" outlineLevel="3">
      <c r="B149" s="44" t="s">
        <v>728</v>
      </c>
      <c r="C149" s="45" t="s">
        <v>729</v>
      </c>
      <c r="D149" s="46" t="s">
        <v>179</v>
      </c>
      <c r="E149" s="47" t="s">
        <v>574</v>
      </c>
      <c r="F149" s="46" t="s">
        <v>730</v>
      </c>
      <c r="G149" s="47" t="s">
        <v>731</v>
      </c>
      <c r="H149" s="48">
        <v>560.36</v>
      </c>
      <c r="I149" s="48">
        <v>1500</v>
      </c>
      <c r="J149" s="47" t="s">
        <v>115</v>
      </c>
      <c r="K149" s="49">
        <v>2</v>
      </c>
      <c r="L149" s="49" t="s">
        <v>116</v>
      </c>
      <c r="M149" s="46" t="s">
        <v>117</v>
      </c>
      <c r="N149" s="50">
        <v>0</v>
      </c>
      <c r="O149" s="50">
        <v>0</v>
      </c>
      <c r="P149" s="50">
        <v>0</v>
      </c>
      <c r="Q149" s="46" t="s">
        <v>102</v>
      </c>
      <c r="R149" s="46" t="s">
        <v>102</v>
      </c>
      <c r="S149" s="46" t="s">
        <v>102</v>
      </c>
      <c r="T149" s="46" t="s">
        <v>427</v>
      </c>
      <c r="U149" s="51">
        <v>4</v>
      </c>
    </row>
    <row r="150" spans="2:21" ht="14.5" outlineLevel="3">
      <c r="B150" s="44" t="s">
        <v>732</v>
      </c>
      <c r="C150" s="45" t="s">
        <v>733</v>
      </c>
      <c r="D150" s="46" t="s">
        <v>458</v>
      </c>
      <c r="E150" s="47" t="s">
        <v>574</v>
      </c>
      <c r="F150" s="46" t="s">
        <v>734</v>
      </c>
      <c r="G150" s="47" t="s">
        <v>735</v>
      </c>
      <c r="H150" s="48">
        <v>3407.61</v>
      </c>
      <c r="I150" s="48">
        <v>8</v>
      </c>
      <c r="J150" s="47" t="s">
        <v>115</v>
      </c>
      <c r="K150" s="49">
        <v>2</v>
      </c>
      <c r="L150" s="49" t="s">
        <v>116</v>
      </c>
      <c r="M150" s="46" t="s">
        <v>117</v>
      </c>
      <c r="N150" s="50">
        <v>0</v>
      </c>
      <c r="O150" s="50">
        <v>0</v>
      </c>
      <c r="P150" s="50">
        <v>0</v>
      </c>
      <c r="Q150" s="46" t="s">
        <v>102</v>
      </c>
      <c r="R150" s="46" t="s">
        <v>102</v>
      </c>
      <c r="S150" s="46" t="s">
        <v>102</v>
      </c>
      <c r="T150" s="46" t="s">
        <v>736</v>
      </c>
      <c r="U150" s="51">
        <v>4</v>
      </c>
    </row>
    <row r="151" spans="2:21" ht="14.5" outlineLevel="3">
      <c r="B151" s="44" t="s">
        <v>737</v>
      </c>
      <c r="C151" s="45" t="s">
        <v>738</v>
      </c>
      <c r="D151" s="46" t="s">
        <v>469</v>
      </c>
      <c r="E151" s="47" t="s">
        <v>574</v>
      </c>
      <c r="F151" s="46" t="s">
        <v>739</v>
      </c>
      <c r="G151" s="47" t="s">
        <v>740</v>
      </c>
      <c r="H151" s="48">
        <v>1105.58</v>
      </c>
      <c r="I151" s="48">
        <v>10</v>
      </c>
      <c r="J151" s="47" t="s">
        <v>115</v>
      </c>
      <c r="K151" s="49">
        <v>2</v>
      </c>
      <c r="L151" s="49" t="s">
        <v>116</v>
      </c>
      <c r="M151" s="46" t="s">
        <v>117</v>
      </c>
      <c r="N151" s="50">
        <v>0</v>
      </c>
      <c r="O151" s="50">
        <v>0</v>
      </c>
      <c r="P151" s="50">
        <v>0</v>
      </c>
      <c r="Q151" s="46" t="s">
        <v>102</v>
      </c>
      <c r="R151" s="46" t="s">
        <v>102</v>
      </c>
      <c r="S151" s="46" t="s">
        <v>102</v>
      </c>
      <c r="T151" s="46" t="s">
        <v>741</v>
      </c>
      <c r="U151" s="51">
        <v>4</v>
      </c>
    </row>
    <row r="152" spans="2:21" ht="14.5" outlineLevel="3">
      <c r="B152" s="44" t="s">
        <v>742</v>
      </c>
      <c r="C152" s="45" t="s">
        <v>743</v>
      </c>
      <c r="D152" s="46" t="s">
        <v>469</v>
      </c>
      <c r="E152" s="47" t="s">
        <v>574</v>
      </c>
      <c r="F152" s="46" t="s">
        <v>744</v>
      </c>
      <c r="G152" s="47" t="s">
        <v>745</v>
      </c>
      <c r="H152" s="48">
        <v>1921.89</v>
      </c>
      <c r="I152" s="48">
        <v>654</v>
      </c>
      <c r="J152" s="47" t="s">
        <v>115</v>
      </c>
      <c r="K152" s="49">
        <v>2</v>
      </c>
      <c r="L152" s="49" t="s">
        <v>116</v>
      </c>
      <c r="M152" s="46" t="s">
        <v>117</v>
      </c>
      <c r="N152" s="50">
        <v>0</v>
      </c>
      <c r="O152" s="50">
        <v>0</v>
      </c>
      <c r="P152" s="50">
        <v>0</v>
      </c>
      <c r="Q152" s="46" t="s">
        <v>102</v>
      </c>
      <c r="R152" s="46" t="s">
        <v>102</v>
      </c>
      <c r="S152" s="46" t="s">
        <v>102</v>
      </c>
      <c r="T152" s="46" t="s">
        <v>243</v>
      </c>
      <c r="U152" s="51">
        <v>4</v>
      </c>
    </row>
    <row r="153" spans="2:21" ht="14.5" outlineLevel="3">
      <c r="B153" s="44" t="s">
        <v>746</v>
      </c>
      <c r="C153" s="45" t="s">
        <v>747</v>
      </c>
      <c r="D153" s="46" t="s">
        <v>469</v>
      </c>
      <c r="E153" s="47" t="s">
        <v>574</v>
      </c>
      <c r="F153" s="46" t="s">
        <v>748</v>
      </c>
      <c r="G153" s="47" t="s">
        <v>749</v>
      </c>
      <c r="H153" s="48">
        <v>3066.85</v>
      </c>
      <c r="I153" s="48">
        <v>134</v>
      </c>
      <c r="J153" s="47" t="s">
        <v>115</v>
      </c>
      <c r="K153" s="49">
        <v>2</v>
      </c>
      <c r="L153" s="49" t="s">
        <v>116</v>
      </c>
      <c r="M153" s="46" t="s">
        <v>117</v>
      </c>
      <c r="N153" s="50">
        <v>0</v>
      </c>
      <c r="O153" s="50">
        <v>0</v>
      </c>
      <c r="P153" s="50">
        <v>0</v>
      </c>
      <c r="Q153" s="46" t="s">
        <v>102</v>
      </c>
      <c r="R153" s="46" t="s">
        <v>102</v>
      </c>
      <c r="S153" s="46" t="s">
        <v>102</v>
      </c>
      <c r="T153" s="46" t="s">
        <v>750</v>
      </c>
      <c r="U153" s="51">
        <v>4</v>
      </c>
    </row>
    <row r="154" spans="2:21" ht="14.5" outlineLevel="3">
      <c r="B154" s="44" t="s">
        <v>751</v>
      </c>
      <c r="C154" s="45" t="s">
        <v>752</v>
      </c>
      <c r="D154" s="46" t="s">
        <v>179</v>
      </c>
      <c r="E154" s="47" t="s">
        <v>574</v>
      </c>
      <c r="F154" s="46" t="s">
        <v>753</v>
      </c>
      <c r="G154" s="47" t="s">
        <v>754</v>
      </c>
      <c r="H154" s="48">
        <v>121.16</v>
      </c>
      <c r="I154" s="48">
        <v>384</v>
      </c>
      <c r="J154" s="47" t="s">
        <v>115</v>
      </c>
      <c r="K154" s="49">
        <v>2</v>
      </c>
      <c r="L154" s="49" t="s">
        <v>116</v>
      </c>
      <c r="M154" s="46" t="s">
        <v>117</v>
      </c>
      <c r="N154" s="50">
        <v>0</v>
      </c>
      <c r="O154" s="50">
        <v>0</v>
      </c>
      <c r="P154" s="50">
        <v>0</v>
      </c>
      <c r="Q154" s="46" t="s">
        <v>102</v>
      </c>
      <c r="R154" s="46" t="s">
        <v>102</v>
      </c>
      <c r="S154" s="46" t="s">
        <v>102</v>
      </c>
      <c r="T154" s="46" t="s">
        <v>755</v>
      </c>
      <c r="U154" s="51">
        <v>4</v>
      </c>
    </row>
    <row r="155" spans="2:21" ht="14.5" outlineLevel="3">
      <c r="B155" s="44" t="s">
        <v>756</v>
      </c>
      <c r="C155" s="45" t="s">
        <v>757</v>
      </c>
      <c r="D155" s="46" t="s">
        <v>179</v>
      </c>
      <c r="E155" s="47" t="s">
        <v>574</v>
      </c>
      <c r="F155" s="46" t="s">
        <v>758</v>
      </c>
      <c r="G155" s="47" t="s">
        <v>759</v>
      </c>
      <c r="H155" s="48">
        <v>136.30000000000001</v>
      </c>
      <c r="I155" s="48">
        <v>3678</v>
      </c>
      <c r="J155" s="47" t="s">
        <v>115</v>
      </c>
      <c r="K155" s="49">
        <v>2</v>
      </c>
      <c r="L155" s="49" t="s">
        <v>116</v>
      </c>
      <c r="M155" s="46" t="s">
        <v>117</v>
      </c>
      <c r="N155" s="50">
        <v>0</v>
      </c>
      <c r="O155" s="50">
        <v>0</v>
      </c>
      <c r="P155" s="50">
        <v>0</v>
      </c>
      <c r="Q155" s="46" t="s">
        <v>102</v>
      </c>
      <c r="R155" s="46" t="s">
        <v>102</v>
      </c>
      <c r="S155" s="46" t="s">
        <v>102</v>
      </c>
      <c r="T155" s="46" t="s">
        <v>760</v>
      </c>
      <c r="U155" s="51">
        <v>4</v>
      </c>
    </row>
    <row r="156" spans="2:21" ht="14.5" outlineLevel="3">
      <c r="B156" s="44" t="s">
        <v>761</v>
      </c>
      <c r="C156" s="45" t="s">
        <v>762</v>
      </c>
      <c r="D156" s="46" t="s">
        <v>469</v>
      </c>
      <c r="E156" s="47" t="s">
        <v>574</v>
      </c>
      <c r="F156" s="46" t="s">
        <v>763</v>
      </c>
      <c r="G156" s="47" t="s">
        <v>764</v>
      </c>
      <c r="H156" s="48">
        <v>2135.44</v>
      </c>
      <c r="I156" s="48">
        <v>94</v>
      </c>
      <c r="J156" s="47" t="s">
        <v>115</v>
      </c>
      <c r="K156" s="49">
        <v>2</v>
      </c>
      <c r="L156" s="49" t="s">
        <v>116</v>
      </c>
      <c r="M156" s="46" t="s">
        <v>117</v>
      </c>
      <c r="N156" s="50">
        <v>0</v>
      </c>
      <c r="O156" s="50">
        <v>0</v>
      </c>
      <c r="P156" s="50">
        <v>0</v>
      </c>
      <c r="Q156" s="46" t="s">
        <v>102</v>
      </c>
      <c r="R156" s="46" t="s">
        <v>102</v>
      </c>
      <c r="S156" s="46" t="s">
        <v>102</v>
      </c>
      <c r="T156" s="46" t="s">
        <v>765</v>
      </c>
      <c r="U156" s="51">
        <v>4</v>
      </c>
    </row>
    <row r="157" spans="2:21" ht="14.5" outlineLevel="3">
      <c r="B157" s="44" t="s">
        <v>766</v>
      </c>
      <c r="C157" s="45" t="s">
        <v>767</v>
      </c>
      <c r="D157" s="46" t="s">
        <v>469</v>
      </c>
      <c r="E157" s="47" t="s">
        <v>574</v>
      </c>
      <c r="F157" s="46" t="s">
        <v>768</v>
      </c>
      <c r="G157" s="47" t="s">
        <v>769</v>
      </c>
      <c r="H157" s="48">
        <v>1257.03</v>
      </c>
      <c r="I157" s="48">
        <v>197</v>
      </c>
      <c r="J157" s="47" t="s">
        <v>115</v>
      </c>
      <c r="K157" s="49">
        <v>2</v>
      </c>
      <c r="L157" s="49" t="s">
        <v>116</v>
      </c>
      <c r="M157" s="46" t="s">
        <v>117</v>
      </c>
      <c r="N157" s="50">
        <v>0</v>
      </c>
      <c r="O157" s="50">
        <v>0</v>
      </c>
      <c r="P157" s="50">
        <v>0</v>
      </c>
      <c r="Q157" s="46" t="s">
        <v>102</v>
      </c>
      <c r="R157" s="46" t="s">
        <v>102</v>
      </c>
      <c r="S157" s="46" t="s">
        <v>102</v>
      </c>
      <c r="T157" s="46" t="s">
        <v>770</v>
      </c>
      <c r="U157" s="51">
        <v>4</v>
      </c>
    </row>
    <row r="158" spans="2:21" ht="14.5" outlineLevel="3">
      <c r="B158" s="44" t="s">
        <v>771</v>
      </c>
      <c r="C158" s="45" t="s">
        <v>772</v>
      </c>
      <c r="D158" s="46" t="s">
        <v>469</v>
      </c>
      <c r="E158" s="47" t="s">
        <v>574</v>
      </c>
      <c r="F158" s="46" t="s">
        <v>773</v>
      </c>
      <c r="G158" s="47" t="s">
        <v>772</v>
      </c>
      <c r="H158" s="48">
        <v>5103.8500000000004</v>
      </c>
      <c r="I158" s="48">
        <v>197</v>
      </c>
      <c r="J158" s="47" t="s">
        <v>115</v>
      </c>
      <c r="K158" s="49">
        <v>2</v>
      </c>
      <c r="L158" s="49" t="s">
        <v>116</v>
      </c>
      <c r="M158" s="46" t="s">
        <v>117</v>
      </c>
      <c r="N158" s="50">
        <v>0</v>
      </c>
      <c r="O158" s="50">
        <v>0</v>
      </c>
      <c r="P158" s="50">
        <v>0</v>
      </c>
      <c r="Q158" s="46" t="s">
        <v>102</v>
      </c>
      <c r="R158" s="46" t="s">
        <v>102</v>
      </c>
      <c r="S158" s="46" t="s">
        <v>102</v>
      </c>
      <c r="T158" s="46" t="s">
        <v>774</v>
      </c>
      <c r="U158" s="51">
        <v>4</v>
      </c>
    </row>
    <row r="159" spans="2:21" ht="14.5" outlineLevel="3">
      <c r="B159" s="44" t="s">
        <v>775</v>
      </c>
      <c r="C159" s="45" t="s">
        <v>776</v>
      </c>
      <c r="D159" s="46" t="s">
        <v>469</v>
      </c>
      <c r="E159" s="47" t="s">
        <v>574</v>
      </c>
      <c r="F159" s="46" t="s">
        <v>777</v>
      </c>
      <c r="G159" s="47" t="s">
        <v>776</v>
      </c>
      <c r="H159" s="48">
        <v>7542.18</v>
      </c>
      <c r="I159" s="48">
        <v>5986</v>
      </c>
      <c r="J159" s="47" t="s">
        <v>115</v>
      </c>
      <c r="K159" s="49">
        <v>2</v>
      </c>
      <c r="L159" s="49" t="s">
        <v>116</v>
      </c>
      <c r="M159" s="46" t="s">
        <v>117</v>
      </c>
      <c r="N159" s="50">
        <v>0</v>
      </c>
      <c r="O159" s="50">
        <v>0</v>
      </c>
      <c r="P159" s="50">
        <v>0</v>
      </c>
      <c r="Q159" s="46" t="s">
        <v>102</v>
      </c>
      <c r="R159" s="46" t="s">
        <v>102</v>
      </c>
      <c r="S159" s="46" t="s">
        <v>102</v>
      </c>
      <c r="T159" s="46" t="s">
        <v>778</v>
      </c>
      <c r="U159" s="51">
        <v>4</v>
      </c>
    </row>
    <row r="160" spans="2:21" ht="14.5" outlineLevel="3">
      <c r="B160" s="44" t="s">
        <v>779</v>
      </c>
      <c r="C160" s="45" t="s">
        <v>780</v>
      </c>
      <c r="D160" s="46" t="s">
        <v>469</v>
      </c>
      <c r="E160" s="47" t="s">
        <v>574</v>
      </c>
      <c r="F160" s="46" t="s">
        <v>781</v>
      </c>
      <c r="G160" s="47" t="s">
        <v>782</v>
      </c>
      <c r="H160" s="48">
        <v>7496.75</v>
      </c>
      <c r="I160" s="48">
        <v>598</v>
      </c>
      <c r="J160" s="47" t="s">
        <v>115</v>
      </c>
      <c r="K160" s="49">
        <v>2</v>
      </c>
      <c r="L160" s="49" t="s">
        <v>116</v>
      </c>
      <c r="M160" s="46" t="s">
        <v>117</v>
      </c>
      <c r="N160" s="50">
        <v>0</v>
      </c>
      <c r="O160" s="50">
        <v>0</v>
      </c>
      <c r="P160" s="50">
        <v>0</v>
      </c>
      <c r="Q160" s="46" t="s">
        <v>102</v>
      </c>
      <c r="R160" s="46" t="s">
        <v>102</v>
      </c>
      <c r="S160" s="46" t="s">
        <v>102</v>
      </c>
      <c r="T160" s="46" t="s">
        <v>432</v>
      </c>
      <c r="U160" s="51">
        <v>4</v>
      </c>
    </row>
    <row r="161" spans="2:21" ht="14.5" outlineLevel="3">
      <c r="B161" s="44" t="s">
        <v>783</v>
      </c>
      <c r="C161" s="45" t="s">
        <v>784</v>
      </c>
      <c r="D161" s="46" t="s">
        <v>469</v>
      </c>
      <c r="E161" s="47" t="s">
        <v>574</v>
      </c>
      <c r="F161" s="46" t="s">
        <v>785</v>
      </c>
      <c r="G161" s="47" t="s">
        <v>786</v>
      </c>
      <c r="H161" s="48">
        <v>3180.44</v>
      </c>
      <c r="I161" s="48">
        <v>13</v>
      </c>
      <c r="J161" s="47" t="s">
        <v>115</v>
      </c>
      <c r="K161" s="49">
        <v>2</v>
      </c>
      <c r="L161" s="49" t="s">
        <v>116</v>
      </c>
      <c r="M161" s="46" t="s">
        <v>117</v>
      </c>
      <c r="N161" s="50">
        <v>0</v>
      </c>
      <c r="O161" s="50">
        <v>0</v>
      </c>
      <c r="P161" s="50">
        <v>0</v>
      </c>
      <c r="Q161" s="46" t="s">
        <v>102</v>
      </c>
      <c r="R161" s="46" t="s">
        <v>102</v>
      </c>
      <c r="S161" s="46" t="s">
        <v>102</v>
      </c>
      <c r="T161" s="46" t="s">
        <v>436</v>
      </c>
      <c r="U161" s="51">
        <v>4</v>
      </c>
    </row>
    <row r="162" spans="2:21" ht="14.5" outlineLevel="3">
      <c r="B162" s="44" t="s">
        <v>787</v>
      </c>
      <c r="C162" s="45" t="s">
        <v>788</v>
      </c>
      <c r="D162" s="46" t="s">
        <v>469</v>
      </c>
      <c r="E162" s="47" t="s">
        <v>574</v>
      </c>
      <c r="F162" s="46" t="s">
        <v>789</v>
      </c>
      <c r="G162" s="47" t="s">
        <v>790</v>
      </c>
      <c r="H162" s="48">
        <v>2892.69</v>
      </c>
      <c r="I162" s="48">
        <v>13</v>
      </c>
      <c r="J162" s="47" t="s">
        <v>115</v>
      </c>
      <c r="K162" s="49">
        <v>2</v>
      </c>
      <c r="L162" s="49" t="s">
        <v>116</v>
      </c>
      <c r="M162" s="46" t="s">
        <v>117</v>
      </c>
      <c r="N162" s="50">
        <v>0</v>
      </c>
      <c r="O162" s="50">
        <v>0</v>
      </c>
      <c r="P162" s="50">
        <v>0</v>
      </c>
      <c r="Q162" s="46" t="s">
        <v>102</v>
      </c>
      <c r="R162" s="46" t="s">
        <v>102</v>
      </c>
      <c r="S162" s="46" t="s">
        <v>102</v>
      </c>
      <c r="T162" s="46" t="s">
        <v>791</v>
      </c>
      <c r="U162" s="51">
        <v>4</v>
      </c>
    </row>
    <row r="163" spans="2:21" ht="14.5" outlineLevel="3">
      <c r="B163" s="44" t="s">
        <v>792</v>
      </c>
      <c r="C163" s="45" t="s">
        <v>793</v>
      </c>
      <c r="D163" s="46" t="s">
        <v>469</v>
      </c>
      <c r="E163" s="47" t="s">
        <v>574</v>
      </c>
      <c r="F163" s="46" t="s">
        <v>794</v>
      </c>
      <c r="G163" s="47" t="s">
        <v>795</v>
      </c>
      <c r="H163" s="48">
        <v>2710.95</v>
      </c>
      <c r="I163" s="48">
        <v>118</v>
      </c>
      <c r="J163" s="47" t="s">
        <v>115</v>
      </c>
      <c r="K163" s="49">
        <v>2</v>
      </c>
      <c r="L163" s="49" t="s">
        <v>116</v>
      </c>
      <c r="M163" s="46" t="s">
        <v>117</v>
      </c>
      <c r="N163" s="50">
        <v>0</v>
      </c>
      <c r="O163" s="50">
        <v>0</v>
      </c>
      <c r="P163" s="50">
        <v>0</v>
      </c>
      <c r="Q163" s="46" t="s">
        <v>102</v>
      </c>
      <c r="R163" s="46" t="s">
        <v>102</v>
      </c>
      <c r="S163" s="46" t="s">
        <v>102</v>
      </c>
      <c r="T163" s="46" t="s">
        <v>796</v>
      </c>
      <c r="U163" s="51">
        <v>4</v>
      </c>
    </row>
    <row r="164" spans="2:21" ht="14.5" outlineLevel="3">
      <c r="B164" s="44" t="s">
        <v>797</v>
      </c>
      <c r="C164" s="45" t="s">
        <v>798</v>
      </c>
      <c r="D164" s="46" t="s">
        <v>469</v>
      </c>
      <c r="E164" s="47" t="s">
        <v>574</v>
      </c>
      <c r="F164" s="46" t="s">
        <v>799</v>
      </c>
      <c r="G164" s="47" t="s">
        <v>800</v>
      </c>
      <c r="H164" s="48">
        <v>4725.22</v>
      </c>
      <c r="I164" s="48">
        <v>196</v>
      </c>
      <c r="J164" s="47" t="s">
        <v>115</v>
      </c>
      <c r="K164" s="49">
        <v>2</v>
      </c>
      <c r="L164" s="49" t="s">
        <v>116</v>
      </c>
      <c r="M164" s="46" t="s">
        <v>117</v>
      </c>
      <c r="N164" s="50">
        <v>0</v>
      </c>
      <c r="O164" s="50">
        <v>0</v>
      </c>
      <c r="P164" s="50">
        <v>0</v>
      </c>
      <c r="Q164" s="46" t="s">
        <v>102</v>
      </c>
      <c r="R164" s="46" t="s">
        <v>102</v>
      </c>
      <c r="S164" s="46" t="s">
        <v>102</v>
      </c>
      <c r="T164" s="46" t="s">
        <v>801</v>
      </c>
      <c r="U164" s="51">
        <v>4</v>
      </c>
    </row>
    <row r="165" spans="2:21" ht="14.5" outlineLevel="3">
      <c r="B165" s="44" t="s">
        <v>802</v>
      </c>
      <c r="C165" s="45" t="s">
        <v>803</v>
      </c>
      <c r="D165" s="46" t="s">
        <v>469</v>
      </c>
      <c r="E165" s="47" t="s">
        <v>574</v>
      </c>
      <c r="F165" s="46" t="s">
        <v>804</v>
      </c>
      <c r="G165" s="47" t="s">
        <v>805</v>
      </c>
      <c r="H165" s="48">
        <v>17840.75</v>
      </c>
      <c r="I165" s="48">
        <v>256</v>
      </c>
      <c r="J165" s="47" t="s">
        <v>115</v>
      </c>
      <c r="K165" s="49">
        <v>2</v>
      </c>
      <c r="L165" s="49" t="s">
        <v>116</v>
      </c>
      <c r="M165" s="46" t="s">
        <v>117</v>
      </c>
      <c r="N165" s="50">
        <v>0</v>
      </c>
      <c r="O165" s="50">
        <v>0</v>
      </c>
      <c r="P165" s="50">
        <v>0</v>
      </c>
      <c r="Q165" s="46" t="s">
        <v>102</v>
      </c>
      <c r="R165" s="46" t="s">
        <v>102</v>
      </c>
      <c r="S165" s="46" t="s">
        <v>102</v>
      </c>
      <c r="T165" s="46" t="s">
        <v>806</v>
      </c>
      <c r="U165" s="51">
        <v>4</v>
      </c>
    </row>
    <row r="166" spans="2:21" ht="14.5" outlineLevel="3">
      <c r="B166" s="44" t="s">
        <v>807</v>
      </c>
      <c r="C166" s="45" t="s">
        <v>808</v>
      </c>
      <c r="D166" s="46" t="s">
        <v>469</v>
      </c>
      <c r="E166" s="47" t="s">
        <v>574</v>
      </c>
      <c r="F166" s="46" t="s">
        <v>809</v>
      </c>
      <c r="G166" s="47" t="s">
        <v>810</v>
      </c>
      <c r="H166" s="48">
        <v>22081.34</v>
      </c>
      <c r="I166" s="48">
        <v>24</v>
      </c>
      <c r="J166" s="47" t="s">
        <v>115</v>
      </c>
      <c r="K166" s="49">
        <v>2</v>
      </c>
      <c r="L166" s="49" t="s">
        <v>116</v>
      </c>
      <c r="M166" s="46" t="s">
        <v>117</v>
      </c>
      <c r="N166" s="50">
        <v>0</v>
      </c>
      <c r="O166" s="50">
        <v>0</v>
      </c>
      <c r="P166" s="50">
        <v>0</v>
      </c>
      <c r="Q166" s="46" t="s">
        <v>102</v>
      </c>
      <c r="R166" s="46" t="s">
        <v>102</v>
      </c>
      <c r="S166" s="46" t="s">
        <v>102</v>
      </c>
      <c r="T166" s="46" t="s">
        <v>811</v>
      </c>
      <c r="U166" s="51">
        <v>4</v>
      </c>
    </row>
    <row r="167" spans="2:21" ht="14.5" outlineLevel="3">
      <c r="B167" s="44" t="s">
        <v>812</v>
      </c>
      <c r="C167" s="45" t="s">
        <v>813</v>
      </c>
      <c r="D167" s="46" t="s">
        <v>458</v>
      </c>
      <c r="E167" s="47" t="s">
        <v>574</v>
      </c>
      <c r="F167" s="46" t="s">
        <v>814</v>
      </c>
      <c r="G167" s="47" t="s">
        <v>815</v>
      </c>
      <c r="H167" s="48">
        <v>2998.7</v>
      </c>
      <c r="I167" s="48">
        <v>1676</v>
      </c>
      <c r="J167" s="47" t="s">
        <v>115</v>
      </c>
      <c r="K167" s="49">
        <v>2</v>
      </c>
      <c r="L167" s="49" t="s">
        <v>116</v>
      </c>
      <c r="M167" s="46" t="s">
        <v>117</v>
      </c>
      <c r="N167" s="50">
        <v>0</v>
      </c>
      <c r="O167" s="50">
        <v>0</v>
      </c>
      <c r="P167" s="50">
        <v>0</v>
      </c>
      <c r="Q167" s="46" t="s">
        <v>102</v>
      </c>
      <c r="R167" s="46" t="s">
        <v>102</v>
      </c>
      <c r="S167" s="46" t="s">
        <v>102</v>
      </c>
      <c r="T167" s="46" t="s">
        <v>816</v>
      </c>
      <c r="U167" s="51">
        <v>4</v>
      </c>
    </row>
    <row r="168" spans="2:21" ht="14.5" outlineLevel="3">
      <c r="B168" s="44" t="s">
        <v>817</v>
      </c>
      <c r="C168" s="45" t="s">
        <v>818</v>
      </c>
      <c r="D168" s="46" t="s">
        <v>469</v>
      </c>
      <c r="E168" s="47" t="s">
        <v>574</v>
      </c>
      <c r="F168" s="46" t="s">
        <v>819</v>
      </c>
      <c r="G168" s="47" t="s">
        <v>820</v>
      </c>
      <c r="H168" s="48">
        <v>41648.61</v>
      </c>
      <c r="I168" s="48">
        <v>501</v>
      </c>
      <c r="J168" s="47" t="s">
        <v>115</v>
      </c>
      <c r="K168" s="49">
        <v>2</v>
      </c>
      <c r="L168" s="49" t="s">
        <v>116</v>
      </c>
      <c r="M168" s="46" t="s">
        <v>117</v>
      </c>
      <c r="N168" s="50">
        <v>0</v>
      </c>
      <c r="O168" s="50">
        <v>0</v>
      </c>
      <c r="P168" s="50">
        <v>0</v>
      </c>
      <c r="Q168" s="46" t="s">
        <v>102</v>
      </c>
      <c r="R168" s="46" t="s">
        <v>102</v>
      </c>
      <c r="S168" s="46" t="s">
        <v>102</v>
      </c>
      <c r="T168" s="46" t="s">
        <v>821</v>
      </c>
      <c r="U168" s="51">
        <v>4</v>
      </c>
    </row>
    <row r="169" spans="2:21" ht="14.5" outlineLevel="3">
      <c r="B169" s="44" t="s">
        <v>822</v>
      </c>
      <c r="C169" s="45" t="s">
        <v>823</v>
      </c>
      <c r="D169" s="46" t="s">
        <v>469</v>
      </c>
      <c r="E169" s="47" t="s">
        <v>574</v>
      </c>
      <c r="F169" s="46" t="s">
        <v>824</v>
      </c>
      <c r="G169" s="47" t="s">
        <v>825</v>
      </c>
      <c r="H169" s="48">
        <v>65002.12</v>
      </c>
      <c r="I169" s="48">
        <v>24</v>
      </c>
      <c r="J169" s="47" t="s">
        <v>115</v>
      </c>
      <c r="K169" s="49">
        <v>2</v>
      </c>
      <c r="L169" s="49" t="s">
        <v>116</v>
      </c>
      <c r="M169" s="46" t="s">
        <v>117</v>
      </c>
      <c r="N169" s="50">
        <v>0</v>
      </c>
      <c r="O169" s="50">
        <v>0</v>
      </c>
      <c r="P169" s="50">
        <v>0</v>
      </c>
      <c r="Q169" s="46" t="s">
        <v>102</v>
      </c>
      <c r="R169" s="46" t="s">
        <v>102</v>
      </c>
      <c r="S169" s="46" t="s">
        <v>102</v>
      </c>
      <c r="T169" s="46" t="s">
        <v>826</v>
      </c>
      <c r="U169" s="51">
        <v>4</v>
      </c>
    </row>
    <row r="170" spans="2:21" ht="14.5" outlineLevel="3">
      <c r="B170" s="44" t="s">
        <v>827</v>
      </c>
      <c r="C170" s="45" t="s">
        <v>828</v>
      </c>
      <c r="D170" s="46" t="s">
        <v>469</v>
      </c>
      <c r="E170" s="47" t="s">
        <v>574</v>
      </c>
      <c r="F170" s="46" t="s">
        <v>829</v>
      </c>
      <c r="G170" s="47" t="s">
        <v>830</v>
      </c>
      <c r="H170" s="48">
        <v>134790.04999999999</v>
      </c>
      <c r="I170" s="48">
        <v>96</v>
      </c>
      <c r="J170" s="47" t="s">
        <v>115</v>
      </c>
      <c r="K170" s="49">
        <v>2</v>
      </c>
      <c r="L170" s="49" t="s">
        <v>116</v>
      </c>
      <c r="M170" s="46" t="s">
        <v>117</v>
      </c>
      <c r="N170" s="50">
        <v>0</v>
      </c>
      <c r="O170" s="50">
        <v>0</v>
      </c>
      <c r="P170" s="50">
        <v>0</v>
      </c>
      <c r="Q170" s="46" t="s">
        <v>102</v>
      </c>
      <c r="R170" s="46" t="s">
        <v>102</v>
      </c>
      <c r="S170" s="46" t="s">
        <v>102</v>
      </c>
      <c r="T170" s="46" t="s">
        <v>831</v>
      </c>
      <c r="U170" s="51">
        <v>4</v>
      </c>
    </row>
    <row r="171" spans="2:21" ht="14.5" outlineLevel="3">
      <c r="B171" s="44" t="s">
        <v>832</v>
      </c>
      <c r="C171" s="45" t="s">
        <v>833</v>
      </c>
      <c r="D171" s="46" t="s">
        <v>458</v>
      </c>
      <c r="E171" s="47" t="s">
        <v>574</v>
      </c>
      <c r="F171" s="46" t="s">
        <v>834</v>
      </c>
      <c r="G171" s="47" t="s">
        <v>833</v>
      </c>
      <c r="H171" s="48">
        <v>3347.03</v>
      </c>
      <c r="I171" s="48">
        <v>82</v>
      </c>
      <c r="J171" s="47" t="s">
        <v>115</v>
      </c>
      <c r="K171" s="49">
        <v>2</v>
      </c>
      <c r="L171" s="49" t="s">
        <v>116</v>
      </c>
      <c r="M171" s="46" t="s">
        <v>117</v>
      </c>
      <c r="N171" s="50">
        <v>0</v>
      </c>
      <c r="O171" s="50">
        <v>0</v>
      </c>
      <c r="P171" s="50">
        <v>0</v>
      </c>
      <c r="Q171" s="46" t="s">
        <v>102</v>
      </c>
      <c r="R171" s="46" t="s">
        <v>102</v>
      </c>
      <c r="S171" s="46" t="s">
        <v>102</v>
      </c>
      <c r="T171" s="46" t="s">
        <v>835</v>
      </c>
      <c r="U171" s="51">
        <v>4</v>
      </c>
    </row>
    <row r="172" spans="2:21" ht="14.5" outlineLevel="3">
      <c r="B172" s="44" t="s">
        <v>836</v>
      </c>
      <c r="C172" s="45" t="s">
        <v>837</v>
      </c>
      <c r="D172" s="46" t="s">
        <v>458</v>
      </c>
      <c r="E172" s="47" t="s">
        <v>574</v>
      </c>
      <c r="F172" s="46" t="s">
        <v>838</v>
      </c>
      <c r="G172" s="47" t="s">
        <v>839</v>
      </c>
      <c r="H172" s="48">
        <v>73301.55</v>
      </c>
      <c r="I172" s="48">
        <v>27</v>
      </c>
      <c r="J172" s="47" t="s">
        <v>115</v>
      </c>
      <c r="K172" s="49">
        <v>2</v>
      </c>
      <c r="L172" s="49" t="s">
        <v>116</v>
      </c>
      <c r="M172" s="46" t="s">
        <v>117</v>
      </c>
      <c r="N172" s="50">
        <v>0</v>
      </c>
      <c r="O172" s="50">
        <v>0</v>
      </c>
      <c r="P172" s="50">
        <v>0</v>
      </c>
      <c r="Q172" s="46" t="s">
        <v>102</v>
      </c>
      <c r="R172" s="46" t="s">
        <v>102</v>
      </c>
      <c r="S172" s="46" t="s">
        <v>102</v>
      </c>
      <c r="T172" s="46" t="s">
        <v>840</v>
      </c>
      <c r="U172" s="51">
        <v>4</v>
      </c>
    </row>
    <row r="173" spans="2:21" ht="14.5" outlineLevel="3">
      <c r="B173" s="44" t="s">
        <v>841</v>
      </c>
      <c r="C173" s="45" t="s">
        <v>842</v>
      </c>
      <c r="D173" s="46" t="s">
        <v>458</v>
      </c>
      <c r="E173" s="47" t="s">
        <v>574</v>
      </c>
      <c r="F173" s="46" t="s">
        <v>843</v>
      </c>
      <c r="G173" s="47" t="s">
        <v>844</v>
      </c>
      <c r="H173" s="48">
        <v>7466.46</v>
      </c>
      <c r="I173" s="48">
        <v>54</v>
      </c>
      <c r="J173" s="47" t="s">
        <v>115</v>
      </c>
      <c r="K173" s="49">
        <v>2</v>
      </c>
      <c r="L173" s="49" t="s">
        <v>116</v>
      </c>
      <c r="M173" s="46" t="s">
        <v>117</v>
      </c>
      <c r="N173" s="50">
        <v>0</v>
      </c>
      <c r="O173" s="50">
        <v>0</v>
      </c>
      <c r="P173" s="50">
        <v>0</v>
      </c>
      <c r="Q173" s="46" t="s">
        <v>102</v>
      </c>
      <c r="R173" s="46" t="s">
        <v>102</v>
      </c>
      <c r="S173" s="46" t="s">
        <v>102</v>
      </c>
      <c r="T173" s="46" t="s">
        <v>845</v>
      </c>
      <c r="U173" s="51">
        <v>4</v>
      </c>
    </row>
    <row r="174" spans="2:21" ht="14.5" outlineLevel="3">
      <c r="B174" s="44" t="s">
        <v>846</v>
      </c>
      <c r="C174" s="45" t="s">
        <v>847</v>
      </c>
      <c r="D174" s="46" t="s">
        <v>469</v>
      </c>
      <c r="E174" s="47" t="s">
        <v>574</v>
      </c>
      <c r="F174" s="46" t="s">
        <v>848</v>
      </c>
      <c r="G174" s="47" t="s">
        <v>849</v>
      </c>
      <c r="H174" s="48">
        <v>3786.24</v>
      </c>
      <c r="I174" s="48">
        <v>720</v>
      </c>
      <c r="J174" s="47" t="s">
        <v>115</v>
      </c>
      <c r="K174" s="49">
        <v>2</v>
      </c>
      <c r="L174" s="49" t="s">
        <v>116</v>
      </c>
      <c r="M174" s="46" t="s">
        <v>117</v>
      </c>
      <c r="N174" s="50">
        <v>0</v>
      </c>
      <c r="O174" s="50">
        <v>0</v>
      </c>
      <c r="P174" s="50">
        <v>0</v>
      </c>
      <c r="Q174" s="46" t="s">
        <v>102</v>
      </c>
      <c r="R174" s="46" t="s">
        <v>102</v>
      </c>
      <c r="S174" s="46" t="s">
        <v>102</v>
      </c>
      <c r="T174" s="46" t="s">
        <v>850</v>
      </c>
      <c r="U174" s="51">
        <v>4</v>
      </c>
    </row>
    <row r="175" spans="2:21" ht="14.5" outlineLevel="3">
      <c r="B175" s="44" t="s">
        <v>851</v>
      </c>
      <c r="C175" s="45" t="s">
        <v>852</v>
      </c>
      <c r="D175" s="46" t="s">
        <v>195</v>
      </c>
      <c r="E175" s="47" t="s">
        <v>574</v>
      </c>
      <c r="F175" s="46" t="s">
        <v>853</v>
      </c>
      <c r="G175" s="47" t="s">
        <v>854</v>
      </c>
      <c r="H175" s="48">
        <v>37.86</v>
      </c>
      <c r="I175" s="48">
        <v>182000</v>
      </c>
      <c r="J175" s="47" t="s">
        <v>115</v>
      </c>
      <c r="K175" s="49">
        <v>2</v>
      </c>
      <c r="L175" s="49" t="s">
        <v>116</v>
      </c>
      <c r="M175" s="46" t="s">
        <v>117</v>
      </c>
      <c r="N175" s="50">
        <v>0</v>
      </c>
      <c r="O175" s="50">
        <v>0</v>
      </c>
      <c r="P175" s="50">
        <v>0</v>
      </c>
      <c r="Q175" s="46" t="s">
        <v>102</v>
      </c>
      <c r="R175" s="46" t="s">
        <v>102</v>
      </c>
      <c r="S175" s="46" t="s">
        <v>102</v>
      </c>
      <c r="T175" s="46" t="s">
        <v>855</v>
      </c>
      <c r="U175" s="51">
        <v>4</v>
      </c>
    </row>
    <row r="176" spans="2:21" ht="14.5" outlineLevel="3">
      <c r="B176" s="44" t="s">
        <v>856</v>
      </c>
      <c r="C176" s="45" t="s">
        <v>857</v>
      </c>
      <c r="D176" s="46" t="s">
        <v>458</v>
      </c>
      <c r="E176" s="47" t="s">
        <v>574</v>
      </c>
      <c r="F176" s="46" t="s">
        <v>858</v>
      </c>
      <c r="G176" s="47" t="s">
        <v>859</v>
      </c>
      <c r="H176" s="48">
        <v>1014.71</v>
      </c>
      <c r="I176" s="48">
        <v>24</v>
      </c>
      <c r="J176" s="47" t="s">
        <v>115</v>
      </c>
      <c r="K176" s="49">
        <v>2</v>
      </c>
      <c r="L176" s="49" t="s">
        <v>116</v>
      </c>
      <c r="M176" s="46" t="s">
        <v>117</v>
      </c>
      <c r="N176" s="50">
        <v>0</v>
      </c>
      <c r="O176" s="50">
        <v>0</v>
      </c>
      <c r="P176" s="50">
        <v>0</v>
      </c>
      <c r="Q176" s="46" t="s">
        <v>102</v>
      </c>
      <c r="R176" s="46" t="s">
        <v>102</v>
      </c>
      <c r="S176" s="46" t="s">
        <v>102</v>
      </c>
      <c r="T176" s="46" t="s">
        <v>860</v>
      </c>
      <c r="U176" s="51">
        <v>4</v>
      </c>
    </row>
    <row r="177" spans="2:21" ht="14.5" outlineLevel="3">
      <c r="B177" s="44" t="s">
        <v>861</v>
      </c>
      <c r="C177" s="45" t="s">
        <v>862</v>
      </c>
      <c r="D177" s="46" t="s">
        <v>458</v>
      </c>
      <c r="E177" s="47" t="s">
        <v>574</v>
      </c>
      <c r="F177" s="46" t="s">
        <v>863</v>
      </c>
      <c r="G177" s="47" t="s">
        <v>864</v>
      </c>
      <c r="H177" s="48">
        <v>1014.71</v>
      </c>
      <c r="I177" s="48">
        <v>24</v>
      </c>
      <c r="J177" s="47" t="s">
        <v>115</v>
      </c>
      <c r="K177" s="49">
        <v>2</v>
      </c>
      <c r="L177" s="49" t="s">
        <v>116</v>
      </c>
      <c r="M177" s="46" t="s">
        <v>117</v>
      </c>
      <c r="N177" s="50">
        <v>0</v>
      </c>
      <c r="O177" s="50">
        <v>0</v>
      </c>
      <c r="P177" s="50">
        <v>0</v>
      </c>
      <c r="Q177" s="46" t="s">
        <v>102</v>
      </c>
      <c r="R177" s="46" t="s">
        <v>102</v>
      </c>
      <c r="S177" s="46" t="s">
        <v>102</v>
      </c>
      <c r="T177" s="46" t="s">
        <v>865</v>
      </c>
      <c r="U177" s="51">
        <v>4</v>
      </c>
    </row>
    <row r="178" spans="2:21" ht="14.5" outlineLevel="3">
      <c r="B178" s="44" t="s">
        <v>866</v>
      </c>
      <c r="C178" s="45" t="s">
        <v>867</v>
      </c>
      <c r="D178" s="46" t="s">
        <v>458</v>
      </c>
      <c r="E178" s="47" t="s">
        <v>574</v>
      </c>
      <c r="F178" s="46" t="s">
        <v>868</v>
      </c>
      <c r="G178" s="47" t="s">
        <v>869</v>
      </c>
      <c r="H178" s="48">
        <v>151.44999999999999</v>
      </c>
      <c r="I178" s="48">
        <v>5943</v>
      </c>
      <c r="J178" s="47" t="s">
        <v>115</v>
      </c>
      <c r="K178" s="49">
        <v>2</v>
      </c>
      <c r="L178" s="49" t="s">
        <v>116</v>
      </c>
      <c r="M178" s="46" t="s">
        <v>117</v>
      </c>
      <c r="N178" s="50">
        <v>0</v>
      </c>
      <c r="O178" s="50">
        <v>0</v>
      </c>
      <c r="P178" s="50">
        <v>0</v>
      </c>
      <c r="Q178" s="46" t="s">
        <v>102</v>
      </c>
      <c r="R178" s="46" t="s">
        <v>102</v>
      </c>
      <c r="S178" s="46" t="s">
        <v>102</v>
      </c>
      <c r="T178" s="46" t="s">
        <v>870</v>
      </c>
      <c r="U178" s="51">
        <v>4</v>
      </c>
    </row>
    <row r="179" spans="2:21" ht="14.5" outlineLevel="3">
      <c r="B179" s="44" t="s">
        <v>871</v>
      </c>
      <c r="C179" s="45" t="s">
        <v>872</v>
      </c>
      <c r="D179" s="46" t="s">
        <v>469</v>
      </c>
      <c r="E179" s="47" t="s">
        <v>574</v>
      </c>
      <c r="F179" s="46" t="s">
        <v>873</v>
      </c>
      <c r="G179" s="47" t="s">
        <v>874</v>
      </c>
      <c r="H179" s="48">
        <v>2922.98</v>
      </c>
      <c r="I179" s="48">
        <v>72</v>
      </c>
      <c r="J179" s="47" t="s">
        <v>115</v>
      </c>
      <c r="K179" s="49">
        <v>2</v>
      </c>
      <c r="L179" s="49" t="s">
        <v>116</v>
      </c>
      <c r="M179" s="46" t="s">
        <v>117</v>
      </c>
      <c r="N179" s="50">
        <v>0</v>
      </c>
      <c r="O179" s="50">
        <v>0</v>
      </c>
      <c r="P179" s="50">
        <v>0</v>
      </c>
      <c r="Q179" s="46" t="s">
        <v>102</v>
      </c>
      <c r="R179" s="46" t="s">
        <v>102</v>
      </c>
      <c r="S179" s="46" t="s">
        <v>102</v>
      </c>
      <c r="T179" s="46" t="s">
        <v>875</v>
      </c>
      <c r="U179" s="51">
        <v>4</v>
      </c>
    </row>
    <row r="180" spans="2:21" ht="14.5" outlineLevel="3">
      <c r="B180" s="44" t="s">
        <v>876</v>
      </c>
      <c r="C180" s="45" t="s">
        <v>877</v>
      </c>
      <c r="D180" s="46" t="s">
        <v>276</v>
      </c>
      <c r="E180" s="47" t="s">
        <v>574</v>
      </c>
      <c r="F180" s="46" t="s">
        <v>878</v>
      </c>
      <c r="G180" s="47" t="s">
        <v>879</v>
      </c>
      <c r="H180" s="48">
        <v>1363.05</v>
      </c>
      <c r="I180" s="48">
        <v>1008</v>
      </c>
      <c r="J180" s="47" t="s">
        <v>115</v>
      </c>
      <c r="K180" s="49">
        <v>2</v>
      </c>
      <c r="L180" s="49" t="s">
        <v>116</v>
      </c>
      <c r="M180" s="46" t="s">
        <v>117</v>
      </c>
      <c r="N180" s="50">
        <v>0</v>
      </c>
      <c r="O180" s="50">
        <v>0</v>
      </c>
      <c r="P180" s="50">
        <v>0</v>
      </c>
      <c r="Q180" s="46" t="s">
        <v>102</v>
      </c>
      <c r="R180" s="46" t="s">
        <v>102</v>
      </c>
      <c r="S180" s="46" t="s">
        <v>102</v>
      </c>
      <c r="T180" s="46" t="s">
        <v>441</v>
      </c>
      <c r="U180" s="51">
        <v>4</v>
      </c>
    </row>
    <row r="181" spans="2:21" ht="14.5" outlineLevel="3">
      <c r="B181" s="44" t="s">
        <v>880</v>
      </c>
      <c r="C181" s="45" t="s">
        <v>881</v>
      </c>
      <c r="D181" s="46" t="s">
        <v>469</v>
      </c>
      <c r="E181" s="47" t="s">
        <v>574</v>
      </c>
      <c r="F181" s="46" t="s">
        <v>882</v>
      </c>
      <c r="G181" s="47" t="s">
        <v>883</v>
      </c>
      <c r="H181" s="48">
        <v>109755.45</v>
      </c>
      <c r="I181" s="48">
        <v>4</v>
      </c>
      <c r="J181" s="47" t="s">
        <v>115</v>
      </c>
      <c r="K181" s="49">
        <v>2</v>
      </c>
      <c r="L181" s="49" t="s">
        <v>116</v>
      </c>
      <c r="M181" s="46" t="s">
        <v>117</v>
      </c>
      <c r="N181" s="50">
        <v>0</v>
      </c>
      <c r="O181" s="50">
        <v>0</v>
      </c>
      <c r="P181" s="50">
        <v>0</v>
      </c>
      <c r="Q181" s="46" t="s">
        <v>102</v>
      </c>
      <c r="R181" s="46" t="s">
        <v>102</v>
      </c>
      <c r="S181" s="46" t="s">
        <v>102</v>
      </c>
      <c r="T181" s="46" t="s">
        <v>445</v>
      </c>
      <c r="U181" s="51">
        <v>4</v>
      </c>
    </row>
    <row r="182" spans="2:21" ht="14.5" outlineLevel="3">
      <c r="B182" s="44" t="s">
        <v>884</v>
      </c>
      <c r="C182" s="45" t="s">
        <v>885</v>
      </c>
      <c r="D182" s="46" t="s">
        <v>469</v>
      </c>
      <c r="E182" s="47" t="s">
        <v>574</v>
      </c>
      <c r="F182" s="46" t="s">
        <v>886</v>
      </c>
      <c r="G182" s="47" t="s">
        <v>885</v>
      </c>
      <c r="H182" s="48">
        <v>146618.25</v>
      </c>
      <c r="I182" s="48">
        <v>4</v>
      </c>
      <c r="J182" s="47" t="s">
        <v>115</v>
      </c>
      <c r="K182" s="49">
        <v>2</v>
      </c>
      <c r="L182" s="49" t="s">
        <v>116</v>
      </c>
      <c r="M182" s="46" t="s">
        <v>117</v>
      </c>
      <c r="N182" s="50">
        <v>0</v>
      </c>
      <c r="O182" s="50">
        <v>0</v>
      </c>
      <c r="P182" s="50">
        <v>0</v>
      </c>
      <c r="Q182" s="46" t="s">
        <v>102</v>
      </c>
      <c r="R182" s="46" t="s">
        <v>102</v>
      </c>
      <c r="S182" s="46" t="s">
        <v>102</v>
      </c>
      <c r="T182" s="46" t="s">
        <v>887</v>
      </c>
      <c r="U182" s="51">
        <v>4</v>
      </c>
    </row>
    <row r="183" spans="2:21" ht="14.5" outlineLevel="3">
      <c r="B183" s="44" t="s">
        <v>888</v>
      </c>
      <c r="C183" s="45" t="s">
        <v>889</v>
      </c>
      <c r="D183" s="46" t="s">
        <v>458</v>
      </c>
      <c r="E183" s="47" t="s">
        <v>574</v>
      </c>
      <c r="F183" s="46" t="s">
        <v>890</v>
      </c>
      <c r="G183" s="47" t="s">
        <v>889</v>
      </c>
      <c r="H183" s="48">
        <v>314590.88</v>
      </c>
      <c r="I183" s="48">
        <v>3</v>
      </c>
      <c r="J183" s="47" t="s">
        <v>115</v>
      </c>
      <c r="K183" s="49">
        <v>2</v>
      </c>
      <c r="L183" s="49" t="s">
        <v>116</v>
      </c>
      <c r="M183" s="46" t="s">
        <v>117</v>
      </c>
      <c r="N183" s="50">
        <v>0</v>
      </c>
      <c r="O183" s="50">
        <v>0</v>
      </c>
      <c r="P183" s="50">
        <v>0</v>
      </c>
      <c r="Q183" s="46" t="s">
        <v>102</v>
      </c>
      <c r="R183" s="46" t="s">
        <v>102</v>
      </c>
      <c r="S183" s="46" t="s">
        <v>102</v>
      </c>
      <c r="T183" s="46" t="s">
        <v>891</v>
      </c>
      <c r="U183" s="51">
        <v>4</v>
      </c>
    </row>
    <row r="184" spans="2:21" ht="14.5" outlineLevel="3">
      <c r="B184" s="44" t="s">
        <v>892</v>
      </c>
      <c r="C184" s="45" t="s">
        <v>893</v>
      </c>
      <c r="D184" s="46" t="s">
        <v>469</v>
      </c>
      <c r="E184" s="47" t="s">
        <v>574</v>
      </c>
      <c r="F184" s="46" t="s">
        <v>894</v>
      </c>
      <c r="G184" s="47" t="s">
        <v>895</v>
      </c>
      <c r="H184" s="48">
        <v>126475.47</v>
      </c>
      <c r="I184" s="48">
        <v>3</v>
      </c>
      <c r="J184" s="47" t="s">
        <v>115</v>
      </c>
      <c r="K184" s="49">
        <v>2</v>
      </c>
      <c r="L184" s="49" t="s">
        <v>116</v>
      </c>
      <c r="M184" s="46" t="s">
        <v>117</v>
      </c>
      <c r="N184" s="50">
        <v>0</v>
      </c>
      <c r="O184" s="50">
        <v>0</v>
      </c>
      <c r="P184" s="50">
        <v>0</v>
      </c>
      <c r="Q184" s="46" t="s">
        <v>102</v>
      </c>
      <c r="R184" s="46" t="s">
        <v>102</v>
      </c>
      <c r="S184" s="46" t="s">
        <v>102</v>
      </c>
      <c r="T184" s="46" t="s">
        <v>896</v>
      </c>
      <c r="U184" s="51">
        <v>4</v>
      </c>
    </row>
    <row r="185" spans="2:21" ht="14.5" outlineLevel="3">
      <c r="B185" s="44" t="s">
        <v>897</v>
      </c>
      <c r="C185" s="45" t="s">
        <v>898</v>
      </c>
      <c r="D185" s="46" t="s">
        <v>469</v>
      </c>
      <c r="E185" s="47" t="s">
        <v>574</v>
      </c>
      <c r="F185" s="46" t="s">
        <v>899</v>
      </c>
      <c r="G185" s="47" t="s">
        <v>898</v>
      </c>
      <c r="H185" s="48">
        <v>153857.54</v>
      </c>
      <c r="I185" s="48">
        <v>3</v>
      </c>
      <c r="J185" s="47" t="s">
        <v>115</v>
      </c>
      <c r="K185" s="49">
        <v>2</v>
      </c>
      <c r="L185" s="49" t="s">
        <v>116</v>
      </c>
      <c r="M185" s="46" t="s">
        <v>117</v>
      </c>
      <c r="N185" s="50">
        <v>0</v>
      </c>
      <c r="O185" s="50">
        <v>0</v>
      </c>
      <c r="P185" s="50">
        <v>0</v>
      </c>
      <c r="Q185" s="46" t="s">
        <v>102</v>
      </c>
      <c r="R185" s="46" t="s">
        <v>102</v>
      </c>
      <c r="S185" s="46" t="s">
        <v>102</v>
      </c>
      <c r="T185" s="46" t="s">
        <v>900</v>
      </c>
      <c r="U185" s="51">
        <v>4</v>
      </c>
    </row>
    <row r="186" spans="2:21" ht="14.5" outlineLevel="3">
      <c r="B186" s="44" t="s">
        <v>901</v>
      </c>
      <c r="C186" s="45" t="s">
        <v>902</v>
      </c>
      <c r="D186" s="46" t="s">
        <v>469</v>
      </c>
      <c r="E186" s="47" t="s">
        <v>574</v>
      </c>
      <c r="F186" s="46" t="s">
        <v>903</v>
      </c>
      <c r="G186" s="47" t="s">
        <v>904</v>
      </c>
      <c r="H186" s="48">
        <v>140045.34</v>
      </c>
      <c r="I186" s="48">
        <v>1</v>
      </c>
      <c r="J186" s="47" t="s">
        <v>115</v>
      </c>
      <c r="K186" s="49">
        <v>2</v>
      </c>
      <c r="L186" s="49" t="s">
        <v>116</v>
      </c>
      <c r="M186" s="46" t="s">
        <v>117</v>
      </c>
      <c r="N186" s="50">
        <v>0</v>
      </c>
      <c r="O186" s="50">
        <v>0</v>
      </c>
      <c r="P186" s="50">
        <v>0</v>
      </c>
      <c r="Q186" s="46" t="s">
        <v>102</v>
      </c>
      <c r="R186" s="46" t="s">
        <v>102</v>
      </c>
      <c r="S186" s="46" t="s">
        <v>102</v>
      </c>
      <c r="T186" s="46" t="s">
        <v>905</v>
      </c>
      <c r="U186" s="51">
        <v>4</v>
      </c>
    </row>
    <row r="187" spans="2:21" ht="14.5" outlineLevel="3">
      <c r="B187" s="44" t="s">
        <v>906</v>
      </c>
      <c r="C187" s="45" t="s">
        <v>907</v>
      </c>
      <c r="D187" s="46" t="s">
        <v>469</v>
      </c>
      <c r="E187" s="47" t="s">
        <v>574</v>
      </c>
      <c r="F187" s="46" t="s">
        <v>908</v>
      </c>
      <c r="G187" s="47" t="s">
        <v>907</v>
      </c>
      <c r="H187" s="48">
        <v>168230.09</v>
      </c>
      <c r="I187" s="48">
        <v>1</v>
      </c>
      <c r="J187" s="47" t="s">
        <v>115</v>
      </c>
      <c r="K187" s="49">
        <v>2</v>
      </c>
      <c r="L187" s="49" t="s">
        <v>116</v>
      </c>
      <c r="M187" s="46" t="s">
        <v>117</v>
      </c>
      <c r="N187" s="50">
        <v>0</v>
      </c>
      <c r="O187" s="50">
        <v>0</v>
      </c>
      <c r="P187" s="50">
        <v>0</v>
      </c>
      <c r="Q187" s="46" t="s">
        <v>102</v>
      </c>
      <c r="R187" s="46" t="s">
        <v>102</v>
      </c>
      <c r="S187" s="46" t="s">
        <v>102</v>
      </c>
      <c r="T187" s="46" t="s">
        <v>909</v>
      </c>
      <c r="U187" s="51">
        <v>4</v>
      </c>
    </row>
    <row r="188" spans="2:21" ht="14.5" outlineLevel="3">
      <c r="B188" s="44" t="s">
        <v>910</v>
      </c>
      <c r="C188" s="45" t="s">
        <v>911</v>
      </c>
      <c r="D188" s="46" t="s">
        <v>469</v>
      </c>
      <c r="E188" s="47" t="s">
        <v>574</v>
      </c>
      <c r="F188" s="46" t="s">
        <v>912</v>
      </c>
      <c r="G188" s="47" t="s">
        <v>913</v>
      </c>
      <c r="H188" s="48">
        <v>163080.81</v>
      </c>
      <c r="I188" s="48">
        <v>9</v>
      </c>
      <c r="J188" s="47" t="s">
        <v>115</v>
      </c>
      <c r="K188" s="49">
        <v>2</v>
      </c>
      <c r="L188" s="49" t="s">
        <v>116</v>
      </c>
      <c r="M188" s="46" t="s">
        <v>117</v>
      </c>
      <c r="N188" s="50">
        <v>0</v>
      </c>
      <c r="O188" s="50">
        <v>0</v>
      </c>
      <c r="P188" s="50">
        <v>0</v>
      </c>
      <c r="Q188" s="46" t="s">
        <v>102</v>
      </c>
      <c r="R188" s="46" t="s">
        <v>102</v>
      </c>
      <c r="S188" s="46" t="s">
        <v>102</v>
      </c>
      <c r="T188" s="46" t="s">
        <v>914</v>
      </c>
      <c r="U188" s="51">
        <v>4</v>
      </c>
    </row>
    <row r="189" spans="2:21" ht="14.5" outlineLevel="3">
      <c r="B189" s="44" t="s">
        <v>915</v>
      </c>
      <c r="C189" s="45" t="s">
        <v>916</v>
      </c>
      <c r="D189" s="46" t="s">
        <v>469</v>
      </c>
      <c r="E189" s="47" t="s">
        <v>574</v>
      </c>
      <c r="F189" s="46" t="s">
        <v>917</v>
      </c>
      <c r="G189" s="47" t="s">
        <v>918</v>
      </c>
      <c r="H189" s="48">
        <v>168002.92</v>
      </c>
      <c r="I189" s="48">
        <v>8</v>
      </c>
      <c r="J189" s="47" t="s">
        <v>115</v>
      </c>
      <c r="K189" s="49">
        <v>2</v>
      </c>
      <c r="L189" s="49" t="s">
        <v>116</v>
      </c>
      <c r="M189" s="46" t="s">
        <v>117</v>
      </c>
      <c r="N189" s="50">
        <v>0</v>
      </c>
      <c r="O189" s="50">
        <v>0</v>
      </c>
      <c r="P189" s="50">
        <v>0</v>
      </c>
      <c r="Q189" s="46" t="s">
        <v>102</v>
      </c>
      <c r="R189" s="46" t="s">
        <v>102</v>
      </c>
      <c r="S189" s="46" t="s">
        <v>102</v>
      </c>
      <c r="T189" s="46" t="s">
        <v>450</v>
      </c>
      <c r="U189" s="51">
        <v>4</v>
      </c>
    </row>
    <row r="190" spans="2:21" ht="14.5" outlineLevel="3">
      <c r="B190" s="44" t="s">
        <v>919</v>
      </c>
      <c r="C190" s="45" t="s">
        <v>920</v>
      </c>
      <c r="D190" s="46" t="s">
        <v>469</v>
      </c>
      <c r="E190" s="47" t="s">
        <v>574</v>
      </c>
      <c r="F190" s="46" t="s">
        <v>921</v>
      </c>
      <c r="G190" s="47" t="s">
        <v>922</v>
      </c>
      <c r="H190" s="48">
        <v>88219.33</v>
      </c>
      <c r="I190" s="48">
        <v>5</v>
      </c>
      <c r="J190" s="47" t="s">
        <v>115</v>
      </c>
      <c r="K190" s="49">
        <v>2</v>
      </c>
      <c r="L190" s="49" t="s">
        <v>116</v>
      </c>
      <c r="M190" s="46" t="s">
        <v>117</v>
      </c>
      <c r="N190" s="50">
        <v>0</v>
      </c>
      <c r="O190" s="50">
        <v>0</v>
      </c>
      <c r="P190" s="50">
        <v>0</v>
      </c>
      <c r="Q190" s="46" t="s">
        <v>102</v>
      </c>
      <c r="R190" s="46" t="s">
        <v>102</v>
      </c>
      <c r="S190" s="46" t="s">
        <v>102</v>
      </c>
      <c r="T190" s="46" t="s">
        <v>923</v>
      </c>
      <c r="U190" s="51">
        <v>4</v>
      </c>
    </row>
    <row r="191" spans="2:21" ht="14.5" outlineLevel="3">
      <c r="B191" s="44" t="s">
        <v>924</v>
      </c>
      <c r="C191" s="45" t="s">
        <v>925</v>
      </c>
      <c r="D191" s="46" t="s">
        <v>458</v>
      </c>
      <c r="E191" s="47" t="s">
        <v>574</v>
      </c>
      <c r="F191" s="46" t="s">
        <v>926</v>
      </c>
      <c r="G191" s="47" t="s">
        <v>927</v>
      </c>
      <c r="H191" s="48">
        <v>21339.23</v>
      </c>
      <c r="I191" s="48">
        <v>13</v>
      </c>
      <c r="J191" s="47" t="s">
        <v>115</v>
      </c>
      <c r="K191" s="49">
        <v>2</v>
      </c>
      <c r="L191" s="49" t="s">
        <v>116</v>
      </c>
      <c r="M191" s="46" t="s">
        <v>117</v>
      </c>
      <c r="N191" s="50">
        <v>0</v>
      </c>
      <c r="O191" s="50">
        <v>0</v>
      </c>
      <c r="P191" s="50">
        <v>0</v>
      </c>
      <c r="Q191" s="46" t="s">
        <v>102</v>
      </c>
      <c r="R191" s="46" t="s">
        <v>102</v>
      </c>
      <c r="S191" s="46" t="s">
        <v>102</v>
      </c>
      <c r="T191" s="46" t="s">
        <v>928</v>
      </c>
      <c r="U191" s="51">
        <v>4</v>
      </c>
    </row>
    <row r="192" spans="2:21" ht="14.5" outlineLevel="3">
      <c r="B192" s="44" t="s">
        <v>929</v>
      </c>
      <c r="C192" s="45" t="s">
        <v>930</v>
      </c>
      <c r="D192" s="46" t="s">
        <v>458</v>
      </c>
      <c r="E192" s="47" t="s">
        <v>574</v>
      </c>
      <c r="F192" s="46" t="s">
        <v>931</v>
      </c>
      <c r="G192" s="47" t="s">
        <v>932</v>
      </c>
      <c r="H192" s="48">
        <v>16523.14</v>
      </c>
      <c r="I192" s="48">
        <v>13</v>
      </c>
      <c r="J192" s="47" t="s">
        <v>115</v>
      </c>
      <c r="K192" s="49">
        <v>2</v>
      </c>
      <c r="L192" s="49" t="s">
        <v>116</v>
      </c>
      <c r="M192" s="46" t="s">
        <v>117</v>
      </c>
      <c r="N192" s="50">
        <v>0</v>
      </c>
      <c r="O192" s="50">
        <v>0</v>
      </c>
      <c r="P192" s="50">
        <v>0</v>
      </c>
      <c r="Q192" s="46" t="s">
        <v>102</v>
      </c>
      <c r="R192" s="46" t="s">
        <v>102</v>
      </c>
      <c r="S192" s="46" t="s">
        <v>102</v>
      </c>
      <c r="T192" s="46" t="s">
        <v>933</v>
      </c>
      <c r="U192" s="51">
        <v>4</v>
      </c>
    </row>
    <row r="193" spans="2:21" ht="14.5" outlineLevel="3">
      <c r="B193" s="44" t="s">
        <v>934</v>
      </c>
      <c r="C193" s="45" t="s">
        <v>935</v>
      </c>
      <c r="D193" s="46" t="s">
        <v>458</v>
      </c>
      <c r="E193" s="47" t="s">
        <v>574</v>
      </c>
      <c r="F193" s="46" t="s">
        <v>936</v>
      </c>
      <c r="G193" s="47" t="s">
        <v>937</v>
      </c>
      <c r="H193" s="48">
        <v>9950.23</v>
      </c>
      <c r="I193" s="48">
        <v>13</v>
      </c>
      <c r="J193" s="47" t="s">
        <v>115</v>
      </c>
      <c r="K193" s="49">
        <v>2</v>
      </c>
      <c r="L193" s="49" t="s">
        <v>116</v>
      </c>
      <c r="M193" s="46" t="s">
        <v>117</v>
      </c>
      <c r="N193" s="50">
        <v>0</v>
      </c>
      <c r="O193" s="50">
        <v>0</v>
      </c>
      <c r="P193" s="50">
        <v>0</v>
      </c>
      <c r="Q193" s="46" t="s">
        <v>102</v>
      </c>
      <c r="R193" s="46" t="s">
        <v>102</v>
      </c>
      <c r="S193" s="46" t="s">
        <v>102</v>
      </c>
      <c r="T193" s="46" t="s">
        <v>938</v>
      </c>
      <c r="U193" s="51">
        <v>4</v>
      </c>
    </row>
    <row r="194" spans="2:21" ht="14.5" outlineLevel="3">
      <c r="B194" s="44" t="s">
        <v>939</v>
      </c>
      <c r="C194" s="45" t="s">
        <v>940</v>
      </c>
      <c r="D194" s="46" t="s">
        <v>469</v>
      </c>
      <c r="E194" s="47" t="s">
        <v>574</v>
      </c>
      <c r="F194" s="46" t="s">
        <v>941</v>
      </c>
      <c r="G194" s="47" t="s">
        <v>942</v>
      </c>
      <c r="H194" s="48">
        <v>82630.84</v>
      </c>
      <c r="I194" s="48">
        <v>9</v>
      </c>
      <c r="J194" s="47" t="s">
        <v>115</v>
      </c>
      <c r="K194" s="49">
        <v>2</v>
      </c>
      <c r="L194" s="49" t="s">
        <v>116</v>
      </c>
      <c r="M194" s="46" t="s">
        <v>117</v>
      </c>
      <c r="N194" s="50">
        <v>0</v>
      </c>
      <c r="O194" s="50">
        <v>0</v>
      </c>
      <c r="P194" s="50">
        <v>0</v>
      </c>
      <c r="Q194" s="46" t="s">
        <v>102</v>
      </c>
      <c r="R194" s="46" t="s">
        <v>102</v>
      </c>
      <c r="S194" s="46" t="s">
        <v>102</v>
      </c>
      <c r="T194" s="46" t="s">
        <v>943</v>
      </c>
      <c r="U194" s="51">
        <v>4</v>
      </c>
    </row>
    <row r="195" spans="2:21" ht="14.5" outlineLevel="3">
      <c r="B195" s="44" t="s">
        <v>944</v>
      </c>
      <c r="C195" s="45" t="s">
        <v>945</v>
      </c>
      <c r="D195" s="46" t="s">
        <v>458</v>
      </c>
      <c r="E195" s="47" t="s">
        <v>574</v>
      </c>
      <c r="F195" s="46" t="s">
        <v>946</v>
      </c>
      <c r="G195" s="47" t="s">
        <v>947</v>
      </c>
      <c r="H195" s="48">
        <v>46267.82</v>
      </c>
      <c r="I195" s="48">
        <v>18</v>
      </c>
      <c r="J195" s="47" t="s">
        <v>115</v>
      </c>
      <c r="K195" s="49">
        <v>2</v>
      </c>
      <c r="L195" s="49" t="s">
        <v>116</v>
      </c>
      <c r="M195" s="46" t="s">
        <v>117</v>
      </c>
      <c r="N195" s="50">
        <v>0</v>
      </c>
      <c r="O195" s="50">
        <v>0</v>
      </c>
      <c r="P195" s="50">
        <v>0</v>
      </c>
      <c r="Q195" s="46" t="s">
        <v>102</v>
      </c>
      <c r="R195" s="46" t="s">
        <v>102</v>
      </c>
      <c r="S195" s="46" t="s">
        <v>102</v>
      </c>
      <c r="T195" s="46" t="s">
        <v>948</v>
      </c>
      <c r="U195" s="51">
        <v>4</v>
      </c>
    </row>
    <row r="196" spans="2:21" ht="14.5" outlineLevel="3">
      <c r="B196" s="44" t="s">
        <v>949</v>
      </c>
      <c r="C196" s="45" t="s">
        <v>950</v>
      </c>
      <c r="D196" s="46" t="s">
        <v>458</v>
      </c>
      <c r="E196" s="47" t="s">
        <v>574</v>
      </c>
      <c r="F196" s="46" t="s">
        <v>951</v>
      </c>
      <c r="G196" s="47" t="s">
        <v>952</v>
      </c>
      <c r="H196" s="48">
        <v>55203.34</v>
      </c>
      <c r="I196" s="48">
        <v>5</v>
      </c>
      <c r="J196" s="47" t="s">
        <v>115</v>
      </c>
      <c r="K196" s="49">
        <v>2</v>
      </c>
      <c r="L196" s="49" t="s">
        <v>116</v>
      </c>
      <c r="M196" s="46" t="s">
        <v>117</v>
      </c>
      <c r="N196" s="50">
        <v>0</v>
      </c>
      <c r="O196" s="50">
        <v>0</v>
      </c>
      <c r="P196" s="50">
        <v>0</v>
      </c>
      <c r="Q196" s="46" t="s">
        <v>102</v>
      </c>
      <c r="R196" s="46" t="s">
        <v>102</v>
      </c>
      <c r="S196" s="46" t="s">
        <v>102</v>
      </c>
      <c r="T196" s="46" t="s">
        <v>953</v>
      </c>
      <c r="U196" s="51">
        <v>4</v>
      </c>
    </row>
    <row r="197" spans="2:21" ht="14.5" outlineLevel="3">
      <c r="B197" s="44" t="s">
        <v>954</v>
      </c>
      <c r="C197" s="45" t="s">
        <v>955</v>
      </c>
      <c r="D197" s="46" t="s">
        <v>458</v>
      </c>
      <c r="E197" s="47" t="s">
        <v>574</v>
      </c>
      <c r="F197" s="46" t="s">
        <v>956</v>
      </c>
      <c r="G197" s="47" t="s">
        <v>957</v>
      </c>
      <c r="H197" s="48">
        <v>67622.2</v>
      </c>
      <c r="I197" s="48">
        <v>9</v>
      </c>
      <c r="J197" s="47" t="s">
        <v>115</v>
      </c>
      <c r="K197" s="49">
        <v>2</v>
      </c>
      <c r="L197" s="49" t="s">
        <v>116</v>
      </c>
      <c r="M197" s="46" t="s">
        <v>117</v>
      </c>
      <c r="N197" s="50">
        <v>0</v>
      </c>
      <c r="O197" s="50">
        <v>0</v>
      </c>
      <c r="P197" s="50">
        <v>0</v>
      </c>
      <c r="Q197" s="46" t="s">
        <v>102</v>
      </c>
      <c r="R197" s="46" t="s">
        <v>102</v>
      </c>
      <c r="S197" s="46" t="s">
        <v>102</v>
      </c>
      <c r="T197" s="46" t="s">
        <v>958</v>
      </c>
      <c r="U197" s="51">
        <v>4</v>
      </c>
    </row>
    <row r="198" spans="2:21" ht="14.5" outlineLevel="3">
      <c r="B198" s="44" t="s">
        <v>959</v>
      </c>
      <c r="C198" s="45" t="s">
        <v>960</v>
      </c>
      <c r="D198" s="46" t="s">
        <v>458</v>
      </c>
      <c r="E198" s="47" t="s">
        <v>574</v>
      </c>
      <c r="F198" s="46" t="s">
        <v>961</v>
      </c>
      <c r="G198" s="47" t="s">
        <v>962</v>
      </c>
      <c r="H198" s="48">
        <v>47994.34</v>
      </c>
      <c r="I198" s="48">
        <v>17</v>
      </c>
      <c r="J198" s="47" t="s">
        <v>115</v>
      </c>
      <c r="K198" s="49">
        <v>2</v>
      </c>
      <c r="L198" s="49" t="s">
        <v>116</v>
      </c>
      <c r="M198" s="46" t="s">
        <v>117</v>
      </c>
      <c r="N198" s="50">
        <v>0</v>
      </c>
      <c r="O198" s="50">
        <v>0</v>
      </c>
      <c r="P198" s="50">
        <v>0</v>
      </c>
      <c r="Q198" s="46" t="s">
        <v>102</v>
      </c>
      <c r="R198" s="46" t="s">
        <v>102</v>
      </c>
      <c r="S198" s="46" t="s">
        <v>102</v>
      </c>
      <c r="T198" s="46" t="s">
        <v>963</v>
      </c>
      <c r="U198" s="51">
        <v>4</v>
      </c>
    </row>
    <row r="199" spans="2:21" ht="14.5" outlineLevel="3">
      <c r="B199" s="44" t="s">
        <v>964</v>
      </c>
      <c r="C199" s="45" t="s">
        <v>965</v>
      </c>
      <c r="D199" s="46" t="s">
        <v>469</v>
      </c>
      <c r="E199" s="47" t="s">
        <v>574</v>
      </c>
      <c r="F199" s="46" t="s">
        <v>966</v>
      </c>
      <c r="G199" s="47" t="s">
        <v>967</v>
      </c>
      <c r="H199" s="48">
        <v>47994.34</v>
      </c>
      <c r="I199" s="48">
        <v>17</v>
      </c>
      <c r="J199" s="47" t="s">
        <v>115</v>
      </c>
      <c r="K199" s="49">
        <v>2</v>
      </c>
      <c r="L199" s="49" t="s">
        <v>116</v>
      </c>
      <c r="M199" s="46" t="s">
        <v>117</v>
      </c>
      <c r="N199" s="50">
        <v>0</v>
      </c>
      <c r="O199" s="50">
        <v>0</v>
      </c>
      <c r="P199" s="50">
        <v>0</v>
      </c>
      <c r="Q199" s="46" t="s">
        <v>102</v>
      </c>
      <c r="R199" s="46" t="s">
        <v>102</v>
      </c>
      <c r="S199" s="46" t="s">
        <v>102</v>
      </c>
      <c r="T199" s="46" t="s">
        <v>455</v>
      </c>
      <c r="U199" s="51">
        <v>4</v>
      </c>
    </row>
    <row r="200" spans="2:21" ht="14.5" outlineLevel="3">
      <c r="B200" s="44" t="s">
        <v>968</v>
      </c>
      <c r="C200" s="45" t="s">
        <v>969</v>
      </c>
      <c r="D200" s="46" t="s">
        <v>179</v>
      </c>
      <c r="E200" s="47" t="s">
        <v>574</v>
      </c>
      <c r="F200" s="46" t="s">
        <v>970</v>
      </c>
      <c r="G200" s="47" t="s">
        <v>969</v>
      </c>
      <c r="H200" s="48">
        <v>242.32</v>
      </c>
      <c r="I200" s="48">
        <v>1222</v>
      </c>
      <c r="J200" s="47" t="s">
        <v>115</v>
      </c>
      <c r="K200" s="49">
        <v>2</v>
      </c>
      <c r="L200" s="49" t="s">
        <v>116</v>
      </c>
      <c r="M200" s="46" t="s">
        <v>117</v>
      </c>
      <c r="N200" s="50">
        <v>0</v>
      </c>
      <c r="O200" s="50">
        <v>0</v>
      </c>
      <c r="P200" s="50">
        <v>0</v>
      </c>
      <c r="Q200" s="46" t="s">
        <v>102</v>
      </c>
      <c r="R200" s="46" t="s">
        <v>102</v>
      </c>
      <c r="S200" s="46" t="s">
        <v>102</v>
      </c>
      <c r="T200" s="46" t="s">
        <v>971</v>
      </c>
      <c r="U200" s="51">
        <v>4</v>
      </c>
    </row>
    <row r="201" spans="2:21" ht="14.5" outlineLevel="3">
      <c r="B201" s="44" t="s">
        <v>972</v>
      </c>
      <c r="C201" s="45" t="s">
        <v>973</v>
      </c>
      <c r="D201" s="46" t="s">
        <v>458</v>
      </c>
      <c r="E201" s="47" t="s">
        <v>574</v>
      </c>
      <c r="F201" s="46" t="s">
        <v>974</v>
      </c>
      <c r="G201" s="47" t="s">
        <v>975</v>
      </c>
      <c r="H201" s="48">
        <v>2620.08</v>
      </c>
      <c r="I201" s="48">
        <v>10</v>
      </c>
      <c r="J201" s="47" t="s">
        <v>115</v>
      </c>
      <c r="K201" s="49">
        <v>2</v>
      </c>
      <c r="L201" s="49" t="s">
        <v>116</v>
      </c>
      <c r="M201" s="46" t="s">
        <v>117</v>
      </c>
      <c r="N201" s="50">
        <v>0</v>
      </c>
      <c r="O201" s="50">
        <v>0</v>
      </c>
      <c r="P201" s="50">
        <v>0</v>
      </c>
      <c r="Q201" s="46" t="s">
        <v>102</v>
      </c>
      <c r="R201" s="46" t="s">
        <v>102</v>
      </c>
      <c r="S201" s="46" t="s">
        <v>102</v>
      </c>
      <c r="T201" s="46" t="s">
        <v>976</v>
      </c>
      <c r="U201" s="51">
        <v>4</v>
      </c>
    </row>
    <row r="202" spans="2:21" ht="14.5" outlineLevel="3">
      <c r="B202" s="44" t="s">
        <v>977</v>
      </c>
      <c r="C202" s="45" t="s">
        <v>978</v>
      </c>
      <c r="D202" s="46" t="s">
        <v>179</v>
      </c>
      <c r="E202" s="47" t="s">
        <v>574</v>
      </c>
      <c r="F202" s="46" t="s">
        <v>979</v>
      </c>
      <c r="G202" s="47" t="s">
        <v>978</v>
      </c>
      <c r="H202" s="48">
        <v>45.43</v>
      </c>
      <c r="I202" s="48">
        <v>2400</v>
      </c>
      <c r="J202" s="47" t="s">
        <v>115</v>
      </c>
      <c r="K202" s="49">
        <v>2</v>
      </c>
      <c r="L202" s="49" t="s">
        <v>116</v>
      </c>
      <c r="M202" s="46" t="s">
        <v>117</v>
      </c>
      <c r="N202" s="50">
        <v>0</v>
      </c>
      <c r="O202" s="50">
        <v>0</v>
      </c>
      <c r="P202" s="50">
        <v>0</v>
      </c>
      <c r="Q202" s="46" t="s">
        <v>102</v>
      </c>
      <c r="R202" s="46" t="s">
        <v>102</v>
      </c>
      <c r="S202" s="46" t="s">
        <v>102</v>
      </c>
      <c r="T202" s="46" t="s">
        <v>980</v>
      </c>
      <c r="U202" s="51">
        <v>4</v>
      </c>
    </row>
    <row r="203" spans="2:21" ht="14.5" outlineLevel="3">
      <c r="B203" s="44" t="s">
        <v>981</v>
      </c>
      <c r="C203" s="45" t="s">
        <v>982</v>
      </c>
      <c r="D203" s="46" t="s">
        <v>458</v>
      </c>
      <c r="E203" s="47" t="s">
        <v>574</v>
      </c>
      <c r="F203" s="46" t="s">
        <v>983</v>
      </c>
      <c r="G203" s="47" t="s">
        <v>984</v>
      </c>
      <c r="H203" s="48">
        <v>6981.82</v>
      </c>
      <c r="I203" s="48">
        <v>1</v>
      </c>
      <c r="J203" s="47" t="s">
        <v>115</v>
      </c>
      <c r="K203" s="49">
        <v>2</v>
      </c>
      <c r="L203" s="49" t="s">
        <v>116</v>
      </c>
      <c r="M203" s="46" t="s">
        <v>117</v>
      </c>
      <c r="N203" s="50">
        <v>0</v>
      </c>
      <c r="O203" s="50">
        <v>0</v>
      </c>
      <c r="P203" s="50">
        <v>0</v>
      </c>
      <c r="Q203" s="46" t="s">
        <v>102</v>
      </c>
      <c r="R203" s="46" t="s">
        <v>102</v>
      </c>
      <c r="S203" s="46" t="s">
        <v>102</v>
      </c>
      <c r="T203" s="46" t="s">
        <v>985</v>
      </c>
      <c r="U203" s="51">
        <v>4</v>
      </c>
    </row>
    <row r="204" spans="2:21" ht="14.5" outlineLevel="3">
      <c r="B204" s="44" t="s">
        <v>986</v>
      </c>
      <c r="C204" s="45" t="s">
        <v>987</v>
      </c>
      <c r="D204" s="46" t="s">
        <v>458</v>
      </c>
      <c r="E204" s="47" t="s">
        <v>574</v>
      </c>
      <c r="F204" s="46" t="s">
        <v>988</v>
      </c>
      <c r="G204" s="47" t="s">
        <v>989</v>
      </c>
      <c r="H204" s="48">
        <v>1317.61</v>
      </c>
      <c r="I204" s="48">
        <v>1</v>
      </c>
      <c r="J204" s="47" t="s">
        <v>115</v>
      </c>
      <c r="K204" s="49">
        <v>2</v>
      </c>
      <c r="L204" s="49" t="s">
        <v>116</v>
      </c>
      <c r="M204" s="46" t="s">
        <v>117</v>
      </c>
      <c r="N204" s="50">
        <v>0</v>
      </c>
      <c r="O204" s="50">
        <v>0</v>
      </c>
      <c r="P204" s="50">
        <v>0</v>
      </c>
      <c r="Q204" s="46" t="s">
        <v>102</v>
      </c>
      <c r="R204" s="46" t="s">
        <v>102</v>
      </c>
      <c r="S204" s="46" t="s">
        <v>102</v>
      </c>
      <c r="T204" s="46" t="s">
        <v>990</v>
      </c>
      <c r="U204" s="51">
        <v>4</v>
      </c>
    </row>
    <row r="205" spans="2:21" ht="14.5" outlineLevel="3">
      <c r="B205" s="44" t="s">
        <v>991</v>
      </c>
      <c r="C205" s="45" t="s">
        <v>992</v>
      </c>
      <c r="D205" s="46" t="s">
        <v>179</v>
      </c>
      <c r="E205" s="47" t="s">
        <v>574</v>
      </c>
      <c r="F205" s="46" t="s">
        <v>993</v>
      </c>
      <c r="G205" s="47" t="s">
        <v>994</v>
      </c>
      <c r="H205" s="48">
        <v>30.29</v>
      </c>
      <c r="I205" s="48">
        <v>1000</v>
      </c>
      <c r="J205" s="47" t="s">
        <v>115</v>
      </c>
      <c r="K205" s="49">
        <v>2</v>
      </c>
      <c r="L205" s="49" t="s">
        <v>116</v>
      </c>
      <c r="M205" s="46" t="s">
        <v>117</v>
      </c>
      <c r="N205" s="50">
        <v>0</v>
      </c>
      <c r="O205" s="50">
        <v>0</v>
      </c>
      <c r="P205" s="50">
        <v>0</v>
      </c>
      <c r="Q205" s="46" t="s">
        <v>102</v>
      </c>
      <c r="R205" s="46" t="s">
        <v>102</v>
      </c>
      <c r="S205" s="46" t="s">
        <v>102</v>
      </c>
      <c r="T205" s="46" t="s">
        <v>995</v>
      </c>
      <c r="U205" s="51">
        <v>4</v>
      </c>
    </row>
    <row r="206" spans="2:21" ht="14.5" outlineLevel="3">
      <c r="B206" s="44" t="s">
        <v>996</v>
      </c>
      <c r="C206" s="45" t="s">
        <v>997</v>
      </c>
      <c r="D206" s="46" t="s">
        <v>469</v>
      </c>
      <c r="E206" s="47" t="s">
        <v>574</v>
      </c>
      <c r="F206" s="46" t="s">
        <v>998</v>
      </c>
      <c r="G206" s="47" t="s">
        <v>997</v>
      </c>
      <c r="H206" s="48">
        <v>1317.61</v>
      </c>
      <c r="I206" s="48">
        <v>40</v>
      </c>
      <c r="J206" s="47" t="s">
        <v>115</v>
      </c>
      <c r="K206" s="49">
        <v>2</v>
      </c>
      <c r="L206" s="49" t="s">
        <v>116</v>
      </c>
      <c r="M206" s="46" t="s">
        <v>117</v>
      </c>
      <c r="N206" s="50">
        <v>0</v>
      </c>
      <c r="O206" s="50">
        <v>0</v>
      </c>
      <c r="P206" s="50">
        <v>0</v>
      </c>
      <c r="Q206" s="46" t="s">
        <v>102</v>
      </c>
      <c r="R206" s="46" t="s">
        <v>102</v>
      </c>
      <c r="S206" s="46" t="s">
        <v>102</v>
      </c>
      <c r="T206" s="46" t="s">
        <v>999</v>
      </c>
      <c r="U206" s="51">
        <v>4</v>
      </c>
    </row>
    <row r="207" spans="2:21" ht="14.5" outlineLevel="3">
      <c r="B207" s="44" t="s">
        <v>1000</v>
      </c>
      <c r="C207" s="45" t="s">
        <v>1001</v>
      </c>
      <c r="D207" s="46" t="s">
        <v>458</v>
      </c>
      <c r="E207" s="47" t="s">
        <v>574</v>
      </c>
      <c r="F207" s="46" t="s">
        <v>1002</v>
      </c>
      <c r="G207" s="47" t="s">
        <v>1003</v>
      </c>
      <c r="H207" s="48">
        <v>1317.61</v>
      </c>
      <c r="I207" s="48">
        <v>5</v>
      </c>
      <c r="J207" s="47" t="s">
        <v>115</v>
      </c>
      <c r="K207" s="49">
        <v>2</v>
      </c>
      <c r="L207" s="49" t="s">
        <v>116</v>
      </c>
      <c r="M207" s="46" t="s">
        <v>117</v>
      </c>
      <c r="N207" s="50">
        <v>0</v>
      </c>
      <c r="O207" s="50">
        <v>0</v>
      </c>
      <c r="P207" s="50">
        <v>0</v>
      </c>
      <c r="Q207" s="46" t="s">
        <v>102</v>
      </c>
      <c r="R207" s="46" t="s">
        <v>102</v>
      </c>
      <c r="S207" s="46" t="s">
        <v>102</v>
      </c>
      <c r="T207" s="46" t="s">
        <v>1004</v>
      </c>
      <c r="U207" s="51">
        <v>4</v>
      </c>
    </row>
    <row r="208" spans="2:21" ht="14.5" outlineLevel="3">
      <c r="B208" s="44" t="s">
        <v>1005</v>
      </c>
      <c r="C208" s="45" t="s">
        <v>1006</v>
      </c>
      <c r="D208" s="46" t="s">
        <v>458</v>
      </c>
      <c r="E208" s="47" t="s">
        <v>574</v>
      </c>
      <c r="F208" s="46" t="s">
        <v>1007</v>
      </c>
      <c r="G208" s="47" t="s">
        <v>1008</v>
      </c>
      <c r="H208" s="48">
        <v>272.61</v>
      </c>
      <c r="I208" s="48">
        <v>8</v>
      </c>
      <c r="J208" s="47" t="s">
        <v>115</v>
      </c>
      <c r="K208" s="49">
        <v>2</v>
      </c>
      <c r="L208" s="49" t="s">
        <v>116</v>
      </c>
      <c r="M208" s="46" t="s">
        <v>117</v>
      </c>
      <c r="N208" s="50">
        <v>0</v>
      </c>
      <c r="O208" s="50">
        <v>0</v>
      </c>
      <c r="P208" s="50">
        <v>0</v>
      </c>
      <c r="Q208" s="46" t="s">
        <v>102</v>
      </c>
      <c r="R208" s="46" t="s">
        <v>102</v>
      </c>
      <c r="S208" s="46" t="s">
        <v>102</v>
      </c>
      <c r="T208" s="46" t="s">
        <v>1009</v>
      </c>
      <c r="U208" s="51">
        <v>4</v>
      </c>
    </row>
    <row r="209" spans="2:21" ht="14.5" outlineLevel="3">
      <c r="B209" s="44" t="s">
        <v>1010</v>
      </c>
      <c r="C209" s="45" t="s">
        <v>1011</v>
      </c>
      <c r="D209" s="46" t="s">
        <v>469</v>
      </c>
      <c r="E209" s="47" t="s">
        <v>574</v>
      </c>
      <c r="F209" s="46" t="s">
        <v>1012</v>
      </c>
      <c r="G209" s="47" t="s">
        <v>1013</v>
      </c>
      <c r="H209" s="48">
        <v>3665.08</v>
      </c>
      <c r="I209" s="48">
        <v>8</v>
      </c>
      <c r="J209" s="47" t="s">
        <v>115</v>
      </c>
      <c r="K209" s="49">
        <v>2</v>
      </c>
      <c r="L209" s="49" t="s">
        <v>116</v>
      </c>
      <c r="M209" s="46" t="s">
        <v>117</v>
      </c>
      <c r="N209" s="50">
        <v>0</v>
      </c>
      <c r="O209" s="50">
        <v>0</v>
      </c>
      <c r="P209" s="50">
        <v>0</v>
      </c>
      <c r="Q209" s="46" t="s">
        <v>102</v>
      </c>
      <c r="R209" s="46" t="s">
        <v>102</v>
      </c>
      <c r="S209" s="46" t="s">
        <v>102</v>
      </c>
      <c r="T209" s="46" t="s">
        <v>1014</v>
      </c>
      <c r="U209" s="51">
        <v>4</v>
      </c>
    </row>
    <row r="210" spans="2:21" ht="14.5" outlineLevel="3">
      <c r="B210" s="44" t="s">
        <v>1015</v>
      </c>
      <c r="C210" s="45" t="s">
        <v>1016</v>
      </c>
      <c r="D210" s="46" t="s">
        <v>458</v>
      </c>
      <c r="E210" s="47" t="s">
        <v>574</v>
      </c>
      <c r="F210" s="46" t="s">
        <v>1017</v>
      </c>
      <c r="G210" s="47" t="s">
        <v>1018</v>
      </c>
      <c r="H210" s="48">
        <v>1317.61</v>
      </c>
      <c r="I210" s="48">
        <v>1</v>
      </c>
      <c r="J210" s="47" t="s">
        <v>115</v>
      </c>
      <c r="K210" s="49">
        <v>2</v>
      </c>
      <c r="L210" s="49" t="s">
        <v>116</v>
      </c>
      <c r="M210" s="46" t="s">
        <v>117</v>
      </c>
      <c r="N210" s="50">
        <v>0</v>
      </c>
      <c r="O210" s="50">
        <v>0</v>
      </c>
      <c r="P210" s="50">
        <v>0</v>
      </c>
      <c r="Q210" s="46" t="s">
        <v>102</v>
      </c>
      <c r="R210" s="46" t="s">
        <v>102</v>
      </c>
      <c r="S210" s="46" t="s">
        <v>102</v>
      </c>
      <c r="T210" s="46" t="s">
        <v>1019</v>
      </c>
      <c r="U210" s="51">
        <v>4</v>
      </c>
    </row>
    <row r="211" spans="2:21" ht="14.5" outlineLevel="2">
      <c r="B211" s="36" t="s">
        <v>1020</v>
      </c>
      <c r="C211" s="37" t="s">
        <v>1021</v>
      </c>
      <c r="D211" s="38" t="s">
        <v>102</v>
      </c>
      <c r="E211" s="39" t="s">
        <v>102</v>
      </c>
      <c r="F211" s="38" t="s">
        <v>102</v>
      </c>
      <c r="G211" s="39" t="s">
        <v>102</v>
      </c>
      <c r="H211" s="40">
        <v>0</v>
      </c>
      <c r="I211" s="40">
        <v>0</v>
      </c>
      <c r="J211" s="39" t="s">
        <v>102</v>
      </c>
      <c r="K211" s="41">
        <v>0</v>
      </c>
      <c r="L211" s="41" t="s">
        <v>102</v>
      </c>
      <c r="M211" s="38" t="s">
        <v>102</v>
      </c>
      <c r="N211" s="42">
        <v>0</v>
      </c>
      <c r="O211" s="42">
        <v>0</v>
      </c>
      <c r="P211" s="42">
        <v>0</v>
      </c>
      <c r="Q211" s="38" t="s">
        <v>102</v>
      </c>
      <c r="R211" s="38" t="s">
        <v>102</v>
      </c>
      <c r="S211" s="38" t="s">
        <v>1022</v>
      </c>
      <c r="T211" s="38" t="s">
        <v>102</v>
      </c>
      <c r="U211" s="43">
        <v>3</v>
      </c>
    </row>
    <row r="212" spans="2:21" ht="14.5" outlineLevel="3">
      <c r="B212" s="44" t="s">
        <v>1023</v>
      </c>
      <c r="C212" s="45" t="s">
        <v>1024</v>
      </c>
      <c r="D212" s="46" t="s">
        <v>458</v>
      </c>
      <c r="E212" s="47" t="s">
        <v>574</v>
      </c>
      <c r="F212" s="46" t="s">
        <v>1025</v>
      </c>
      <c r="G212" s="47" t="s">
        <v>1026</v>
      </c>
      <c r="H212" s="48">
        <v>40134.11</v>
      </c>
      <c r="I212" s="48">
        <v>2</v>
      </c>
      <c r="J212" s="47" t="s">
        <v>115</v>
      </c>
      <c r="K212" s="49">
        <v>2</v>
      </c>
      <c r="L212" s="49" t="s">
        <v>116</v>
      </c>
      <c r="M212" s="46" t="s">
        <v>117</v>
      </c>
      <c r="N212" s="50">
        <v>0</v>
      </c>
      <c r="O212" s="50">
        <v>0</v>
      </c>
      <c r="P212" s="50">
        <v>0</v>
      </c>
      <c r="Q212" s="46" t="s">
        <v>102</v>
      </c>
      <c r="R212" s="46" t="s">
        <v>102</v>
      </c>
      <c r="S212" s="46" t="s">
        <v>102</v>
      </c>
      <c r="T212" s="46" t="s">
        <v>118</v>
      </c>
      <c r="U212" s="51">
        <v>4</v>
      </c>
    </row>
    <row r="213" spans="2:21" ht="14.5" outlineLevel="3">
      <c r="B213" s="44" t="s">
        <v>1027</v>
      </c>
      <c r="C213" s="45" t="s">
        <v>1028</v>
      </c>
      <c r="D213" s="46" t="s">
        <v>469</v>
      </c>
      <c r="E213" s="47" t="s">
        <v>574</v>
      </c>
      <c r="F213" s="46" t="s">
        <v>1029</v>
      </c>
      <c r="G213" s="47" t="s">
        <v>1030</v>
      </c>
      <c r="H213" s="48">
        <v>28790.55</v>
      </c>
      <c r="I213" s="48">
        <v>2</v>
      </c>
      <c r="J213" s="47" t="s">
        <v>115</v>
      </c>
      <c r="K213" s="49">
        <v>2</v>
      </c>
      <c r="L213" s="49" t="s">
        <v>116</v>
      </c>
      <c r="M213" s="46" t="s">
        <v>117</v>
      </c>
      <c r="N213" s="50">
        <v>0</v>
      </c>
      <c r="O213" s="50">
        <v>0</v>
      </c>
      <c r="P213" s="50">
        <v>0</v>
      </c>
      <c r="Q213" s="46" t="s">
        <v>102</v>
      </c>
      <c r="R213" s="46" t="s">
        <v>102</v>
      </c>
      <c r="S213" s="46" t="s">
        <v>102</v>
      </c>
      <c r="T213" s="46" t="s">
        <v>123</v>
      </c>
      <c r="U213" s="51">
        <v>4</v>
      </c>
    </row>
    <row r="214" spans="2:21" ht="14.5" outlineLevel="3">
      <c r="B214" s="44" t="s">
        <v>1031</v>
      </c>
      <c r="C214" s="45" t="s">
        <v>1032</v>
      </c>
      <c r="D214" s="46" t="s">
        <v>458</v>
      </c>
      <c r="E214" s="47" t="s">
        <v>574</v>
      </c>
      <c r="F214" s="46" t="s">
        <v>1033</v>
      </c>
      <c r="G214" s="47" t="s">
        <v>1034</v>
      </c>
      <c r="H214" s="48">
        <v>22687.13</v>
      </c>
      <c r="I214" s="48">
        <v>13</v>
      </c>
      <c r="J214" s="47" t="s">
        <v>115</v>
      </c>
      <c r="K214" s="49">
        <v>2</v>
      </c>
      <c r="L214" s="49" t="s">
        <v>116</v>
      </c>
      <c r="M214" s="46" t="s">
        <v>117</v>
      </c>
      <c r="N214" s="50">
        <v>0</v>
      </c>
      <c r="O214" s="50">
        <v>0</v>
      </c>
      <c r="P214" s="50">
        <v>0</v>
      </c>
      <c r="Q214" s="46" t="s">
        <v>102</v>
      </c>
      <c r="R214" s="46" t="s">
        <v>102</v>
      </c>
      <c r="S214" s="46" t="s">
        <v>102</v>
      </c>
      <c r="T214" s="46" t="s">
        <v>128</v>
      </c>
      <c r="U214" s="51">
        <v>4</v>
      </c>
    </row>
    <row r="215" spans="2:21" ht="14.5" outlineLevel="3">
      <c r="B215" s="44" t="s">
        <v>1035</v>
      </c>
      <c r="C215" s="45" t="s">
        <v>1036</v>
      </c>
      <c r="D215" s="46" t="s">
        <v>458</v>
      </c>
      <c r="E215" s="47" t="s">
        <v>574</v>
      </c>
      <c r="F215" s="46" t="s">
        <v>1037</v>
      </c>
      <c r="G215" s="47" t="s">
        <v>1038</v>
      </c>
      <c r="H215" s="48">
        <v>43602.31</v>
      </c>
      <c r="I215" s="48">
        <v>36</v>
      </c>
      <c r="J215" s="47" t="s">
        <v>115</v>
      </c>
      <c r="K215" s="49">
        <v>2</v>
      </c>
      <c r="L215" s="49" t="s">
        <v>116</v>
      </c>
      <c r="M215" s="46" t="s">
        <v>117</v>
      </c>
      <c r="N215" s="50">
        <v>0</v>
      </c>
      <c r="O215" s="50">
        <v>0</v>
      </c>
      <c r="P215" s="50">
        <v>0</v>
      </c>
      <c r="Q215" s="46" t="s">
        <v>102</v>
      </c>
      <c r="R215" s="46" t="s">
        <v>102</v>
      </c>
      <c r="S215" s="46" t="s">
        <v>102</v>
      </c>
      <c r="T215" s="46" t="s">
        <v>133</v>
      </c>
      <c r="U215" s="51">
        <v>4</v>
      </c>
    </row>
    <row r="216" spans="2:21" ht="14.5" outlineLevel="3">
      <c r="B216" s="44" t="s">
        <v>1039</v>
      </c>
      <c r="C216" s="45" t="s">
        <v>1040</v>
      </c>
      <c r="D216" s="46" t="s">
        <v>458</v>
      </c>
      <c r="E216" s="47" t="s">
        <v>574</v>
      </c>
      <c r="F216" s="46" t="s">
        <v>1041</v>
      </c>
      <c r="G216" s="47" t="s">
        <v>1042</v>
      </c>
      <c r="H216" s="48">
        <v>40134.11</v>
      </c>
      <c r="I216" s="48">
        <v>26</v>
      </c>
      <c r="J216" s="47" t="s">
        <v>115</v>
      </c>
      <c r="K216" s="49">
        <v>2</v>
      </c>
      <c r="L216" s="49" t="s">
        <v>116</v>
      </c>
      <c r="M216" s="46" t="s">
        <v>117</v>
      </c>
      <c r="N216" s="50">
        <v>0</v>
      </c>
      <c r="O216" s="50">
        <v>0</v>
      </c>
      <c r="P216" s="50">
        <v>0</v>
      </c>
      <c r="Q216" s="46" t="s">
        <v>102</v>
      </c>
      <c r="R216" s="46" t="s">
        <v>102</v>
      </c>
      <c r="S216" s="46" t="s">
        <v>102</v>
      </c>
      <c r="T216" s="46" t="s">
        <v>138</v>
      </c>
      <c r="U216" s="51">
        <v>4</v>
      </c>
    </row>
    <row r="217" spans="2:21" ht="14.5" outlineLevel="3">
      <c r="B217" s="44" t="s">
        <v>1043</v>
      </c>
      <c r="C217" s="45" t="s">
        <v>1044</v>
      </c>
      <c r="D217" s="46" t="s">
        <v>458</v>
      </c>
      <c r="E217" s="47" t="s">
        <v>574</v>
      </c>
      <c r="F217" s="46" t="s">
        <v>1045</v>
      </c>
      <c r="G217" s="47" t="s">
        <v>1046</v>
      </c>
      <c r="H217" s="48">
        <v>69757.64</v>
      </c>
      <c r="I217" s="48">
        <v>49</v>
      </c>
      <c r="J217" s="47" t="s">
        <v>115</v>
      </c>
      <c r="K217" s="49">
        <v>2</v>
      </c>
      <c r="L217" s="49" t="s">
        <v>116</v>
      </c>
      <c r="M217" s="46" t="s">
        <v>117</v>
      </c>
      <c r="N217" s="50">
        <v>0</v>
      </c>
      <c r="O217" s="50">
        <v>0</v>
      </c>
      <c r="P217" s="50">
        <v>0</v>
      </c>
      <c r="Q217" s="46" t="s">
        <v>102</v>
      </c>
      <c r="R217" s="46" t="s">
        <v>102</v>
      </c>
      <c r="S217" s="46" t="s">
        <v>102</v>
      </c>
      <c r="T217" s="46" t="s">
        <v>143</v>
      </c>
      <c r="U217" s="51">
        <v>4</v>
      </c>
    </row>
    <row r="218" spans="2:21" ht="14.5" outlineLevel="3">
      <c r="B218" s="44" t="s">
        <v>1047</v>
      </c>
      <c r="C218" s="45" t="s">
        <v>1048</v>
      </c>
      <c r="D218" s="46" t="s">
        <v>458</v>
      </c>
      <c r="E218" s="47" t="s">
        <v>574</v>
      </c>
      <c r="F218" s="46" t="s">
        <v>1049</v>
      </c>
      <c r="G218" s="47" t="s">
        <v>1050</v>
      </c>
      <c r="H218" s="48">
        <v>165761.47</v>
      </c>
      <c r="I218" s="48">
        <v>8</v>
      </c>
      <c r="J218" s="47" t="s">
        <v>115</v>
      </c>
      <c r="K218" s="49">
        <v>2</v>
      </c>
      <c r="L218" s="49" t="s">
        <v>116</v>
      </c>
      <c r="M218" s="46" t="s">
        <v>117</v>
      </c>
      <c r="N218" s="50">
        <v>0</v>
      </c>
      <c r="O218" s="50">
        <v>0</v>
      </c>
      <c r="P218" s="50">
        <v>0</v>
      </c>
      <c r="Q218" s="46" t="s">
        <v>102</v>
      </c>
      <c r="R218" s="46" t="s">
        <v>102</v>
      </c>
      <c r="S218" s="46" t="s">
        <v>102</v>
      </c>
      <c r="T218" s="46" t="s">
        <v>176</v>
      </c>
      <c r="U218" s="51">
        <v>4</v>
      </c>
    </row>
    <row r="219" spans="2:21" ht="14.5" outlineLevel="3">
      <c r="B219" s="44" t="s">
        <v>1051</v>
      </c>
      <c r="C219" s="45" t="s">
        <v>1052</v>
      </c>
      <c r="D219" s="46" t="s">
        <v>458</v>
      </c>
      <c r="E219" s="47" t="s">
        <v>574</v>
      </c>
      <c r="F219" s="46" t="s">
        <v>1053</v>
      </c>
      <c r="G219" s="47" t="s">
        <v>1054</v>
      </c>
      <c r="H219" s="48">
        <v>52356.09</v>
      </c>
      <c r="I219" s="48">
        <v>6</v>
      </c>
      <c r="J219" s="47" t="s">
        <v>115</v>
      </c>
      <c r="K219" s="49">
        <v>2</v>
      </c>
      <c r="L219" s="49" t="s">
        <v>116</v>
      </c>
      <c r="M219" s="46" t="s">
        <v>117</v>
      </c>
      <c r="N219" s="50">
        <v>0</v>
      </c>
      <c r="O219" s="50">
        <v>0</v>
      </c>
      <c r="P219" s="50">
        <v>0</v>
      </c>
      <c r="Q219" s="46" t="s">
        <v>102</v>
      </c>
      <c r="R219" s="46" t="s">
        <v>102</v>
      </c>
      <c r="S219" s="46" t="s">
        <v>102</v>
      </c>
      <c r="T219" s="46" t="s">
        <v>182</v>
      </c>
      <c r="U219" s="51">
        <v>4</v>
      </c>
    </row>
    <row r="220" spans="2:21" ht="14.5" outlineLevel="3">
      <c r="B220" s="44" t="s">
        <v>1055</v>
      </c>
      <c r="C220" s="45" t="s">
        <v>1056</v>
      </c>
      <c r="D220" s="46" t="s">
        <v>458</v>
      </c>
      <c r="E220" s="47" t="s">
        <v>574</v>
      </c>
      <c r="F220" s="46" t="s">
        <v>1057</v>
      </c>
      <c r="G220" s="47" t="s">
        <v>1058</v>
      </c>
      <c r="H220" s="48">
        <v>55839.43</v>
      </c>
      <c r="I220" s="48">
        <v>8</v>
      </c>
      <c r="J220" s="47" t="s">
        <v>115</v>
      </c>
      <c r="K220" s="49">
        <v>2</v>
      </c>
      <c r="L220" s="49" t="s">
        <v>116</v>
      </c>
      <c r="M220" s="46" t="s">
        <v>117</v>
      </c>
      <c r="N220" s="50">
        <v>0</v>
      </c>
      <c r="O220" s="50">
        <v>0</v>
      </c>
      <c r="P220" s="50">
        <v>0</v>
      </c>
      <c r="Q220" s="46" t="s">
        <v>102</v>
      </c>
      <c r="R220" s="46" t="s">
        <v>102</v>
      </c>
      <c r="S220" s="46" t="s">
        <v>102</v>
      </c>
      <c r="T220" s="46" t="s">
        <v>187</v>
      </c>
      <c r="U220" s="51">
        <v>4</v>
      </c>
    </row>
    <row r="221" spans="2:21" ht="14.5" outlineLevel="3">
      <c r="B221" s="44" t="s">
        <v>1059</v>
      </c>
      <c r="C221" s="45" t="s">
        <v>1060</v>
      </c>
      <c r="D221" s="46" t="s">
        <v>458</v>
      </c>
      <c r="E221" s="47" t="s">
        <v>574</v>
      </c>
      <c r="F221" s="46" t="s">
        <v>1061</v>
      </c>
      <c r="G221" s="47" t="s">
        <v>1062</v>
      </c>
      <c r="H221" s="48">
        <v>41739.480000000003</v>
      </c>
      <c r="I221" s="48">
        <v>120</v>
      </c>
      <c r="J221" s="47" t="s">
        <v>115</v>
      </c>
      <c r="K221" s="49">
        <v>2</v>
      </c>
      <c r="L221" s="49" t="s">
        <v>116</v>
      </c>
      <c r="M221" s="46" t="s">
        <v>117</v>
      </c>
      <c r="N221" s="50">
        <v>0</v>
      </c>
      <c r="O221" s="50">
        <v>0</v>
      </c>
      <c r="P221" s="50">
        <v>0</v>
      </c>
      <c r="Q221" s="46" t="s">
        <v>102</v>
      </c>
      <c r="R221" s="46" t="s">
        <v>102</v>
      </c>
      <c r="S221" s="46" t="s">
        <v>102</v>
      </c>
      <c r="T221" s="46" t="s">
        <v>259</v>
      </c>
      <c r="U221" s="51">
        <v>4</v>
      </c>
    </row>
    <row r="222" spans="2:21" ht="14.5" outlineLevel="3">
      <c r="B222" s="44" t="s">
        <v>1063</v>
      </c>
      <c r="C222" s="45" t="s">
        <v>1064</v>
      </c>
      <c r="D222" s="46" t="s">
        <v>458</v>
      </c>
      <c r="E222" s="47" t="s">
        <v>574</v>
      </c>
      <c r="F222" s="46" t="s">
        <v>1065</v>
      </c>
      <c r="G222" s="47" t="s">
        <v>1066</v>
      </c>
      <c r="H222" s="48">
        <v>8738.64</v>
      </c>
      <c r="I222" s="48">
        <v>13</v>
      </c>
      <c r="J222" s="47" t="s">
        <v>115</v>
      </c>
      <c r="K222" s="49">
        <v>2</v>
      </c>
      <c r="L222" s="49" t="s">
        <v>116</v>
      </c>
      <c r="M222" s="46" t="s">
        <v>117</v>
      </c>
      <c r="N222" s="50">
        <v>0</v>
      </c>
      <c r="O222" s="50">
        <v>0</v>
      </c>
      <c r="P222" s="50">
        <v>0</v>
      </c>
      <c r="Q222" s="46" t="s">
        <v>102</v>
      </c>
      <c r="R222" s="46" t="s">
        <v>102</v>
      </c>
      <c r="S222" s="46" t="s">
        <v>102</v>
      </c>
      <c r="T222" s="46" t="s">
        <v>192</v>
      </c>
      <c r="U222" s="51">
        <v>4</v>
      </c>
    </row>
    <row r="223" spans="2:21" ht="14.5" outlineLevel="3">
      <c r="B223" s="44" t="s">
        <v>1067</v>
      </c>
      <c r="C223" s="45" t="s">
        <v>1068</v>
      </c>
      <c r="D223" s="46" t="s">
        <v>458</v>
      </c>
      <c r="E223" s="47" t="s">
        <v>574</v>
      </c>
      <c r="F223" s="46" t="s">
        <v>1069</v>
      </c>
      <c r="G223" s="47" t="s">
        <v>1070</v>
      </c>
      <c r="H223" s="48">
        <v>177983.44</v>
      </c>
      <c r="I223" s="48">
        <v>14</v>
      </c>
      <c r="J223" s="47" t="s">
        <v>115</v>
      </c>
      <c r="K223" s="49">
        <v>2</v>
      </c>
      <c r="L223" s="49" t="s">
        <v>116</v>
      </c>
      <c r="M223" s="46" t="s">
        <v>117</v>
      </c>
      <c r="N223" s="50">
        <v>0</v>
      </c>
      <c r="O223" s="50">
        <v>0</v>
      </c>
      <c r="P223" s="50">
        <v>0</v>
      </c>
      <c r="Q223" s="46" t="s">
        <v>102</v>
      </c>
      <c r="R223" s="46" t="s">
        <v>102</v>
      </c>
      <c r="S223" s="46" t="s">
        <v>102</v>
      </c>
      <c r="T223" s="46" t="s">
        <v>615</v>
      </c>
      <c r="U223" s="51">
        <v>4</v>
      </c>
    </row>
    <row r="224" spans="2:21" ht="14.5" outlineLevel="3">
      <c r="B224" s="44" t="s">
        <v>1071</v>
      </c>
      <c r="C224" s="45" t="s">
        <v>1072</v>
      </c>
      <c r="D224" s="46" t="s">
        <v>469</v>
      </c>
      <c r="E224" s="47" t="s">
        <v>574</v>
      </c>
      <c r="F224" s="46" t="s">
        <v>1073</v>
      </c>
      <c r="G224" s="47" t="s">
        <v>1074</v>
      </c>
      <c r="H224" s="48">
        <v>209378.92</v>
      </c>
      <c r="I224" s="48">
        <v>2</v>
      </c>
      <c r="J224" s="47" t="s">
        <v>115</v>
      </c>
      <c r="K224" s="49">
        <v>2</v>
      </c>
      <c r="L224" s="49" t="s">
        <v>116</v>
      </c>
      <c r="M224" s="46" t="s">
        <v>117</v>
      </c>
      <c r="N224" s="50">
        <v>0</v>
      </c>
      <c r="O224" s="50">
        <v>0</v>
      </c>
      <c r="P224" s="50">
        <v>0</v>
      </c>
      <c r="Q224" s="46" t="s">
        <v>102</v>
      </c>
      <c r="R224" s="46" t="s">
        <v>102</v>
      </c>
      <c r="S224" s="46" t="s">
        <v>102</v>
      </c>
      <c r="T224" s="46" t="s">
        <v>268</v>
      </c>
      <c r="U224" s="51">
        <v>4</v>
      </c>
    </row>
    <row r="225" spans="2:21" ht="14.5" outlineLevel="3">
      <c r="B225" s="44" t="s">
        <v>1075</v>
      </c>
      <c r="C225" s="45" t="s">
        <v>1076</v>
      </c>
      <c r="D225" s="46" t="s">
        <v>469</v>
      </c>
      <c r="E225" s="47" t="s">
        <v>574</v>
      </c>
      <c r="F225" s="46" t="s">
        <v>1077</v>
      </c>
      <c r="G225" s="47" t="s">
        <v>1078</v>
      </c>
      <c r="H225" s="48">
        <v>352453.25</v>
      </c>
      <c r="I225" s="48">
        <v>2</v>
      </c>
      <c r="J225" s="47" t="s">
        <v>115</v>
      </c>
      <c r="K225" s="49">
        <v>2</v>
      </c>
      <c r="L225" s="49" t="s">
        <v>116</v>
      </c>
      <c r="M225" s="46" t="s">
        <v>117</v>
      </c>
      <c r="N225" s="50">
        <v>0</v>
      </c>
      <c r="O225" s="50">
        <v>0</v>
      </c>
      <c r="P225" s="50">
        <v>0</v>
      </c>
      <c r="Q225" s="46" t="s">
        <v>102</v>
      </c>
      <c r="R225" s="46" t="s">
        <v>102</v>
      </c>
      <c r="S225" s="46" t="s">
        <v>102</v>
      </c>
      <c r="T225" s="46" t="s">
        <v>273</v>
      </c>
      <c r="U225" s="51">
        <v>4</v>
      </c>
    </row>
    <row r="226" spans="2:21" ht="14.5" outlineLevel="3">
      <c r="B226" s="44" t="s">
        <v>1079</v>
      </c>
      <c r="C226" s="45" t="s">
        <v>1080</v>
      </c>
      <c r="D226" s="46" t="s">
        <v>469</v>
      </c>
      <c r="E226" s="47" t="s">
        <v>574</v>
      </c>
      <c r="F226" s="46" t="s">
        <v>1081</v>
      </c>
      <c r="G226" s="47" t="s">
        <v>1082</v>
      </c>
      <c r="H226" s="48">
        <v>35333.17</v>
      </c>
      <c r="I226" s="48">
        <v>3</v>
      </c>
      <c r="J226" s="47" t="s">
        <v>115</v>
      </c>
      <c r="K226" s="49">
        <v>2</v>
      </c>
      <c r="L226" s="49" t="s">
        <v>116</v>
      </c>
      <c r="M226" s="46" t="s">
        <v>117</v>
      </c>
      <c r="N226" s="50">
        <v>0</v>
      </c>
      <c r="O226" s="50">
        <v>0</v>
      </c>
      <c r="P226" s="50">
        <v>0</v>
      </c>
      <c r="Q226" s="46" t="s">
        <v>102</v>
      </c>
      <c r="R226" s="46" t="s">
        <v>102</v>
      </c>
      <c r="S226" s="46" t="s">
        <v>102</v>
      </c>
      <c r="T226" s="46" t="s">
        <v>198</v>
      </c>
      <c r="U226" s="51">
        <v>4</v>
      </c>
    </row>
    <row r="227" spans="2:21" ht="14.5" outlineLevel="3">
      <c r="B227" s="44" t="s">
        <v>1083</v>
      </c>
      <c r="C227" s="45" t="s">
        <v>1084</v>
      </c>
      <c r="D227" s="46" t="s">
        <v>1085</v>
      </c>
      <c r="E227" s="47" t="s">
        <v>574</v>
      </c>
      <c r="F227" s="46" t="s">
        <v>1086</v>
      </c>
      <c r="G227" s="47" t="s">
        <v>1087</v>
      </c>
      <c r="H227" s="48">
        <v>776451.25</v>
      </c>
      <c r="I227" s="48">
        <v>3.2</v>
      </c>
      <c r="J227" s="47" t="s">
        <v>115</v>
      </c>
      <c r="K227" s="49">
        <v>2</v>
      </c>
      <c r="L227" s="49" t="s">
        <v>116</v>
      </c>
      <c r="M227" s="46" t="s">
        <v>117</v>
      </c>
      <c r="N227" s="50">
        <v>0</v>
      </c>
      <c r="O227" s="50">
        <v>0</v>
      </c>
      <c r="P227" s="50">
        <v>0</v>
      </c>
      <c r="Q227" s="46" t="s">
        <v>102</v>
      </c>
      <c r="R227" s="46" t="s">
        <v>102</v>
      </c>
      <c r="S227" s="46" t="s">
        <v>102</v>
      </c>
      <c r="T227" s="46" t="s">
        <v>283</v>
      </c>
      <c r="U227" s="51">
        <v>4</v>
      </c>
    </row>
    <row r="228" spans="2:21" ht="14.5" outlineLevel="3">
      <c r="B228" s="44" t="s">
        <v>1088</v>
      </c>
      <c r="C228" s="45" t="s">
        <v>1089</v>
      </c>
      <c r="D228" s="46" t="s">
        <v>179</v>
      </c>
      <c r="E228" s="47" t="s">
        <v>574</v>
      </c>
      <c r="F228" s="46" t="s">
        <v>1090</v>
      </c>
      <c r="G228" s="47" t="s">
        <v>1091</v>
      </c>
      <c r="H228" s="48">
        <v>363.48</v>
      </c>
      <c r="I228" s="48">
        <v>1000</v>
      </c>
      <c r="J228" s="47" t="s">
        <v>115</v>
      </c>
      <c r="K228" s="49">
        <v>2</v>
      </c>
      <c r="L228" s="49" t="s">
        <v>116</v>
      </c>
      <c r="M228" s="46" t="s">
        <v>117</v>
      </c>
      <c r="N228" s="50">
        <v>0</v>
      </c>
      <c r="O228" s="50">
        <v>0</v>
      </c>
      <c r="P228" s="50">
        <v>0</v>
      </c>
      <c r="Q228" s="46" t="s">
        <v>102</v>
      </c>
      <c r="R228" s="46" t="s">
        <v>102</v>
      </c>
      <c r="S228" s="46" t="s">
        <v>102</v>
      </c>
      <c r="T228" s="46" t="s">
        <v>288</v>
      </c>
      <c r="U228" s="51">
        <v>4</v>
      </c>
    </row>
    <row r="229" spans="2:21" ht="14.5" outlineLevel="3">
      <c r="B229" s="44" t="s">
        <v>1092</v>
      </c>
      <c r="C229" s="45" t="s">
        <v>1093</v>
      </c>
      <c r="D229" s="46" t="s">
        <v>469</v>
      </c>
      <c r="E229" s="47" t="s">
        <v>574</v>
      </c>
      <c r="F229" s="46" t="s">
        <v>1094</v>
      </c>
      <c r="G229" s="47" t="s">
        <v>1095</v>
      </c>
      <c r="H229" s="48">
        <v>357693.41</v>
      </c>
      <c r="I229" s="48">
        <v>2</v>
      </c>
      <c r="J229" s="47" t="s">
        <v>115</v>
      </c>
      <c r="K229" s="49">
        <v>2</v>
      </c>
      <c r="L229" s="49" t="s">
        <v>116</v>
      </c>
      <c r="M229" s="46" t="s">
        <v>117</v>
      </c>
      <c r="N229" s="50">
        <v>0</v>
      </c>
      <c r="O229" s="50">
        <v>0</v>
      </c>
      <c r="P229" s="50">
        <v>0</v>
      </c>
      <c r="Q229" s="46" t="s">
        <v>102</v>
      </c>
      <c r="R229" s="46" t="s">
        <v>102</v>
      </c>
      <c r="S229" s="46" t="s">
        <v>102</v>
      </c>
      <c r="T229" s="46" t="s">
        <v>203</v>
      </c>
      <c r="U229" s="51">
        <v>4</v>
      </c>
    </row>
    <row r="230" spans="2:21" ht="14.5" outlineLevel="3">
      <c r="B230" s="44" t="s">
        <v>1096</v>
      </c>
      <c r="C230" s="45" t="s">
        <v>1097</v>
      </c>
      <c r="D230" s="46" t="s">
        <v>469</v>
      </c>
      <c r="E230" s="47" t="s">
        <v>574</v>
      </c>
      <c r="F230" s="46" t="s">
        <v>1098</v>
      </c>
      <c r="G230" s="47" t="s">
        <v>1099</v>
      </c>
      <c r="H230" s="48">
        <v>488560.91</v>
      </c>
      <c r="I230" s="48">
        <v>2</v>
      </c>
      <c r="J230" s="47" t="s">
        <v>115</v>
      </c>
      <c r="K230" s="49">
        <v>2</v>
      </c>
      <c r="L230" s="49" t="s">
        <v>116</v>
      </c>
      <c r="M230" s="46" t="s">
        <v>117</v>
      </c>
      <c r="N230" s="50">
        <v>0</v>
      </c>
      <c r="O230" s="50">
        <v>0</v>
      </c>
      <c r="P230" s="50">
        <v>0</v>
      </c>
      <c r="Q230" s="46" t="s">
        <v>102</v>
      </c>
      <c r="R230" s="46" t="s">
        <v>102</v>
      </c>
      <c r="S230" s="46" t="s">
        <v>102</v>
      </c>
      <c r="T230" s="46" t="s">
        <v>298</v>
      </c>
      <c r="U230" s="51">
        <v>4</v>
      </c>
    </row>
    <row r="231" spans="2:21" ht="14.5" outlineLevel="3">
      <c r="B231" s="44" t="s">
        <v>1100</v>
      </c>
      <c r="C231" s="45" t="s">
        <v>1101</v>
      </c>
      <c r="D231" s="46" t="s">
        <v>469</v>
      </c>
      <c r="E231" s="47" t="s">
        <v>574</v>
      </c>
      <c r="F231" s="46" t="s">
        <v>1102</v>
      </c>
      <c r="G231" s="47" t="s">
        <v>1103</v>
      </c>
      <c r="H231" s="48">
        <v>21823.87</v>
      </c>
      <c r="I231" s="48">
        <v>4</v>
      </c>
      <c r="J231" s="47" t="s">
        <v>115</v>
      </c>
      <c r="K231" s="49">
        <v>2</v>
      </c>
      <c r="L231" s="49" t="s">
        <v>116</v>
      </c>
      <c r="M231" s="46" t="s">
        <v>117</v>
      </c>
      <c r="N231" s="50">
        <v>0</v>
      </c>
      <c r="O231" s="50">
        <v>0</v>
      </c>
      <c r="P231" s="50">
        <v>0</v>
      </c>
      <c r="Q231" s="46" t="s">
        <v>102</v>
      </c>
      <c r="R231" s="46" t="s">
        <v>102</v>
      </c>
      <c r="S231" s="46" t="s">
        <v>102</v>
      </c>
      <c r="T231" s="46" t="s">
        <v>418</v>
      </c>
      <c r="U231" s="51">
        <v>4</v>
      </c>
    </row>
    <row r="232" spans="2:21" ht="14.5" outlineLevel="3">
      <c r="B232" s="44" t="s">
        <v>1104</v>
      </c>
      <c r="C232" s="45" t="s">
        <v>1105</v>
      </c>
      <c r="D232" s="46" t="s">
        <v>111</v>
      </c>
      <c r="E232" s="47" t="s">
        <v>574</v>
      </c>
      <c r="F232" s="46" t="s">
        <v>1106</v>
      </c>
      <c r="G232" s="47" t="s">
        <v>1107</v>
      </c>
      <c r="H232" s="48">
        <v>742.1</v>
      </c>
      <c r="I232" s="48">
        <v>380</v>
      </c>
      <c r="J232" s="47" t="s">
        <v>115</v>
      </c>
      <c r="K232" s="49">
        <v>2</v>
      </c>
      <c r="L232" s="49" t="s">
        <v>116</v>
      </c>
      <c r="M232" s="46" t="s">
        <v>117</v>
      </c>
      <c r="N232" s="50">
        <v>0</v>
      </c>
      <c r="O232" s="50">
        <v>0</v>
      </c>
      <c r="P232" s="50">
        <v>0</v>
      </c>
      <c r="Q232" s="46" t="s">
        <v>102</v>
      </c>
      <c r="R232" s="46" t="s">
        <v>102</v>
      </c>
      <c r="S232" s="46" t="s">
        <v>102</v>
      </c>
      <c r="T232" s="46" t="s">
        <v>208</v>
      </c>
      <c r="U232" s="51">
        <v>4</v>
      </c>
    </row>
    <row r="233" spans="2:21" ht="14.5" outlineLevel="3">
      <c r="B233" s="44" t="s">
        <v>1108</v>
      </c>
      <c r="C233" s="45" t="s">
        <v>1109</v>
      </c>
      <c r="D233" s="46" t="s">
        <v>276</v>
      </c>
      <c r="E233" s="47" t="s">
        <v>574</v>
      </c>
      <c r="F233" s="46" t="s">
        <v>1110</v>
      </c>
      <c r="G233" s="47" t="s">
        <v>1111</v>
      </c>
      <c r="H233" s="48">
        <v>45.43</v>
      </c>
      <c r="I233" s="48">
        <v>3750</v>
      </c>
      <c r="J233" s="47" t="s">
        <v>115</v>
      </c>
      <c r="K233" s="49">
        <v>2</v>
      </c>
      <c r="L233" s="49" t="s">
        <v>116</v>
      </c>
      <c r="M233" s="46" t="s">
        <v>117</v>
      </c>
      <c r="N233" s="50">
        <v>0</v>
      </c>
      <c r="O233" s="50">
        <v>0</v>
      </c>
      <c r="P233" s="50">
        <v>0</v>
      </c>
      <c r="Q233" s="46" t="s">
        <v>102</v>
      </c>
      <c r="R233" s="46" t="s">
        <v>102</v>
      </c>
      <c r="S233" s="46" t="s">
        <v>102</v>
      </c>
      <c r="T233" s="46" t="s">
        <v>303</v>
      </c>
      <c r="U233" s="51">
        <v>4</v>
      </c>
    </row>
    <row r="234" spans="2:21" ht="14.5" outlineLevel="3">
      <c r="B234" s="44" t="s">
        <v>1112</v>
      </c>
      <c r="C234" s="45" t="s">
        <v>1113</v>
      </c>
      <c r="D234" s="46" t="s">
        <v>179</v>
      </c>
      <c r="E234" s="47" t="s">
        <v>574</v>
      </c>
      <c r="F234" s="46" t="s">
        <v>1114</v>
      </c>
      <c r="G234" s="47" t="s">
        <v>1115</v>
      </c>
      <c r="H234" s="48">
        <v>272.61</v>
      </c>
      <c r="I234" s="48">
        <v>1000</v>
      </c>
      <c r="J234" s="47" t="s">
        <v>115</v>
      </c>
      <c r="K234" s="49">
        <v>2</v>
      </c>
      <c r="L234" s="49" t="s">
        <v>116</v>
      </c>
      <c r="M234" s="46" t="s">
        <v>117</v>
      </c>
      <c r="N234" s="50">
        <v>0</v>
      </c>
      <c r="O234" s="50">
        <v>0</v>
      </c>
      <c r="P234" s="50">
        <v>0</v>
      </c>
      <c r="Q234" s="46" t="s">
        <v>102</v>
      </c>
      <c r="R234" s="46" t="s">
        <v>102</v>
      </c>
      <c r="S234" s="46" t="s">
        <v>102</v>
      </c>
      <c r="T234" s="46" t="s">
        <v>213</v>
      </c>
      <c r="U234" s="51">
        <v>4</v>
      </c>
    </row>
    <row r="235" spans="2:21" ht="14.5" outlineLevel="3">
      <c r="B235" s="44" t="s">
        <v>1116</v>
      </c>
      <c r="C235" s="45" t="s">
        <v>1117</v>
      </c>
      <c r="D235" s="46" t="s">
        <v>111</v>
      </c>
      <c r="E235" s="47" t="s">
        <v>574</v>
      </c>
      <c r="F235" s="46" t="s">
        <v>1118</v>
      </c>
      <c r="G235" s="47" t="s">
        <v>1119</v>
      </c>
      <c r="H235" s="48">
        <v>742.1</v>
      </c>
      <c r="I235" s="48">
        <v>160</v>
      </c>
      <c r="J235" s="47" t="s">
        <v>115</v>
      </c>
      <c r="K235" s="49">
        <v>2</v>
      </c>
      <c r="L235" s="49" t="s">
        <v>116</v>
      </c>
      <c r="M235" s="46" t="s">
        <v>117</v>
      </c>
      <c r="N235" s="50">
        <v>0</v>
      </c>
      <c r="O235" s="50">
        <v>0</v>
      </c>
      <c r="P235" s="50">
        <v>0</v>
      </c>
      <c r="Q235" s="46" t="s">
        <v>102</v>
      </c>
      <c r="R235" s="46" t="s">
        <v>102</v>
      </c>
      <c r="S235" s="46" t="s">
        <v>102</v>
      </c>
      <c r="T235" s="46" t="s">
        <v>658</v>
      </c>
      <c r="U235" s="51">
        <v>4</v>
      </c>
    </row>
    <row r="236" spans="2:21" ht="14.5" outlineLevel="3">
      <c r="B236" s="44" t="s">
        <v>1120</v>
      </c>
      <c r="C236" s="45" t="s">
        <v>1121</v>
      </c>
      <c r="D236" s="46" t="s">
        <v>276</v>
      </c>
      <c r="E236" s="47" t="s">
        <v>574</v>
      </c>
      <c r="F236" s="46" t="s">
        <v>1122</v>
      </c>
      <c r="G236" s="47" t="s">
        <v>1123</v>
      </c>
      <c r="H236" s="48">
        <v>439.2</v>
      </c>
      <c r="I236" s="48">
        <v>700</v>
      </c>
      <c r="J236" s="47" t="s">
        <v>115</v>
      </c>
      <c r="K236" s="49">
        <v>2</v>
      </c>
      <c r="L236" s="49" t="s">
        <v>116</v>
      </c>
      <c r="M236" s="46" t="s">
        <v>117</v>
      </c>
      <c r="N236" s="50">
        <v>0</v>
      </c>
      <c r="O236" s="50">
        <v>0</v>
      </c>
      <c r="P236" s="50">
        <v>0</v>
      </c>
      <c r="Q236" s="46" t="s">
        <v>102</v>
      </c>
      <c r="R236" s="46" t="s">
        <v>102</v>
      </c>
      <c r="S236" s="46" t="s">
        <v>102</v>
      </c>
      <c r="T236" s="46" t="s">
        <v>663</v>
      </c>
      <c r="U236" s="51">
        <v>4</v>
      </c>
    </row>
    <row r="237" spans="2:21" ht="14.5" outlineLevel="3">
      <c r="B237" s="44" t="s">
        <v>1124</v>
      </c>
      <c r="C237" s="45" t="s">
        <v>1125</v>
      </c>
      <c r="D237" s="46" t="s">
        <v>276</v>
      </c>
      <c r="E237" s="47" t="s">
        <v>574</v>
      </c>
      <c r="F237" s="46" t="s">
        <v>1126</v>
      </c>
      <c r="G237" s="47" t="s">
        <v>1127</v>
      </c>
      <c r="H237" s="48">
        <v>106.01</v>
      </c>
      <c r="I237" s="48">
        <v>500</v>
      </c>
      <c r="J237" s="47" t="s">
        <v>115</v>
      </c>
      <c r="K237" s="49">
        <v>2</v>
      </c>
      <c r="L237" s="49" t="s">
        <v>116</v>
      </c>
      <c r="M237" s="46" t="s">
        <v>117</v>
      </c>
      <c r="N237" s="50">
        <v>0</v>
      </c>
      <c r="O237" s="50">
        <v>0</v>
      </c>
      <c r="P237" s="50">
        <v>0</v>
      </c>
      <c r="Q237" s="46" t="s">
        <v>102</v>
      </c>
      <c r="R237" s="46" t="s">
        <v>102</v>
      </c>
      <c r="S237" s="46" t="s">
        <v>102</v>
      </c>
      <c r="T237" s="46" t="s">
        <v>668</v>
      </c>
      <c r="U237" s="51">
        <v>4</v>
      </c>
    </row>
    <row r="238" spans="2:21" ht="14.5" outlineLevel="3">
      <c r="B238" s="44" t="s">
        <v>1128</v>
      </c>
      <c r="C238" s="45" t="s">
        <v>1129</v>
      </c>
      <c r="D238" s="46" t="s">
        <v>458</v>
      </c>
      <c r="E238" s="47" t="s">
        <v>574</v>
      </c>
      <c r="F238" s="46" t="s">
        <v>1130</v>
      </c>
      <c r="G238" s="47" t="s">
        <v>1129</v>
      </c>
      <c r="H238" s="48">
        <v>2271.7399999999998</v>
      </c>
      <c r="I238" s="48">
        <v>4</v>
      </c>
      <c r="J238" s="47" t="s">
        <v>115</v>
      </c>
      <c r="K238" s="49">
        <v>2</v>
      </c>
      <c r="L238" s="49" t="s">
        <v>116</v>
      </c>
      <c r="M238" s="46" t="s">
        <v>117</v>
      </c>
      <c r="N238" s="50">
        <v>0</v>
      </c>
      <c r="O238" s="50">
        <v>0</v>
      </c>
      <c r="P238" s="50">
        <v>0</v>
      </c>
      <c r="Q238" s="46" t="s">
        <v>102</v>
      </c>
      <c r="R238" s="46" t="s">
        <v>102</v>
      </c>
      <c r="S238" s="46" t="s">
        <v>102</v>
      </c>
      <c r="T238" s="46" t="s">
        <v>673</v>
      </c>
      <c r="U238" s="51">
        <v>4</v>
      </c>
    </row>
    <row r="239" spans="2:21" ht="14.5" outlineLevel="3">
      <c r="B239" s="44" t="s">
        <v>1131</v>
      </c>
      <c r="C239" s="45" t="s">
        <v>1132</v>
      </c>
      <c r="D239" s="46" t="s">
        <v>458</v>
      </c>
      <c r="E239" s="47" t="s">
        <v>574</v>
      </c>
      <c r="F239" s="46" t="s">
        <v>1133</v>
      </c>
      <c r="G239" s="47" t="s">
        <v>1132</v>
      </c>
      <c r="H239" s="48">
        <v>2271.7399999999998</v>
      </c>
      <c r="I239" s="48">
        <v>4</v>
      </c>
      <c r="J239" s="47" t="s">
        <v>115</v>
      </c>
      <c r="K239" s="49">
        <v>2</v>
      </c>
      <c r="L239" s="49" t="s">
        <v>116</v>
      </c>
      <c r="M239" s="46" t="s">
        <v>117</v>
      </c>
      <c r="N239" s="50">
        <v>0</v>
      </c>
      <c r="O239" s="50">
        <v>0</v>
      </c>
      <c r="P239" s="50">
        <v>0</v>
      </c>
      <c r="Q239" s="46" t="s">
        <v>102</v>
      </c>
      <c r="R239" s="46" t="s">
        <v>102</v>
      </c>
      <c r="S239" s="46" t="s">
        <v>102</v>
      </c>
      <c r="T239" s="46" t="s">
        <v>678</v>
      </c>
      <c r="U239" s="51">
        <v>4</v>
      </c>
    </row>
    <row r="240" spans="2:21" ht="14.5" outlineLevel="3">
      <c r="B240" s="44" t="s">
        <v>1134</v>
      </c>
      <c r="C240" s="45" t="s">
        <v>1135</v>
      </c>
      <c r="D240" s="46" t="s">
        <v>179</v>
      </c>
      <c r="E240" s="47" t="s">
        <v>574</v>
      </c>
      <c r="F240" s="46" t="s">
        <v>1136</v>
      </c>
      <c r="G240" s="47" t="s">
        <v>1137</v>
      </c>
      <c r="H240" s="48">
        <v>1272.18</v>
      </c>
      <c r="I240" s="48">
        <v>140</v>
      </c>
      <c r="J240" s="47" t="s">
        <v>115</v>
      </c>
      <c r="K240" s="49">
        <v>2</v>
      </c>
      <c r="L240" s="49" t="s">
        <v>116</v>
      </c>
      <c r="M240" s="46" t="s">
        <v>117</v>
      </c>
      <c r="N240" s="50">
        <v>0</v>
      </c>
      <c r="O240" s="50">
        <v>0</v>
      </c>
      <c r="P240" s="50">
        <v>0</v>
      </c>
      <c r="Q240" s="46" t="s">
        <v>102</v>
      </c>
      <c r="R240" s="46" t="s">
        <v>102</v>
      </c>
      <c r="S240" s="46" t="s">
        <v>102</v>
      </c>
      <c r="T240" s="46" t="s">
        <v>218</v>
      </c>
      <c r="U240" s="51">
        <v>4</v>
      </c>
    </row>
    <row r="241" spans="2:21" ht="14.5" outlineLevel="3">
      <c r="B241" s="44" t="s">
        <v>1138</v>
      </c>
      <c r="C241" s="45" t="s">
        <v>1139</v>
      </c>
      <c r="D241" s="46" t="s">
        <v>179</v>
      </c>
      <c r="E241" s="47" t="s">
        <v>574</v>
      </c>
      <c r="F241" s="46" t="s">
        <v>1140</v>
      </c>
      <c r="G241" s="47" t="s">
        <v>1141</v>
      </c>
      <c r="H241" s="48">
        <v>1226.74</v>
      </c>
      <c r="I241" s="48">
        <v>50</v>
      </c>
      <c r="J241" s="47" t="s">
        <v>115</v>
      </c>
      <c r="K241" s="49">
        <v>2</v>
      </c>
      <c r="L241" s="49" t="s">
        <v>116</v>
      </c>
      <c r="M241" s="46" t="s">
        <v>117</v>
      </c>
      <c r="N241" s="50">
        <v>0</v>
      </c>
      <c r="O241" s="50">
        <v>0</v>
      </c>
      <c r="P241" s="50">
        <v>0</v>
      </c>
      <c r="Q241" s="46" t="s">
        <v>102</v>
      </c>
      <c r="R241" s="46" t="s">
        <v>102</v>
      </c>
      <c r="S241" s="46" t="s">
        <v>102</v>
      </c>
      <c r="T241" s="46" t="s">
        <v>223</v>
      </c>
      <c r="U241" s="51">
        <v>4</v>
      </c>
    </row>
    <row r="242" spans="2:21" ht="14.5" outlineLevel="3">
      <c r="B242" s="44" t="s">
        <v>1142</v>
      </c>
      <c r="C242" s="45" t="s">
        <v>1143</v>
      </c>
      <c r="D242" s="46" t="s">
        <v>179</v>
      </c>
      <c r="E242" s="47" t="s">
        <v>574</v>
      </c>
      <c r="F242" s="46" t="s">
        <v>1144</v>
      </c>
      <c r="G242" s="47" t="s">
        <v>1145</v>
      </c>
      <c r="H242" s="48">
        <v>378.62</v>
      </c>
      <c r="I242" s="48">
        <v>90</v>
      </c>
      <c r="J242" s="47" t="s">
        <v>115</v>
      </c>
      <c r="K242" s="49">
        <v>2</v>
      </c>
      <c r="L242" s="49" t="s">
        <v>116</v>
      </c>
      <c r="M242" s="46" t="s">
        <v>117</v>
      </c>
      <c r="N242" s="50">
        <v>0</v>
      </c>
      <c r="O242" s="50">
        <v>0</v>
      </c>
      <c r="P242" s="50">
        <v>0</v>
      </c>
      <c r="Q242" s="46" t="s">
        <v>102</v>
      </c>
      <c r="R242" s="46" t="s">
        <v>102</v>
      </c>
      <c r="S242" s="46" t="s">
        <v>102</v>
      </c>
      <c r="T242" s="46" t="s">
        <v>691</v>
      </c>
      <c r="U242" s="51">
        <v>4</v>
      </c>
    </row>
    <row r="243" spans="2:21" ht="14.5" outlineLevel="3">
      <c r="B243" s="44" t="s">
        <v>1146</v>
      </c>
      <c r="C243" s="45" t="s">
        <v>1147</v>
      </c>
      <c r="D243" s="46" t="s">
        <v>179</v>
      </c>
      <c r="E243" s="47" t="s">
        <v>574</v>
      </c>
      <c r="F243" s="46" t="s">
        <v>1148</v>
      </c>
      <c r="G243" s="47" t="s">
        <v>1149</v>
      </c>
      <c r="H243" s="48">
        <v>1075.29</v>
      </c>
      <c r="I243" s="48">
        <v>40</v>
      </c>
      <c r="J243" s="47" t="s">
        <v>115</v>
      </c>
      <c r="K243" s="49">
        <v>2</v>
      </c>
      <c r="L243" s="49" t="s">
        <v>116</v>
      </c>
      <c r="M243" s="46" t="s">
        <v>117</v>
      </c>
      <c r="N243" s="50">
        <v>0</v>
      </c>
      <c r="O243" s="50">
        <v>0</v>
      </c>
      <c r="P243" s="50">
        <v>0</v>
      </c>
      <c r="Q243" s="46" t="s">
        <v>102</v>
      </c>
      <c r="R243" s="46" t="s">
        <v>102</v>
      </c>
      <c r="S243" s="46" t="s">
        <v>102</v>
      </c>
      <c r="T243" s="46" t="s">
        <v>695</v>
      </c>
      <c r="U243" s="51">
        <v>4</v>
      </c>
    </row>
    <row r="244" spans="2:21" ht="14.5" outlineLevel="3">
      <c r="B244" s="44" t="s">
        <v>1150</v>
      </c>
      <c r="C244" s="45" t="s">
        <v>1151</v>
      </c>
      <c r="D244" s="46" t="s">
        <v>458</v>
      </c>
      <c r="E244" s="47" t="s">
        <v>574</v>
      </c>
      <c r="F244" s="46" t="s">
        <v>1152</v>
      </c>
      <c r="G244" s="47" t="s">
        <v>1153</v>
      </c>
      <c r="H244" s="48">
        <v>1317.61</v>
      </c>
      <c r="I244" s="48">
        <v>2</v>
      </c>
      <c r="J244" s="47" t="s">
        <v>115</v>
      </c>
      <c r="K244" s="49">
        <v>2</v>
      </c>
      <c r="L244" s="49" t="s">
        <v>116</v>
      </c>
      <c r="M244" s="46" t="s">
        <v>117</v>
      </c>
      <c r="N244" s="50">
        <v>0</v>
      </c>
      <c r="O244" s="50">
        <v>0</v>
      </c>
      <c r="P244" s="50">
        <v>0</v>
      </c>
      <c r="Q244" s="46" t="s">
        <v>102</v>
      </c>
      <c r="R244" s="46" t="s">
        <v>102</v>
      </c>
      <c r="S244" s="46" t="s">
        <v>102</v>
      </c>
      <c r="T244" s="46" t="s">
        <v>228</v>
      </c>
      <c r="U244" s="51">
        <v>4</v>
      </c>
    </row>
    <row r="245" spans="2:21" ht="14.5" outlineLevel="3">
      <c r="B245" s="44" t="s">
        <v>1154</v>
      </c>
      <c r="C245" s="45" t="s">
        <v>1155</v>
      </c>
      <c r="D245" s="46" t="s">
        <v>111</v>
      </c>
      <c r="E245" s="47" t="s">
        <v>574</v>
      </c>
      <c r="F245" s="46" t="s">
        <v>1156</v>
      </c>
      <c r="G245" s="47" t="s">
        <v>1157</v>
      </c>
      <c r="H245" s="48">
        <v>45.43</v>
      </c>
      <c r="I245" s="48">
        <v>5000</v>
      </c>
      <c r="J245" s="47" t="s">
        <v>115</v>
      </c>
      <c r="K245" s="49">
        <v>2</v>
      </c>
      <c r="L245" s="49" t="s">
        <v>116</v>
      </c>
      <c r="M245" s="46" t="s">
        <v>117</v>
      </c>
      <c r="N245" s="50">
        <v>0</v>
      </c>
      <c r="O245" s="50">
        <v>0</v>
      </c>
      <c r="P245" s="50">
        <v>0</v>
      </c>
      <c r="Q245" s="46" t="s">
        <v>102</v>
      </c>
      <c r="R245" s="46" t="s">
        <v>102</v>
      </c>
      <c r="S245" s="46" t="s">
        <v>102</v>
      </c>
      <c r="T245" s="46" t="s">
        <v>233</v>
      </c>
      <c r="U245" s="51">
        <v>4</v>
      </c>
    </row>
    <row r="246" spans="2:21" ht="14.5" outlineLevel="3">
      <c r="B246" s="44" t="s">
        <v>1158</v>
      </c>
      <c r="C246" s="45" t="s">
        <v>1159</v>
      </c>
      <c r="D246" s="46" t="s">
        <v>111</v>
      </c>
      <c r="E246" s="47" t="s">
        <v>574</v>
      </c>
      <c r="F246" s="46" t="s">
        <v>1160</v>
      </c>
      <c r="G246" s="47" t="s">
        <v>1161</v>
      </c>
      <c r="H246" s="48">
        <v>30.29</v>
      </c>
      <c r="I246" s="48">
        <v>5000</v>
      </c>
      <c r="J246" s="47" t="s">
        <v>115</v>
      </c>
      <c r="K246" s="49">
        <v>2</v>
      </c>
      <c r="L246" s="49" t="s">
        <v>116</v>
      </c>
      <c r="M246" s="46" t="s">
        <v>117</v>
      </c>
      <c r="N246" s="50">
        <v>0</v>
      </c>
      <c r="O246" s="50">
        <v>0</v>
      </c>
      <c r="P246" s="50">
        <v>0</v>
      </c>
      <c r="Q246" s="46" t="s">
        <v>102</v>
      </c>
      <c r="R246" s="46" t="s">
        <v>102</v>
      </c>
      <c r="S246" s="46" t="s">
        <v>102</v>
      </c>
      <c r="T246" s="46" t="s">
        <v>708</v>
      </c>
      <c r="U246" s="51">
        <v>4</v>
      </c>
    </row>
    <row r="247" spans="2:21" ht="14.5" outlineLevel="2">
      <c r="B247" s="36" t="s">
        <v>1162</v>
      </c>
      <c r="C247" s="37" t="s">
        <v>1163</v>
      </c>
      <c r="D247" s="38" t="s">
        <v>102</v>
      </c>
      <c r="E247" s="39" t="s">
        <v>102</v>
      </c>
      <c r="F247" s="38" t="s">
        <v>102</v>
      </c>
      <c r="G247" s="39" t="s">
        <v>102</v>
      </c>
      <c r="H247" s="40">
        <v>0</v>
      </c>
      <c r="I247" s="40">
        <v>0</v>
      </c>
      <c r="J247" s="39" t="s">
        <v>102</v>
      </c>
      <c r="K247" s="41">
        <v>0</v>
      </c>
      <c r="L247" s="41" t="s">
        <v>102</v>
      </c>
      <c r="M247" s="38" t="s">
        <v>102</v>
      </c>
      <c r="N247" s="42">
        <v>0</v>
      </c>
      <c r="O247" s="42">
        <v>0</v>
      </c>
      <c r="P247" s="42">
        <v>0</v>
      </c>
      <c r="Q247" s="38" t="s">
        <v>102</v>
      </c>
      <c r="R247" s="38" t="s">
        <v>102</v>
      </c>
      <c r="S247" s="38" t="s">
        <v>1164</v>
      </c>
      <c r="T247" s="38" t="s">
        <v>102</v>
      </c>
      <c r="U247" s="43">
        <v>3</v>
      </c>
    </row>
    <row r="248" spans="2:21" ht="14.5" outlineLevel="3">
      <c r="B248" s="44" t="s">
        <v>1165</v>
      </c>
      <c r="C248" s="45" t="s">
        <v>1166</v>
      </c>
      <c r="D248" s="46" t="s">
        <v>469</v>
      </c>
      <c r="E248" s="47" t="s">
        <v>574</v>
      </c>
      <c r="F248" s="46" t="s">
        <v>1167</v>
      </c>
      <c r="G248" s="47" t="s">
        <v>1168</v>
      </c>
      <c r="H248" s="48">
        <v>221600.89</v>
      </c>
      <c r="I248" s="48">
        <v>1</v>
      </c>
      <c r="J248" s="47" t="s">
        <v>115</v>
      </c>
      <c r="K248" s="49">
        <v>2</v>
      </c>
      <c r="L248" s="49" t="s">
        <v>116</v>
      </c>
      <c r="M248" s="46" t="s">
        <v>117</v>
      </c>
      <c r="N248" s="50">
        <v>0</v>
      </c>
      <c r="O248" s="50">
        <v>0</v>
      </c>
      <c r="P248" s="50">
        <v>0</v>
      </c>
      <c r="Q248" s="46" t="s">
        <v>102</v>
      </c>
      <c r="R248" s="46" t="s">
        <v>102</v>
      </c>
      <c r="S248" s="46" t="s">
        <v>102</v>
      </c>
      <c r="T248" s="46" t="s">
        <v>118</v>
      </c>
      <c r="U248" s="51">
        <v>4</v>
      </c>
    </row>
    <row r="249" spans="2:21" ht="14.5" outlineLevel="3">
      <c r="B249" s="44" t="s">
        <v>1169</v>
      </c>
      <c r="C249" s="45" t="s">
        <v>1170</v>
      </c>
      <c r="D249" s="46" t="s">
        <v>469</v>
      </c>
      <c r="E249" s="47" t="s">
        <v>574</v>
      </c>
      <c r="F249" s="46" t="s">
        <v>1171</v>
      </c>
      <c r="G249" s="47" t="s">
        <v>1172</v>
      </c>
      <c r="H249" s="48">
        <v>136107.66</v>
      </c>
      <c r="I249" s="48">
        <v>1</v>
      </c>
      <c r="J249" s="47" t="s">
        <v>115</v>
      </c>
      <c r="K249" s="49">
        <v>2</v>
      </c>
      <c r="L249" s="49" t="s">
        <v>116</v>
      </c>
      <c r="M249" s="46" t="s">
        <v>117</v>
      </c>
      <c r="N249" s="50">
        <v>0</v>
      </c>
      <c r="O249" s="50">
        <v>0</v>
      </c>
      <c r="P249" s="50">
        <v>0</v>
      </c>
      <c r="Q249" s="46" t="s">
        <v>102</v>
      </c>
      <c r="R249" s="46" t="s">
        <v>102</v>
      </c>
      <c r="S249" s="46" t="s">
        <v>102</v>
      </c>
      <c r="T249" s="46" t="s">
        <v>123</v>
      </c>
      <c r="U249" s="51">
        <v>4</v>
      </c>
    </row>
    <row r="250" spans="2:21" ht="14.5" outlineLevel="3">
      <c r="B250" s="44" t="s">
        <v>1173</v>
      </c>
      <c r="C250" s="45" t="s">
        <v>1174</v>
      </c>
      <c r="D250" s="46" t="s">
        <v>458</v>
      </c>
      <c r="E250" s="47" t="s">
        <v>574</v>
      </c>
      <c r="F250" s="46" t="s">
        <v>1175</v>
      </c>
      <c r="G250" s="47" t="s">
        <v>1176</v>
      </c>
      <c r="H250" s="48">
        <v>31410.62</v>
      </c>
      <c r="I250" s="48">
        <v>4</v>
      </c>
      <c r="J250" s="47" t="s">
        <v>115</v>
      </c>
      <c r="K250" s="49">
        <v>2</v>
      </c>
      <c r="L250" s="49" t="s">
        <v>116</v>
      </c>
      <c r="M250" s="46" t="s">
        <v>117</v>
      </c>
      <c r="N250" s="50">
        <v>0</v>
      </c>
      <c r="O250" s="50">
        <v>0</v>
      </c>
      <c r="P250" s="50">
        <v>0</v>
      </c>
      <c r="Q250" s="46" t="s">
        <v>102</v>
      </c>
      <c r="R250" s="46" t="s">
        <v>102</v>
      </c>
      <c r="S250" s="46" t="s">
        <v>102</v>
      </c>
      <c r="T250" s="46" t="s">
        <v>128</v>
      </c>
      <c r="U250" s="51">
        <v>4</v>
      </c>
    </row>
    <row r="251" spans="2:21" ht="14.5" outlineLevel="3">
      <c r="B251" s="44" t="s">
        <v>1177</v>
      </c>
      <c r="C251" s="45" t="s">
        <v>1178</v>
      </c>
      <c r="D251" s="46" t="s">
        <v>469</v>
      </c>
      <c r="E251" s="47" t="s">
        <v>574</v>
      </c>
      <c r="F251" s="46" t="s">
        <v>1179</v>
      </c>
      <c r="G251" s="47" t="s">
        <v>1180</v>
      </c>
      <c r="H251" s="48">
        <v>122144.01</v>
      </c>
      <c r="I251" s="48">
        <v>2</v>
      </c>
      <c r="J251" s="47" t="s">
        <v>115</v>
      </c>
      <c r="K251" s="49">
        <v>2</v>
      </c>
      <c r="L251" s="49" t="s">
        <v>116</v>
      </c>
      <c r="M251" s="46" t="s">
        <v>117</v>
      </c>
      <c r="N251" s="50">
        <v>0</v>
      </c>
      <c r="O251" s="50">
        <v>0</v>
      </c>
      <c r="P251" s="50">
        <v>0</v>
      </c>
      <c r="Q251" s="46" t="s">
        <v>102</v>
      </c>
      <c r="R251" s="46" t="s">
        <v>102</v>
      </c>
      <c r="S251" s="46" t="s">
        <v>102</v>
      </c>
      <c r="T251" s="46" t="s">
        <v>133</v>
      </c>
      <c r="U251" s="51">
        <v>4</v>
      </c>
    </row>
    <row r="252" spans="2:21" ht="14.5" outlineLevel="3">
      <c r="B252" s="44" t="s">
        <v>1181</v>
      </c>
      <c r="C252" s="45" t="s">
        <v>1182</v>
      </c>
      <c r="D252" s="46" t="s">
        <v>469</v>
      </c>
      <c r="E252" s="47" t="s">
        <v>574</v>
      </c>
      <c r="F252" s="46" t="s">
        <v>1183</v>
      </c>
      <c r="G252" s="47" t="s">
        <v>1184</v>
      </c>
      <c r="H252" s="48">
        <v>88991.72</v>
      </c>
      <c r="I252" s="48">
        <v>3</v>
      </c>
      <c r="J252" s="47" t="s">
        <v>115</v>
      </c>
      <c r="K252" s="49">
        <v>2</v>
      </c>
      <c r="L252" s="49" t="s">
        <v>116</v>
      </c>
      <c r="M252" s="46" t="s">
        <v>117</v>
      </c>
      <c r="N252" s="50">
        <v>0</v>
      </c>
      <c r="O252" s="50">
        <v>0</v>
      </c>
      <c r="P252" s="50">
        <v>0</v>
      </c>
      <c r="Q252" s="46" t="s">
        <v>102</v>
      </c>
      <c r="R252" s="46" t="s">
        <v>102</v>
      </c>
      <c r="S252" s="46" t="s">
        <v>102</v>
      </c>
      <c r="T252" s="46" t="s">
        <v>138</v>
      </c>
      <c r="U252" s="51">
        <v>4</v>
      </c>
    </row>
    <row r="253" spans="2:21" ht="14.5" outlineLevel="3">
      <c r="B253" s="44" t="s">
        <v>1185</v>
      </c>
      <c r="C253" s="45" t="s">
        <v>1186</v>
      </c>
      <c r="D253" s="46" t="s">
        <v>469</v>
      </c>
      <c r="E253" s="47" t="s">
        <v>574</v>
      </c>
      <c r="F253" s="46" t="s">
        <v>1187</v>
      </c>
      <c r="G253" s="47" t="s">
        <v>1188</v>
      </c>
      <c r="H253" s="48">
        <v>88991.72</v>
      </c>
      <c r="I253" s="48">
        <v>4</v>
      </c>
      <c r="J253" s="47" t="s">
        <v>115</v>
      </c>
      <c r="K253" s="49">
        <v>2</v>
      </c>
      <c r="L253" s="49" t="s">
        <v>116</v>
      </c>
      <c r="M253" s="46" t="s">
        <v>117</v>
      </c>
      <c r="N253" s="50">
        <v>0</v>
      </c>
      <c r="O253" s="50">
        <v>0</v>
      </c>
      <c r="P253" s="50">
        <v>0</v>
      </c>
      <c r="Q253" s="46" t="s">
        <v>102</v>
      </c>
      <c r="R253" s="46" t="s">
        <v>102</v>
      </c>
      <c r="S253" s="46" t="s">
        <v>102</v>
      </c>
      <c r="T253" s="46" t="s">
        <v>143</v>
      </c>
      <c r="U253" s="51">
        <v>4</v>
      </c>
    </row>
    <row r="254" spans="2:21" ht="14.5" outlineLevel="3">
      <c r="B254" s="44" t="s">
        <v>1189</v>
      </c>
      <c r="C254" s="45" t="s">
        <v>1190</v>
      </c>
      <c r="D254" s="46" t="s">
        <v>469</v>
      </c>
      <c r="E254" s="47" t="s">
        <v>574</v>
      </c>
      <c r="F254" s="46" t="s">
        <v>1191</v>
      </c>
      <c r="G254" s="47" t="s">
        <v>1192</v>
      </c>
      <c r="H254" s="48">
        <v>88991.72</v>
      </c>
      <c r="I254" s="48">
        <v>1</v>
      </c>
      <c r="J254" s="47" t="s">
        <v>115</v>
      </c>
      <c r="K254" s="49">
        <v>2</v>
      </c>
      <c r="L254" s="49" t="s">
        <v>116</v>
      </c>
      <c r="M254" s="46" t="s">
        <v>117</v>
      </c>
      <c r="N254" s="50">
        <v>0</v>
      </c>
      <c r="O254" s="50">
        <v>0</v>
      </c>
      <c r="P254" s="50">
        <v>0</v>
      </c>
      <c r="Q254" s="46" t="s">
        <v>102</v>
      </c>
      <c r="R254" s="46" t="s">
        <v>102</v>
      </c>
      <c r="S254" s="46" t="s">
        <v>102</v>
      </c>
      <c r="T254" s="46" t="s">
        <v>176</v>
      </c>
      <c r="U254" s="51">
        <v>4</v>
      </c>
    </row>
    <row r="255" spans="2:21" ht="14.5" outlineLevel="3">
      <c r="B255" s="44" t="s">
        <v>1193</v>
      </c>
      <c r="C255" s="45" t="s">
        <v>1194</v>
      </c>
      <c r="D255" s="46" t="s">
        <v>469</v>
      </c>
      <c r="E255" s="47" t="s">
        <v>574</v>
      </c>
      <c r="F255" s="46" t="s">
        <v>1195</v>
      </c>
      <c r="G255" s="47" t="s">
        <v>1196</v>
      </c>
      <c r="H255" s="48">
        <v>196051.37</v>
      </c>
      <c r="I255" s="48">
        <v>1</v>
      </c>
      <c r="J255" s="47" t="s">
        <v>115</v>
      </c>
      <c r="K255" s="49">
        <v>2</v>
      </c>
      <c r="L255" s="49" t="s">
        <v>116</v>
      </c>
      <c r="M255" s="46" t="s">
        <v>117</v>
      </c>
      <c r="N255" s="50">
        <v>0</v>
      </c>
      <c r="O255" s="50">
        <v>0</v>
      </c>
      <c r="P255" s="50">
        <v>0</v>
      </c>
      <c r="Q255" s="46" t="s">
        <v>102</v>
      </c>
      <c r="R255" s="46" t="s">
        <v>102</v>
      </c>
      <c r="S255" s="46" t="s">
        <v>102</v>
      </c>
      <c r="T255" s="46" t="s">
        <v>182</v>
      </c>
      <c r="U255" s="51">
        <v>4</v>
      </c>
    </row>
    <row r="256" spans="2:21" ht="14.5" outlineLevel="3">
      <c r="B256" s="44" t="s">
        <v>1197</v>
      </c>
      <c r="C256" s="45" t="s">
        <v>1198</v>
      </c>
      <c r="D256" s="46" t="s">
        <v>469</v>
      </c>
      <c r="E256" s="47" t="s">
        <v>574</v>
      </c>
      <c r="F256" s="46" t="s">
        <v>1199</v>
      </c>
      <c r="G256" s="47" t="s">
        <v>1200</v>
      </c>
      <c r="H256" s="48">
        <v>43632.6</v>
      </c>
      <c r="I256" s="48">
        <v>10</v>
      </c>
      <c r="J256" s="47" t="s">
        <v>115</v>
      </c>
      <c r="K256" s="49">
        <v>2</v>
      </c>
      <c r="L256" s="49" t="s">
        <v>116</v>
      </c>
      <c r="M256" s="46" t="s">
        <v>117</v>
      </c>
      <c r="N256" s="50">
        <v>0</v>
      </c>
      <c r="O256" s="50">
        <v>0</v>
      </c>
      <c r="P256" s="50">
        <v>0</v>
      </c>
      <c r="Q256" s="46" t="s">
        <v>102</v>
      </c>
      <c r="R256" s="46" t="s">
        <v>102</v>
      </c>
      <c r="S256" s="46" t="s">
        <v>102</v>
      </c>
      <c r="T256" s="46" t="s">
        <v>187</v>
      </c>
      <c r="U256" s="51">
        <v>4</v>
      </c>
    </row>
    <row r="257" spans="2:21" ht="14.5" outlineLevel="3">
      <c r="B257" s="44" t="s">
        <v>1201</v>
      </c>
      <c r="C257" s="45" t="s">
        <v>1202</v>
      </c>
      <c r="D257" s="46" t="s">
        <v>469</v>
      </c>
      <c r="E257" s="47" t="s">
        <v>574</v>
      </c>
      <c r="F257" s="46" t="s">
        <v>1203</v>
      </c>
      <c r="G257" s="47" t="s">
        <v>1202</v>
      </c>
      <c r="H257" s="48">
        <v>97715.21</v>
      </c>
      <c r="I257" s="48">
        <v>2</v>
      </c>
      <c r="J257" s="47" t="s">
        <v>115</v>
      </c>
      <c r="K257" s="49">
        <v>2</v>
      </c>
      <c r="L257" s="49" t="s">
        <v>116</v>
      </c>
      <c r="M257" s="46" t="s">
        <v>117</v>
      </c>
      <c r="N257" s="50">
        <v>0</v>
      </c>
      <c r="O257" s="50">
        <v>0</v>
      </c>
      <c r="P257" s="50">
        <v>0</v>
      </c>
      <c r="Q257" s="46" t="s">
        <v>102</v>
      </c>
      <c r="R257" s="46" t="s">
        <v>102</v>
      </c>
      <c r="S257" s="46" t="s">
        <v>102</v>
      </c>
      <c r="T257" s="46" t="s">
        <v>259</v>
      </c>
      <c r="U257" s="51">
        <v>4</v>
      </c>
    </row>
    <row r="258" spans="2:21" ht="14.5" outlineLevel="2">
      <c r="B258" s="36" t="s">
        <v>1204</v>
      </c>
      <c r="C258" s="37" t="s">
        <v>1205</v>
      </c>
      <c r="D258" s="38" t="s">
        <v>102</v>
      </c>
      <c r="E258" s="39" t="s">
        <v>102</v>
      </c>
      <c r="F258" s="38" t="s">
        <v>102</v>
      </c>
      <c r="G258" s="39" t="s">
        <v>102</v>
      </c>
      <c r="H258" s="40">
        <v>0</v>
      </c>
      <c r="I258" s="40">
        <v>0</v>
      </c>
      <c r="J258" s="39" t="s">
        <v>102</v>
      </c>
      <c r="K258" s="41">
        <v>0</v>
      </c>
      <c r="L258" s="41" t="s">
        <v>102</v>
      </c>
      <c r="M258" s="38" t="s">
        <v>102</v>
      </c>
      <c r="N258" s="42">
        <v>0</v>
      </c>
      <c r="O258" s="42">
        <v>0</v>
      </c>
      <c r="P258" s="42">
        <v>0</v>
      </c>
      <c r="Q258" s="38" t="s">
        <v>102</v>
      </c>
      <c r="R258" s="38" t="s">
        <v>102</v>
      </c>
      <c r="S258" s="38" t="s">
        <v>1206</v>
      </c>
      <c r="T258" s="38" t="s">
        <v>102</v>
      </c>
      <c r="U258" s="43">
        <v>3</v>
      </c>
    </row>
    <row r="259" spans="2:21" ht="14.5" outlineLevel="3">
      <c r="B259" s="44" t="s">
        <v>1207</v>
      </c>
      <c r="C259" s="45" t="s">
        <v>1208</v>
      </c>
      <c r="D259" s="46" t="s">
        <v>469</v>
      </c>
      <c r="E259" s="47" t="s">
        <v>574</v>
      </c>
      <c r="F259" s="46" t="s">
        <v>1209</v>
      </c>
      <c r="G259" s="47" t="s">
        <v>1210</v>
      </c>
      <c r="H259" s="48">
        <v>503569.56</v>
      </c>
      <c r="I259" s="48">
        <v>1</v>
      </c>
      <c r="J259" s="47" t="s">
        <v>115</v>
      </c>
      <c r="K259" s="49">
        <v>2</v>
      </c>
      <c r="L259" s="49" t="s">
        <v>116</v>
      </c>
      <c r="M259" s="46" t="s">
        <v>117</v>
      </c>
      <c r="N259" s="50">
        <v>0</v>
      </c>
      <c r="O259" s="50">
        <v>0</v>
      </c>
      <c r="P259" s="50">
        <v>0</v>
      </c>
      <c r="Q259" s="46" t="s">
        <v>102</v>
      </c>
      <c r="R259" s="46" t="s">
        <v>102</v>
      </c>
      <c r="S259" s="46" t="s">
        <v>102</v>
      </c>
      <c r="T259" s="46" t="s">
        <v>118</v>
      </c>
      <c r="U259" s="51">
        <v>4</v>
      </c>
    </row>
    <row r="260" spans="2:21" ht="14.5" outlineLevel="3">
      <c r="B260" s="44" t="s">
        <v>1211</v>
      </c>
      <c r="C260" s="45" t="s">
        <v>1212</v>
      </c>
      <c r="D260" s="46" t="s">
        <v>469</v>
      </c>
      <c r="E260" s="47" t="s">
        <v>574</v>
      </c>
      <c r="F260" s="46" t="s">
        <v>1213</v>
      </c>
      <c r="G260" s="47" t="s">
        <v>1214</v>
      </c>
      <c r="H260" s="48">
        <v>4222790.41</v>
      </c>
      <c r="I260" s="48">
        <v>1</v>
      </c>
      <c r="J260" s="47" t="s">
        <v>115</v>
      </c>
      <c r="K260" s="49">
        <v>2</v>
      </c>
      <c r="L260" s="49" t="s">
        <v>116</v>
      </c>
      <c r="M260" s="46" t="s">
        <v>117</v>
      </c>
      <c r="N260" s="50">
        <v>0</v>
      </c>
      <c r="O260" s="50">
        <v>0</v>
      </c>
      <c r="P260" s="50">
        <v>0</v>
      </c>
      <c r="Q260" s="46" t="s">
        <v>102</v>
      </c>
      <c r="R260" s="46" t="s">
        <v>102</v>
      </c>
      <c r="S260" s="46" t="s">
        <v>102</v>
      </c>
      <c r="T260" s="46" t="s">
        <v>123</v>
      </c>
      <c r="U260" s="51">
        <v>4</v>
      </c>
    </row>
    <row r="261" spans="2:21" ht="14.5" outlineLevel="3">
      <c r="B261" s="44" t="s">
        <v>1215</v>
      </c>
      <c r="C261" s="45" t="s">
        <v>1216</v>
      </c>
      <c r="D261" s="46" t="s">
        <v>469</v>
      </c>
      <c r="E261" s="47" t="s">
        <v>574</v>
      </c>
      <c r="F261" s="46" t="s">
        <v>1217</v>
      </c>
      <c r="G261" s="47" t="s">
        <v>1218</v>
      </c>
      <c r="H261" s="48">
        <v>125173</v>
      </c>
      <c r="I261" s="48">
        <v>1</v>
      </c>
      <c r="J261" s="47" t="s">
        <v>115</v>
      </c>
      <c r="K261" s="49">
        <v>2</v>
      </c>
      <c r="L261" s="49" t="s">
        <v>116</v>
      </c>
      <c r="M261" s="46" t="s">
        <v>117</v>
      </c>
      <c r="N261" s="50">
        <v>0</v>
      </c>
      <c r="O261" s="50">
        <v>0</v>
      </c>
      <c r="P261" s="50">
        <v>0</v>
      </c>
      <c r="Q261" s="46" t="s">
        <v>102</v>
      </c>
      <c r="R261" s="46" t="s">
        <v>102</v>
      </c>
      <c r="S261" s="46" t="s">
        <v>102</v>
      </c>
      <c r="T261" s="46" t="s">
        <v>128</v>
      </c>
      <c r="U261" s="51">
        <v>4</v>
      </c>
    </row>
    <row r="262" spans="2:21" ht="14.5" outlineLevel="3">
      <c r="B262" s="44" t="s">
        <v>1219</v>
      </c>
      <c r="C262" s="45" t="s">
        <v>1220</v>
      </c>
      <c r="D262" s="46" t="s">
        <v>469</v>
      </c>
      <c r="E262" s="47" t="s">
        <v>574</v>
      </c>
      <c r="F262" s="46" t="s">
        <v>1221</v>
      </c>
      <c r="G262" s="47" t="s">
        <v>1222</v>
      </c>
      <c r="H262" s="48">
        <v>7496749.7699999996</v>
      </c>
      <c r="I262" s="48">
        <v>1</v>
      </c>
      <c r="J262" s="47" t="s">
        <v>115</v>
      </c>
      <c r="K262" s="49">
        <v>2</v>
      </c>
      <c r="L262" s="49" t="s">
        <v>116</v>
      </c>
      <c r="M262" s="46" t="s">
        <v>117</v>
      </c>
      <c r="N262" s="50">
        <v>0</v>
      </c>
      <c r="O262" s="50">
        <v>0</v>
      </c>
      <c r="P262" s="50">
        <v>0</v>
      </c>
      <c r="Q262" s="46" t="s">
        <v>102</v>
      </c>
      <c r="R262" s="46" t="s">
        <v>102</v>
      </c>
      <c r="S262" s="46" t="s">
        <v>102</v>
      </c>
      <c r="T262" s="46" t="s">
        <v>133</v>
      </c>
      <c r="U262" s="51">
        <v>4</v>
      </c>
    </row>
    <row r="263" spans="2:21" ht="14.5" outlineLevel="3">
      <c r="B263" s="44" t="s">
        <v>1223</v>
      </c>
      <c r="C263" s="45" t="s">
        <v>1224</v>
      </c>
      <c r="D263" s="46" t="s">
        <v>469</v>
      </c>
      <c r="E263" s="47" t="s">
        <v>574</v>
      </c>
      <c r="F263" s="46" t="s">
        <v>1225</v>
      </c>
      <c r="G263" s="47" t="s">
        <v>1226</v>
      </c>
      <c r="H263" s="48">
        <v>1079077.6200000001</v>
      </c>
      <c r="I263" s="48">
        <v>1</v>
      </c>
      <c r="J263" s="47" t="s">
        <v>115</v>
      </c>
      <c r="K263" s="49">
        <v>2</v>
      </c>
      <c r="L263" s="49" t="s">
        <v>116</v>
      </c>
      <c r="M263" s="46" t="s">
        <v>117</v>
      </c>
      <c r="N263" s="50">
        <v>0</v>
      </c>
      <c r="O263" s="50">
        <v>0</v>
      </c>
      <c r="P263" s="50">
        <v>0</v>
      </c>
      <c r="Q263" s="46" t="s">
        <v>102</v>
      </c>
      <c r="R263" s="46" t="s">
        <v>102</v>
      </c>
      <c r="S263" s="46" t="s">
        <v>102</v>
      </c>
      <c r="T263" s="46" t="s">
        <v>138</v>
      </c>
      <c r="U263" s="51">
        <v>4</v>
      </c>
    </row>
    <row r="264" spans="2:21" ht="14.5" outlineLevel="3">
      <c r="B264" s="44" t="s">
        <v>1227</v>
      </c>
      <c r="C264" s="45" t="s">
        <v>1228</v>
      </c>
      <c r="D264" s="46" t="s">
        <v>469</v>
      </c>
      <c r="E264" s="47" t="s">
        <v>574</v>
      </c>
      <c r="F264" s="46" t="s">
        <v>1229</v>
      </c>
      <c r="G264" s="47" t="s">
        <v>1230</v>
      </c>
      <c r="H264" s="48">
        <v>492210.84</v>
      </c>
      <c r="I264" s="48">
        <v>1</v>
      </c>
      <c r="J264" s="47" t="s">
        <v>115</v>
      </c>
      <c r="K264" s="49">
        <v>2</v>
      </c>
      <c r="L264" s="49" t="s">
        <v>116</v>
      </c>
      <c r="M264" s="46" t="s">
        <v>117</v>
      </c>
      <c r="N264" s="50">
        <v>0</v>
      </c>
      <c r="O264" s="50">
        <v>0</v>
      </c>
      <c r="P264" s="50">
        <v>0</v>
      </c>
      <c r="Q264" s="46" t="s">
        <v>102</v>
      </c>
      <c r="R264" s="46" t="s">
        <v>102</v>
      </c>
      <c r="S264" s="46" t="s">
        <v>102</v>
      </c>
      <c r="T264" s="46" t="s">
        <v>143</v>
      </c>
      <c r="U264" s="51">
        <v>4</v>
      </c>
    </row>
    <row r="265" spans="2:21" ht="14.5" outlineLevel="3">
      <c r="B265" s="44" t="s">
        <v>1231</v>
      </c>
      <c r="C265" s="45" t="s">
        <v>1232</v>
      </c>
      <c r="D265" s="46" t="s">
        <v>469</v>
      </c>
      <c r="E265" s="47" t="s">
        <v>574</v>
      </c>
      <c r="F265" s="46" t="s">
        <v>1233</v>
      </c>
      <c r="G265" s="47" t="s">
        <v>1234</v>
      </c>
      <c r="H265" s="48">
        <v>530073.22</v>
      </c>
      <c r="I265" s="48">
        <v>1</v>
      </c>
      <c r="J265" s="47" t="s">
        <v>115</v>
      </c>
      <c r="K265" s="49">
        <v>2</v>
      </c>
      <c r="L265" s="49" t="s">
        <v>116</v>
      </c>
      <c r="M265" s="46" t="s">
        <v>117</v>
      </c>
      <c r="N265" s="50">
        <v>0</v>
      </c>
      <c r="O265" s="50">
        <v>0</v>
      </c>
      <c r="P265" s="50">
        <v>0</v>
      </c>
      <c r="Q265" s="46" t="s">
        <v>102</v>
      </c>
      <c r="R265" s="46" t="s">
        <v>102</v>
      </c>
      <c r="S265" s="46" t="s">
        <v>102</v>
      </c>
      <c r="T265" s="46" t="s">
        <v>176</v>
      </c>
      <c r="U265" s="51">
        <v>4</v>
      </c>
    </row>
    <row r="266" spans="2:21" ht="14.5" outlineLevel="3">
      <c r="B266" s="44" t="s">
        <v>1235</v>
      </c>
      <c r="C266" s="45" t="s">
        <v>1236</v>
      </c>
      <c r="D266" s="46" t="s">
        <v>469</v>
      </c>
      <c r="E266" s="47" t="s">
        <v>574</v>
      </c>
      <c r="F266" s="46" t="s">
        <v>1237</v>
      </c>
      <c r="G266" s="47" t="s">
        <v>1238</v>
      </c>
      <c r="H266" s="48">
        <v>530073.22</v>
      </c>
      <c r="I266" s="48">
        <v>1</v>
      </c>
      <c r="J266" s="47" t="s">
        <v>115</v>
      </c>
      <c r="K266" s="49">
        <v>2</v>
      </c>
      <c r="L266" s="49" t="s">
        <v>116</v>
      </c>
      <c r="M266" s="46" t="s">
        <v>117</v>
      </c>
      <c r="N266" s="50">
        <v>0</v>
      </c>
      <c r="O266" s="50">
        <v>0</v>
      </c>
      <c r="P266" s="50">
        <v>0</v>
      </c>
      <c r="Q266" s="46" t="s">
        <v>102</v>
      </c>
      <c r="R266" s="46" t="s">
        <v>102</v>
      </c>
      <c r="S266" s="46" t="s">
        <v>102</v>
      </c>
      <c r="T266" s="46" t="s">
        <v>182</v>
      </c>
      <c r="U266" s="51">
        <v>4</v>
      </c>
    </row>
    <row r="267" spans="2:21" ht="14.5" outlineLevel="3">
      <c r="B267" s="44" t="s">
        <v>1239</v>
      </c>
      <c r="C267" s="45" t="s">
        <v>1240</v>
      </c>
      <c r="D267" s="46" t="s">
        <v>469</v>
      </c>
      <c r="E267" s="47" t="s">
        <v>574</v>
      </c>
      <c r="F267" s="46" t="s">
        <v>1241</v>
      </c>
      <c r="G267" s="47" t="s">
        <v>1242</v>
      </c>
      <c r="H267" s="48">
        <v>530073.22</v>
      </c>
      <c r="I267" s="48">
        <v>1</v>
      </c>
      <c r="J267" s="47" t="s">
        <v>115</v>
      </c>
      <c r="K267" s="49">
        <v>2</v>
      </c>
      <c r="L267" s="49" t="s">
        <v>116</v>
      </c>
      <c r="M267" s="46" t="s">
        <v>117</v>
      </c>
      <c r="N267" s="50">
        <v>0</v>
      </c>
      <c r="O267" s="50">
        <v>0</v>
      </c>
      <c r="P267" s="50">
        <v>0</v>
      </c>
      <c r="Q267" s="46" t="s">
        <v>102</v>
      </c>
      <c r="R267" s="46" t="s">
        <v>102</v>
      </c>
      <c r="S267" s="46" t="s">
        <v>102</v>
      </c>
      <c r="T267" s="46" t="s">
        <v>187</v>
      </c>
      <c r="U267" s="51">
        <v>4</v>
      </c>
    </row>
    <row r="268" spans="2:21" ht="14.5" outlineLevel="3">
      <c r="B268" s="44" t="s">
        <v>1243</v>
      </c>
      <c r="C268" s="45" t="s">
        <v>1244</v>
      </c>
      <c r="D268" s="46" t="s">
        <v>469</v>
      </c>
      <c r="E268" s="47" t="s">
        <v>574</v>
      </c>
      <c r="F268" s="46" t="s">
        <v>1245</v>
      </c>
      <c r="G268" s="47" t="s">
        <v>1246</v>
      </c>
      <c r="H268" s="48">
        <v>530073.22</v>
      </c>
      <c r="I268" s="48">
        <v>1</v>
      </c>
      <c r="J268" s="47" t="s">
        <v>115</v>
      </c>
      <c r="K268" s="49">
        <v>2</v>
      </c>
      <c r="L268" s="49" t="s">
        <v>116</v>
      </c>
      <c r="M268" s="46" t="s">
        <v>117</v>
      </c>
      <c r="N268" s="50">
        <v>0</v>
      </c>
      <c r="O268" s="50">
        <v>0</v>
      </c>
      <c r="P268" s="50">
        <v>0</v>
      </c>
      <c r="Q268" s="46" t="s">
        <v>102</v>
      </c>
      <c r="R268" s="46" t="s">
        <v>102</v>
      </c>
      <c r="S268" s="46" t="s">
        <v>102</v>
      </c>
      <c r="T268" s="46" t="s">
        <v>259</v>
      </c>
      <c r="U268" s="51">
        <v>4</v>
      </c>
    </row>
    <row r="269" spans="2:21" ht="14.5" outlineLevel="3">
      <c r="B269" s="44" t="s">
        <v>1247</v>
      </c>
      <c r="C269" s="45" t="s">
        <v>1248</v>
      </c>
      <c r="D269" s="46" t="s">
        <v>469</v>
      </c>
      <c r="E269" s="47" t="s">
        <v>574</v>
      </c>
      <c r="F269" s="46" t="s">
        <v>1249</v>
      </c>
      <c r="G269" s="47" t="s">
        <v>1250</v>
      </c>
      <c r="H269" s="48">
        <v>530073.22</v>
      </c>
      <c r="I269" s="48">
        <v>1</v>
      </c>
      <c r="J269" s="47" t="s">
        <v>115</v>
      </c>
      <c r="K269" s="49">
        <v>2</v>
      </c>
      <c r="L269" s="49" t="s">
        <v>116</v>
      </c>
      <c r="M269" s="46" t="s">
        <v>117</v>
      </c>
      <c r="N269" s="50">
        <v>0</v>
      </c>
      <c r="O269" s="50">
        <v>0</v>
      </c>
      <c r="P269" s="50">
        <v>0</v>
      </c>
      <c r="Q269" s="46" t="s">
        <v>102</v>
      </c>
      <c r="R269" s="46" t="s">
        <v>102</v>
      </c>
      <c r="S269" s="46" t="s">
        <v>102</v>
      </c>
      <c r="T269" s="46" t="s">
        <v>192</v>
      </c>
      <c r="U269" s="51">
        <v>4</v>
      </c>
    </row>
    <row r="270" spans="2:21" ht="14.5" outlineLevel="3">
      <c r="B270" s="44" t="s">
        <v>1251</v>
      </c>
      <c r="C270" s="45" t="s">
        <v>1252</v>
      </c>
      <c r="D270" s="46" t="s">
        <v>469</v>
      </c>
      <c r="E270" s="47" t="s">
        <v>574</v>
      </c>
      <c r="F270" s="46" t="s">
        <v>1253</v>
      </c>
      <c r="G270" s="47" t="s">
        <v>1254</v>
      </c>
      <c r="H270" s="48">
        <v>81782.720000000001</v>
      </c>
      <c r="I270" s="48">
        <v>1</v>
      </c>
      <c r="J270" s="47" t="s">
        <v>115</v>
      </c>
      <c r="K270" s="49">
        <v>2</v>
      </c>
      <c r="L270" s="49" t="s">
        <v>116</v>
      </c>
      <c r="M270" s="46" t="s">
        <v>117</v>
      </c>
      <c r="N270" s="50">
        <v>0</v>
      </c>
      <c r="O270" s="50">
        <v>0</v>
      </c>
      <c r="P270" s="50">
        <v>0</v>
      </c>
      <c r="Q270" s="46" t="s">
        <v>102</v>
      </c>
      <c r="R270" s="46" t="s">
        <v>102</v>
      </c>
      <c r="S270" s="46" t="s">
        <v>102</v>
      </c>
      <c r="T270" s="46" t="s">
        <v>615</v>
      </c>
      <c r="U270" s="51">
        <v>4</v>
      </c>
    </row>
    <row r="271" spans="2:21" ht="14.5" outlineLevel="3">
      <c r="B271" s="44" t="s">
        <v>1255</v>
      </c>
      <c r="C271" s="45" t="s">
        <v>1256</v>
      </c>
      <c r="D271" s="46" t="s">
        <v>469</v>
      </c>
      <c r="E271" s="47" t="s">
        <v>574</v>
      </c>
      <c r="F271" s="46" t="s">
        <v>1257</v>
      </c>
      <c r="G271" s="47" t="s">
        <v>1258</v>
      </c>
      <c r="H271" s="48">
        <v>13484002.470000001</v>
      </c>
      <c r="I271" s="48">
        <v>1</v>
      </c>
      <c r="J271" s="47" t="s">
        <v>115</v>
      </c>
      <c r="K271" s="49">
        <v>2</v>
      </c>
      <c r="L271" s="49" t="s">
        <v>116</v>
      </c>
      <c r="M271" s="46" t="s">
        <v>117</v>
      </c>
      <c r="N271" s="50">
        <v>0</v>
      </c>
      <c r="O271" s="50">
        <v>0</v>
      </c>
      <c r="P271" s="50">
        <v>0</v>
      </c>
      <c r="Q271" s="46" t="s">
        <v>102</v>
      </c>
      <c r="R271" s="46" t="s">
        <v>102</v>
      </c>
      <c r="S271" s="46" t="s">
        <v>102</v>
      </c>
      <c r="T271" s="46" t="s">
        <v>268</v>
      </c>
      <c r="U271" s="51">
        <v>4</v>
      </c>
    </row>
    <row r="272" spans="2:21" ht="14.5" outlineLevel="3">
      <c r="B272" s="44" t="s">
        <v>1259</v>
      </c>
      <c r="C272" s="45" t="s">
        <v>1260</v>
      </c>
      <c r="D272" s="46" t="s">
        <v>469</v>
      </c>
      <c r="E272" s="47" t="s">
        <v>574</v>
      </c>
      <c r="F272" s="46" t="s">
        <v>1261</v>
      </c>
      <c r="G272" s="47" t="s">
        <v>1262</v>
      </c>
      <c r="H272" s="48">
        <v>1135871.18</v>
      </c>
      <c r="I272" s="48">
        <v>1</v>
      </c>
      <c r="J272" s="47" t="s">
        <v>115</v>
      </c>
      <c r="K272" s="49">
        <v>2</v>
      </c>
      <c r="L272" s="49" t="s">
        <v>116</v>
      </c>
      <c r="M272" s="46" t="s">
        <v>117</v>
      </c>
      <c r="N272" s="50">
        <v>0</v>
      </c>
      <c r="O272" s="50">
        <v>0</v>
      </c>
      <c r="P272" s="50">
        <v>0</v>
      </c>
      <c r="Q272" s="46" t="s">
        <v>102</v>
      </c>
      <c r="R272" s="46" t="s">
        <v>102</v>
      </c>
      <c r="S272" s="46" t="s">
        <v>102</v>
      </c>
      <c r="T272" s="46" t="s">
        <v>273</v>
      </c>
      <c r="U272" s="51">
        <v>4</v>
      </c>
    </row>
    <row r="273" spans="2:21" ht="14.5" outlineLevel="3">
      <c r="B273" s="44" t="s">
        <v>1263</v>
      </c>
      <c r="C273" s="45" t="s">
        <v>1264</v>
      </c>
      <c r="D273" s="46" t="s">
        <v>469</v>
      </c>
      <c r="E273" s="47" t="s">
        <v>574</v>
      </c>
      <c r="F273" s="46" t="s">
        <v>1265</v>
      </c>
      <c r="G273" s="47" t="s">
        <v>1266</v>
      </c>
      <c r="H273" s="48">
        <v>1135871.18</v>
      </c>
      <c r="I273" s="48">
        <v>1</v>
      </c>
      <c r="J273" s="47" t="s">
        <v>115</v>
      </c>
      <c r="K273" s="49">
        <v>2</v>
      </c>
      <c r="L273" s="49" t="s">
        <v>116</v>
      </c>
      <c r="M273" s="46" t="s">
        <v>117</v>
      </c>
      <c r="N273" s="50">
        <v>0</v>
      </c>
      <c r="O273" s="50">
        <v>0</v>
      </c>
      <c r="P273" s="50">
        <v>0</v>
      </c>
      <c r="Q273" s="46" t="s">
        <v>102</v>
      </c>
      <c r="R273" s="46" t="s">
        <v>102</v>
      </c>
      <c r="S273" s="46" t="s">
        <v>102</v>
      </c>
      <c r="T273" s="46" t="s">
        <v>198</v>
      </c>
      <c r="U273" s="51">
        <v>4</v>
      </c>
    </row>
    <row r="274" spans="2:21" ht="14.5" outlineLevel="3">
      <c r="B274" s="44" t="s">
        <v>1267</v>
      </c>
      <c r="C274" s="45" t="s">
        <v>1268</v>
      </c>
      <c r="D274" s="46" t="s">
        <v>469</v>
      </c>
      <c r="E274" s="47" t="s">
        <v>574</v>
      </c>
      <c r="F274" s="46" t="s">
        <v>1269</v>
      </c>
      <c r="G274" s="47" t="s">
        <v>1270</v>
      </c>
      <c r="H274" s="48">
        <v>7527039.6699999999</v>
      </c>
      <c r="I274" s="48">
        <v>2</v>
      </c>
      <c r="J274" s="47" t="s">
        <v>115</v>
      </c>
      <c r="K274" s="49">
        <v>2</v>
      </c>
      <c r="L274" s="49" t="s">
        <v>116</v>
      </c>
      <c r="M274" s="46" t="s">
        <v>117</v>
      </c>
      <c r="N274" s="50">
        <v>0</v>
      </c>
      <c r="O274" s="50">
        <v>0</v>
      </c>
      <c r="P274" s="50">
        <v>0</v>
      </c>
      <c r="Q274" s="46" t="s">
        <v>102</v>
      </c>
      <c r="R274" s="46" t="s">
        <v>102</v>
      </c>
      <c r="S274" s="46" t="s">
        <v>102</v>
      </c>
      <c r="T274" s="46" t="s">
        <v>283</v>
      </c>
      <c r="U274" s="51">
        <v>4</v>
      </c>
    </row>
    <row r="275" spans="2:21" ht="14.5" outlineLevel="3">
      <c r="B275" s="44" t="s">
        <v>1271</v>
      </c>
      <c r="C275" s="45" t="s">
        <v>1272</v>
      </c>
      <c r="D275" s="46" t="s">
        <v>469</v>
      </c>
      <c r="E275" s="47" t="s">
        <v>574</v>
      </c>
      <c r="F275" s="46" t="s">
        <v>1273</v>
      </c>
      <c r="G275" s="47" t="s">
        <v>1274</v>
      </c>
      <c r="H275" s="48">
        <v>1135871.18</v>
      </c>
      <c r="I275" s="48">
        <v>1</v>
      </c>
      <c r="J275" s="47" t="s">
        <v>115</v>
      </c>
      <c r="K275" s="49">
        <v>2</v>
      </c>
      <c r="L275" s="49" t="s">
        <v>116</v>
      </c>
      <c r="M275" s="46" t="s">
        <v>117</v>
      </c>
      <c r="N275" s="50">
        <v>0</v>
      </c>
      <c r="O275" s="50">
        <v>0</v>
      </c>
      <c r="P275" s="50">
        <v>0</v>
      </c>
      <c r="Q275" s="46" t="s">
        <v>102</v>
      </c>
      <c r="R275" s="46" t="s">
        <v>102</v>
      </c>
      <c r="S275" s="46" t="s">
        <v>102</v>
      </c>
      <c r="T275" s="46" t="s">
        <v>288</v>
      </c>
      <c r="U275" s="51">
        <v>4</v>
      </c>
    </row>
    <row r="276" spans="2:21" ht="14.5" outlineLevel="3">
      <c r="B276" s="44" t="s">
        <v>1275</v>
      </c>
      <c r="C276" s="45" t="s">
        <v>1276</v>
      </c>
      <c r="D276" s="46" t="s">
        <v>469</v>
      </c>
      <c r="E276" s="47" t="s">
        <v>574</v>
      </c>
      <c r="F276" s="46" t="s">
        <v>1277</v>
      </c>
      <c r="G276" s="47" t="s">
        <v>1278</v>
      </c>
      <c r="H276" s="48">
        <v>13423422.68</v>
      </c>
      <c r="I276" s="48">
        <v>3</v>
      </c>
      <c r="J276" s="47" t="s">
        <v>115</v>
      </c>
      <c r="K276" s="49">
        <v>2</v>
      </c>
      <c r="L276" s="49" t="s">
        <v>116</v>
      </c>
      <c r="M276" s="46" t="s">
        <v>117</v>
      </c>
      <c r="N276" s="50">
        <v>0</v>
      </c>
      <c r="O276" s="50">
        <v>0</v>
      </c>
      <c r="P276" s="50">
        <v>0</v>
      </c>
      <c r="Q276" s="46" t="s">
        <v>102</v>
      </c>
      <c r="R276" s="46" t="s">
        <v>102</v>
      </c>
      <c r="S276" s="46" t="s">
        <v>102</v>
      </c>
      <c r="T276" s="46" t="s">
        <v>203</v>
      </c>
      <c r="U276" s="51">
        <v>4</v>
      </c>
    </row>
    <row r="277" spans="2:21" ht="14.5" outlineLevel="3">
      <c r="B277" s="44" t="s">
        <v>1279</v>
      </c>
      <c r="C277" s="45" t="s">
        <v>1280</v>
      </c>
      <c r="D277" s="46" t="s">
        <v>469</v>
      </c>
      <c r="E277" s="47" t="s">
        <v>574</v>
      </c>
      <c r="F277" s="46" t="s">
        <v>1281</v>
      </c>
      <c r="G277" s="47" t="s">
        <v>1282</v>
      </c>
      <c r="H277" s="48">
        <v>1135871.18</v>
      </c>
      <c r="I277" s="48">
        <v>1</v>
      </c>
      <c r="J277" s="47" t="s">
        <v>115</v>
      </c>
      <c r="K277" s="49">
        <v>2</v>
      </c>
      <c r="L277" s="49" t="s">
        <v>116</v>
      </c>
      <c r="M277" s="46" t="s">
        <v>117</v>
      </c>
      <c r="N277" s="50">
        <v>0</v>
      </c>
      <c r="O277" s="50">
        <v>0</v>
      </c>
      <c r="P277" s="50">
        <v>0</v>
      </c>
      <c r="Q277" s="46" t="s">
        <v>102</v>
      </c>
      <c r="R277" s="46" t="s">
        <v>102</v>
      </c>
      <c r="S277" s="46" t="s">
        <v>102</v>
      </c>
      <c r="T277" s="46" t="s">
        <v>298</v>
      </c>
      <c r="U277" s="51">
        <v>4</v>
      </c>
    </row>
    <row r="278" spans="2:21" ht="14.5" outlineLevel="3">
      <c r="B278" s="44" t="s">
        <v>1283</v>
      </c>
      <c r="C278" s="45" t="s">
        <v>1284</v>
      </c>
      <c r="D278" s="46" t="s">
        <v>469</v>
      </c>
      <c r="E278" s="47" t="s">
        <v>574</v>
      </c>
      <c r="F278" s="46" t="s">
        <v>1285</v>
      </c>
      <c r="G278" s="47" t="s">
        <v>1286</v>
      </c>
      <c r="H278" s="48">
        <v>1135871.18</v>
      </c>
      <c r="I278" s="48">
        <v>1</v>
      </c>
      <c r="J278" s="47" t="s">
        <v>115</v>
      </c>
      <c r="K278" s="49">
        <v>2</v>
      </c>
      <c r="L278" s="49" t="s">
        <v>116</v>
      </c>
      <c r="M278" s="46" t="s">
        <v>117</v>
      </c>
      <c r="N278" s="50">
        <v>0</v>
      </c>
      <c r="O278" s="50">
        <v>0</v>
      </c>
      <c r="P278" s="50">
        <v>0</v>
      </c>
      <c r="Q278" s="46" t="s">
        <v>102</v>
      </c>
      <c r="R278" s="46" t="s">
        <v>102</v>
      </c>
      <c r="S278" s="46" t="s">
        <v>102</v>
      </c>
      <c r="T278" s="46" t="s">
        <v>418</v>
      </c>
      <c r="U278" s="51">
        <v>4</v>
      </c>
    </row>
    <row r="279" spans="2:21" ht="14.5" outlineLevel="3">
      <c r="B279" s="44" t="s">
        <v>1287</v>
      </c>
      <c r="C279" s="45" t="s">
        <v>1288</v>
      </c>
      <c r="D279" s="46" t="s">
        <v>469</v>
      </c>
      <c r="E279" s="47" t="s">
        <v>574</v>
      </c>
      <c r="F279" s="46" t="s">
        <v>1289</v>
      </c>
      <c r="G279" s="47" t="s">
        <v>1290</v>
      </c>
      <c r="H279" s="48">
        <v>87234.91</v>
      </c>
      <c r="I279" s="48">
        <v>5</v>
      </c>
      <c r="J279" s="47" t="s">
        <v>115</v>
      </c>
      <c r="K279" s="49">
        <v>2</v>
      </c>
      <c r="L279" s="49" t="s">
        <v>116</v>
      </c>
      <c r="M279" s="46" t="s">
        <v>117</v>
      </c>
      <c r="N279" s="50">
        <v>0</v>
      </c>
      <c r="O279" s="50">
        <v>0</v>
      </c>
      <c r="P279" s="50">
        <v>0</v>
      </c>
      <c r="Q279" s="46" t="s">
        <v>102</v>
      </c>
      <c r="R279" s="46" t="s">
        <v>102</v>
      </c>
      <c r="S279" s="46" t="s">
        <v>102</v>
      </c>
      <c r="T279" s="46" t="s">
        <v>208</v>
      </c>
      <c r="U279" s="51">
        <v>4</v>
      </c>
    </row>
    <row r="280" spans="2:21" ht="14.5" outlineLevel="3">
      <c r="B280" s="44" t="s">
        <v>1291</v>
      </c>
      <c r="C280" s="45" t="s">
        <v>1292</v>
      </c>
      <c r="D280" s="46" t="s">
        <v>179</v>
      </c>
      <c r="E280" s="47" t="s">
        <v>574</v>
      </c>
      <c r="F280" s="46" t="s">
        <v>1293</v>
      </c>
      <c r="G280" s="47" t="s">
        <v>1294</v>
      </c>
      <c r="H280" s="48">
        <v>87.24</v>
      </c>
      <c r="I280" s="48">
        <v>1000</v>
      </c>
      <c r="J280" s="47" t="s">
        <v>115</v>
      </c>
      <c r="K280" s="49">
        <v>2</v>
      </c>
      <c r="L280" s="49" t="s">
        <v>116</v>
      </c>
      <c r="M280" s="46" t="s">
        <v>117</v>
      </c>
      <c r="N280" s="50">
        <v>0</v>
      </c>
      <c r="O280" s="50">
        <v>0</v>
      </c>
      <c r="P280" s="50">
        <v>0</v>
      </c>
      <c r="Q280" s="46" t="s">
        <v>102</v>
      </c>
      <c r="R280" s="46" t="s">
        <v>102</v>
      </c>
      <c r="S280" s="46" t="s">
        <v>102</v>
      </c>
      <c r="T280" s="46" t="s">
        <v>303</v>
      </c>
      <c r="U280" s="51">
        <v>4</v>
      </c>
    </row>
    <row r="281" spans="2:21" ht="14.5" outlineLevel="3">
      <c r="B281" s="44" t="s">
        <v>1295</v>
      </c>
      <c r="C281" s="45" t="s">
        <v>1296</v>
      </c>
      <c r="D281" s="46" t="s">
        <v>1085</v>
      </c>
      <c r="E281" s="47" t="s">
        <v>574</v>
      </c>
      <c r="F281" s="46" t="s">
        <v>1297</v>
      </c>
      <c r="G281" s="47" t="s">
        <v>1298</v>
      </c>
      <c r="H281" s="48">
        <v>636087.86</v>
      </c>
      <c r="I281" s="48">
        <v>45</v>
      </c>
      <c r="J281" s="47" t="s">
        <v>115</v>
      </c>
      <c r="K281" s="49">
        <v>2</v>
      </c>
      <c r="L281" s="49" t="s">
        <v>116</v>
      </c>
      <c r="M281" s="46" t="s">
        <v>117</v>
      </c>
      <c r="N281" s="50">
        <v>0</v>
      </c>
      <c r="O281" s="50">
        <v>0</v>
      </c>
      <c r="P281" s="50">
        <v>0</v>
      </c>
      <c r="Q281" s="46" t="s">
        <v>102</v>
      </c>
      <c r="R281" s="46" t="s">
        <v>102</v>
      </c>
      <c r="S281" s="46" t="s">
        <v>102</v>
      </c>
      <c r="T281" s="46" t="s">
        <v>213</v>
      </c>
      <c r="U281" s="51">
        <v>4</v>
      </c>
    </row>
    <row r="282" spans="2:21" ht="14.5" outlineLevel="2">
      <c r="B282" s="36" t="s">
        <v>1299</v>
      </c>
      <c r="C282" s="37" t="s">
        <v>1300</v>
      </c>
      <c r="D282" s="38" t="s">
        <v>102</v>
      </c>
      <c r="E282" s="39" t="s">
        <v>102</v>
      </c>
      <c r="F282" s="38" t="s">
        <v>102</v>
      </c>
      <c r="G282" s="39" t="s">
        <v>102</v>
      </c>
      <c r="H282" s="40">
        <v>0</v>
      </c>
      <c r="I282" s="40">
        <v>0</v>
      </c>
      <c r="J282" s="39" t="s">
        <v>102</v>
      </c>
      <c r="K282" s="41">
        <v>0</v>
      </c>
      <c r="L282" s="41" t="s">
        <v>102</v>
      </c>
      <c r="M282" s="38" t="s">
        <v>102</v>
      </c>
      <c r="N282" s="42">
        <v>0</v>
      </c>
      <c r="O282" s="42">
        <v>0</v>
      </c>
      <c r="P282" s="42">
        <v>0</v>
      </c>
      <c r="Q282" s="38" t="s">
        <v>102</v>
      </c>
      <c r="R282" s="38" t="s">
        <v>102</v>
      </c>
      <c r="S282" s="38" t="s">
        <v>1301</v>
      </c>
      <c r="T282" s="38" t="s">
        <v>102</v>
      </c>
      <c r="U282" s="43">
        <v>3</v>
      </c>
    </row>
    <row r="283" spans="2:21" ht="14.5" outlineLevel="3">
      <c r="B283" s="44" t="s">
        <v>1302</v>
      </c>
      <c r="C283" s="45" t="s">
        <v>1303</v>
      </c>
      <c r="D283" s="46" t="s">
        <v>392</v>
      </c>
      <c r="E283" s="47" t="s">
        <v>574</v>
      </c>
      <c r="F283" s="46" t="s">
        <v>1304</v>
      </c>
      <c r="G283" s="47" t="s">
        <v>1305</v>
      </c>
      <c r="H283" s="48">
        <v>21255646.370000001</v>
      </c>
      <c r="I283" s="48">
        <v>1</v>
      </c>
      <c r="J283" s="47" t="s">
        <v>115</v>
      </c>
      <c r="K283" s="49">
        <v>2</v>
      </c>
      <c r="L283" s="49" t="s">
        <v>116</v>
      </c>
      <c r="M283" s="46" t="s">
        <v>117</v>
      </c>
      <c r="N283" s="50">
        <v>0</v>
      </c>
      <c r="O283" s="50">
        <v>0</v>
      </c>
      <c r="P283" s="50">
        <v>0</v>
      </c>
      <c r="Q283" s="46" t="s">
        <v>102</v>
      </c>
      <c r="R283" s="46" t="s">
        <v>102</v>
      </c>
      <c r="S283" s="46" t="s">
        <v>102</v>
      </c>
      <c r="T283" s="46" t="s">
        <v>118</v>
      </c>
      <c r="U283" s="51">
        <v>4</v>
      </c>
    </row>
    <row r="284" spans="2:21" ht="14.5" outlineLevel="1">
      <c r="B284" s="28" t="s">
        <v>1306</v>
      </c>
      <c r="C284" s="29" t="s">
        <v>1307</v>
      </c>
      <c r="D284" s="30" t="s">
        <v>102</v>
      </c>
      <c r="E284" s="31" t="s">
        <v>102</v>
      </c>
      <c r="F284" s="30" t="s">
        <v>102</v>
      </c>
      <c r="G284" s="31" t="s">
        <v>102</v>
      </c>
      <c r="H284" s="32">
        <v>0</v>
      </c>
      <c r="I284" s="32">
        <v>0</v>
      </c>
      <c r="J284" s="31" t="s">
        <v>102</v>
      </c>
      <c r="K284" s="33">
        <v>0</v>
      </c>
      <c r="L284" s="33" t="s">
        <v>102</v>
      </c>
      <c r="M284" s="30" t="s">
        <v>102</v>
      </c>
      <c r="N284" s="34">
        <v>0</v>
      </c>
      <c r="O284" s="34">
        <v>0</v>
      </c>
      <c r="P284" s="34">
        <v>0</v>
      </c>
      <c r="Q284" s="30" t="s">
        <v>102</v>
      </c>
      <c r="R284" s="30" t="s">
        <v>1308</v>
      </c>
      <c r="S284" s="30" t="s">
        <v>102</v>
      </c>
      <c r="T284" s="30" t="s">
        <v>102</v>
      </c>
      <c r="U284" s="35">
        <v>2</v>
      </c>
    </row>
    <row r="285" spans="2:21" ht="14.5" outlineLevel="2">
      <c r="B285" s="36" t="s">
        <v>1309</v>
      </c>
      <c r="C285" s="37" t="s">
        <v>1310</v>
      </c>
      <c r="D285" s="38" t="s">
        <v>102</v>
      </c>
      <c r="E285" s="39" t="s">
        <v>102</v>
      </c>
      <c r="F285" s="38" t="s">
        <v>102</v>
      </c>
      <c r="G285" s="39" t="s">
        <v>102</v>
      </c>
      <c r="H285" s="40">
        <v>0</v>
      </c>
      <c r="I285" s="40">
        <v>0</v>
      </c>
      <c r="J285" s="39" t="s">
        <v>102</v>
      </c>
      <c r="K285" s="41">
        <v>0</v>
      </c>
      <c r="L285" s="41" t="s">
        <v>102</v>
      </c>
      <c r="M285" s="38" t="s">
        <v>102</v>
      </c>
      <c r="N285" s="42">
        <v>0</v>
      </c>
      <c r="O285" s="42">
        <v>0</v>
      </c>
      <c r="P285" s="42">
        <v>0</v>
      </c>
      <c r="Q285" s="38" t="s">
        <v>102</v>
      </c>
      <c r="R285" s="38" t="s">
        <v>102</v>
      </c>
      <c r="S285" s="38" t="s">
        <v>545</v>
      </c>
      <c r="T285" s="38" t="s">
        <v>102</v>
      </c>
      <c r="U285" s="43">
        <v>3</v>
      </c>
    </row>
    <row r="286" spans="2:21" ht="14.5" outlineLevel="2">
      <c r="B286" s="36" t="s">
        <v>1311</v>
      </c>
      <c r="C286" s="37" t="s">
        <v>1312</v>
      </c>
      <c r="D286" s="38" t="s">
        <v>102</v>
      </c>
      <c r="E286" s="39" t="s">
        <v>102</v>
      </c>
      <c r="F286" s="38" t="s">
        <v>102</v>
      </c>
      <c r="G286" s="39" t="s">
        <v>102</v>
      </c>
      <c r="H286" s="40">
        <v>0</v>
      </c>
      <c r="I286" s="40">
        <v>0</v>
      </c>
      <c r="J286" s="39" t="s">
        <v>102</v>
      </c>
      <c r="K286" s="41">
        <v>0</v>
      </c>
      <c r="L286" s="41" t="s">
        <v>102</v>
      </c>
      <c r="M286" s="38" t="s">
        <v>102</v>
      </c>
      <c r="N286" s="42">
        <v>0</v>
      </c>
      <c r="O286" s="42">
        <v>0</v>
      </c>
      <c r="P286" s="42">
        <v>0</v>
      </c>
      <c r="Q286" s="38" t="s">
        <v>102</v>
      </c>
      <c r="R286" s="38" t="s">
        <v>102</v>
      </c>
      <c r="S286" s="38" t="s">
        <v>408</v>
      </c>
      <c r="T286" s="38" t="s">
        <v>102</v>
      </c>
      <c r="U286" s="43">
        <v>3</v>
      </c>
    </row>
    <row r="287" spans="2:21" ht="14.5" outlineLevel="3">
      <c r="B287" s="44" t="s">
        <v>1313</v>
      </c>
      <c r="C287" s="45" t="s">
        <v>1314</v>
      </c>
      <c r="D287" s="46" t="s">
        <v>469</v>
      </c>
      <c r="E287" s="47" t="s">
        <v>1315</v>
      </c>
      <c r="F287" s="46" t="s">
        <v>1316</v>
      </c>
      <c r="G287" s="47" t="s">
        <v>1317</v>
      </c>
      <c r="H287" s="48">
        <v>2485129.1800000002</v>
      </c>
      <c r="I287" s="48">
        <v>1</v>
      </c>
      <c r="J287" s="47" t="s">
        <v>115</v>
      </c>
      <c r="K287" s="49">
        <v>2</v>
      </c>
      <c r="L287" s="49" t="s">
        <v>116</v>
      </c>
      <c r="M287" s="46" t="s">
        <v>117</v>
      </c>
      <c r="N287" s="50">
        <v>0</v>
      </c>
      <c r="O287" s="50">
        <v>0</v>
      </c>
      <c r="P287" s="50">
        <v>0</v>
      </c>
      <c r="Q287" s="46" t="s">
        <v>102</v>
      </c>
      <c r="R287" s="46" t="s">
        <v>102</v>
      </c>
      <c r="S287" s="46" t="s">
        <v>102</v>
      </c>
      <c r="T287" s="46" t="s">
        <v>118</v>
      </c>
      <c r="U287" s="51">
        <v>4</v>
      </c>
    </row>
    <row r="288" spans="2:21" ht="14.5" outlineLevel="3">
      <c r="B288" s="44" t="s">
        <v>1318</v>
      </c>
      <c r="C288" s="45" t="s">
        <v>1319</v>
      </c>
      <c r="D288" s="46" t="s">
        <v>469</v>
      </c>
      <c r="E288" s="47" t="s">
        <v>1315</v>
      </c>
      <c r="F288" s="46" t="s">
        <v>1320</v>
      </c>
      <c r="G288" s="47" t="s">
        <v>1321</v>
      </c>
      <c r="H288" s="48">
        <v>173782.34</v>
      </c>
      <c r="I288" s="48">
        <v>1</v>
      </c>
      <c r="J288" s="47" t="s">
        <v>115</v>
      </c>
      <c r="K288" s="49">
        <v>2</v>
      </c>
      <c r="L288" s="49" t="s">
        <v>116</v>
      </c>
      <c r="M288" s="46" t="s">
        <v>117</v>
      </c>
      <c r="N288" s="50">
        <v>0</v>
      </c>
      <c r="O288" s="50">
        <v>0</v>
      </c>
      <c r="P288" s="50">
        <v>0</v>
      </c>
      <c r="Q288" s="46" t="s">
        <v>102</v>
      </c>
      <c r="R288" s="46" t="s">
        <v>102</v>
      </c>
      <c r="S288" s="46" t="s">
        <v>102</v>
      </c>
      <c r="T288" s="46" t="s">
        <v>123</v>
      </c>
      <c r="U288" s="51">
        <v>4</v>
      </c>
    </row>
    <row r="289" spans="2:21" ht="14.5" outlineLevel="3">
      <c r="B289" s="44" t="s">
        <v>1322</v>
      </c>
      <c r="C289" s="45" t="s">
        <v>1323</v>
      </c>
      <c r="D289" s="46" t="s">
        <v>469</v>
      </c>
      <c r="E289" s="47" t="s">
        <v>1315</v>
      </c>
      <c r="F289" s="46" t="s">
        <v>1324</v>
      </c>
      <c r="G289" s="47" t="s">
        <v>1325</v>
      </c>
      <c r="H289" s="48">
        <v>456630.24</v>
      </c>
      <c r="I289" s="48">
        <v>1</v>
      </c>
      <c r="J289" s="47" t="s">
        <v>115</v>
      </c>
      <c r="K289" s="49">
        <v>2</v>
      </c>
      <c r="L289" s="49" t="s">
        <v>116</v>
      </c>
      <c r="M289" s="46" t="s">
        <v>117</v>
      </c>
      <c r="N289" s="50">
        <v>0</v>
      </c>
      <c r="O289" s="50">
        <v>0</v>
      </c>
      <c r="P289" s="50">
        <v>0</v>
      </c>
      <c r="Q289" s="46" t="s">
        <v>102</v>
      </c>
      <c r="R289" s="46" t="s">
        <v>102</v>
      </c>
      <c r="S289" s="46" t="s">
        <v>102</v>
      </c>
      <c r="T289" s="46" t="s">
        <v>128</v>
      </c>
      <c r="U289" s="51">
        <v>4</v>
      </c>
    </row>
    <row r="290" spans="2:21" ht="14.5" outlineLevel="3">
      <c r="B290" s="44" t="s">
        <v>1326</v>
      </c>
      <c r="C290" s="45" t="s">
        <v>1327</v>
      </c>
      <c r="D290" s="46" t="s">
        <v>469</v>
      </c>
      <c r="E290" s="47" t="s">
        <v>1315</v>
      </c>
      <c r="F290" s="46" t="s">
        <v>1328</v>
      </c>
      <c r="G290" s="47" t="s">
        <v>1329</v>
      </c>
      <c r="H290" s="48">
        <v>456630.24</v>
      </c>
      <c r="I290" s="48">
        <v>2</v>
      </c>
      <c r="J290" s="47" t="s">
        <v>115</v>
      </c>
      <c r="K290" s="49">
        <v>2</v>
      </c>
      <c r="L290" s="49" t="s">
        <v>116</v>
      </c>
      <c r="M290" s="46" t="s">
        <v>117</v>
      </c>
      <c r="N290" s="50">
        <v>0</v>
      </c>
      <c r="O290" s="50">
        <v>0</v>
      </c>
      <c r="P290" s="50">
        <v>0</v>
      </c>
      <c r="Q290" s="46" t="s">
        <v>102</v>
      </c>
      <c r="R290" s="46" t="s">
        <v>102</v>
      </c>
      <c r="S290" s="46" t="s">
        <v>102</v>
      </c>
      <c r="T290" s="46" t="s">
        <v>133</v>
      </c>
      <c r="U290" s="51">
        <v>4</v>
      </c>
    </row>
    <row r="291" spans="2:21" ht="14.5" outlineLevel="3">
      <c r="B291" s="44" t="s">
        <v>1330</v>
      </c>
      <c r="C291" s="45" t="s">
        <v>1331</v>
      </c>
      <c r="D291" s="46" t="s">
        <v>469</v>
      </c>
      <c r="E291" s="47" t="s">
        <v>1315</v>
      </c>
      <c r="F291" s="46" t="s">
        <v>1332</v>
      </c>
      <c r="G291" s="47" t="s">
        <v>1333</v>
      </c>
      <c r="H291" s="48">
        <v>1960579.91</v>
      </c>
      <c r="I291" s="48">
        <v>1</v>
      </c>
      <c r="J291" s="47" t="s">
        <v>115</v>
      </c>
      <c r="K291" s="49">
        <v>2</v>
      </c>
      <c r="L291" s="49" t="s">
        <v>116</v>
      </c>
      <c r="M291" s="46" t="s">
        <v>117</v>
      </c>
      <c r="N291" s="50">
        <v>0</v>
      </c>
      <c r="O291" s="50">
        <v>0</v>
      </c>
      <c r="P291" s="50">
        <v>0</v>
      </c>
      <c r="Q291" s="46" t="s">
        <v>102</v>
      </c>
      <c r="R291" s="46" t="s">
        <v>102</v>
      </c>
      <c r="S291" s="46" t="s">
        <v>102</v>
      </c>
      <c r="T291" s="46" t="s">
        <v>138</v>
      </c>
      <c r="U291" s="51">
        <v>4</v>
      </c>
    </row>
    <row r="292" spans="2:21" ht="14.5" outlineLevel="3">
      <c r="B292" s="44" t="s">
        <v>1334</v>
      </c>
      <c r="C292" s="45" t="s">
        <v>1335</v>
      </c>
      <c r="D292" s="46" t="s">
        <v>469</v>
      </c>
      <c r="E292" s="47" t="s">
        <v>1315</v>
      </c>
      <c r="F292" s="46" t="s">
        <v>1336</v>
      </c>
      <c r="G292" s="47" t="s">
        <v>1337</v>
      </c>
      <c r="H292" s="48">
        <v>56209.45</v>
      </c>
      <c r="I292" s="48">
        <v>12</v>
      </c>
      <c r="J292" s="47" t="s">
        <v>115</v>
      </c>
      <c r="K292" s="49">
        <v>2</v>
      </c>
      <c r="L292" s="49" t="s">
        <v>116</v>
      </c>
      <c r="M292" s="46" t="s">
        <v>117</v>
      </c>
      <c r="N292" s="50">
        <v>0</v>
      </c>
      <c r="O292" s="50">
        <v>0</v>
      </c>
      <c r="P292" s="50">
        <v>0</v>
      </c>
      <c r="Q292" s="46" t="s">
        <v>102</v>
      </c>
      <c r="R292" s="46" t="s">
        <v>102</v>
      </c>
      <c r="S292" s="46" t="s">
        <v>102</v>
      </c>
      <c r="T292" s="46" t="s">
        <v>143</v>
      </c>
      <c r="U292" s="51">
        <v>4</v>
      </c>
    </row>
    <row r="293" spans="2:21" ht="14.5" outlineLevel="3">
      <c r="B293" s="44" t="s">
        <v>1338</v>
      </c>
      <c r="C293" s="45" t="s">
        <v>1339</v>
      </c>
      <c r="D293" s="46" t="s">
        <v>469</v>
      </c>
      <c r="E293" s="47" t="s">
        <v>1315</v>
      </c>
      <c r="F293" s="46" t="s">
        <v>1340</v>
      </c>
      <c r="G293" s="47" t="s">
        <v>1341</v>
      </c>
      <c r="H293" s="48">
        <v>47853.19</v>
      </c>
      <c r="I293" s="48">
        <v>1</v>
      </c>
      <c r="J293" s="47" t="s">
        <v>115</v>
      </c>
      <c r="K293" s="49">
        <v>2</v>
      </c>
      <c r="L293" s="49" t="s">
        <v>116</v>
      </c>
      <c r="M293" s="46" t="s">
        <v>117</v>
      </c>
      <c r="N293" s="50">
        <v>0</v>
      </c>
      <c r="O293" s="50">
        <v>0</v>
      </c>
      <c r="P293" s="50">
        <v>0</v>
      </c>
      <c r="Q293" s="46" t="s">
        <v>102</v>
      </c>
      <c r="R293" s="46" t="s">
        <v>102</v>
      </c>
      <c r="S293" s="46" t="s">
        <v>102</v>
      </c>
      <c r="T293" s="46" t="s">
        <v>176</v>
      </c>
      <c r="U293" s="51">
        <v>4</v>
      </c>
    </row>
    <row r="294" spans="2:21" ht="14.5" outlineLevel="3">
      <c r="B294" s="44" t="s">
        <v>1342</v>
      </c>
      <c r="C294" s="45" t="s">
        <v>1343</v>
      </c>
      <c r="D294" s="46" t="s">
        <v>392</v>
      </c>
      <c r="E294" s="47" t="s">
        <v>1315</v>
      </c>
      <c r="F294" s="46" t="s">
        <v>1344</v>
      </c>
      <c r="G294" s="47" t="s">
        <v>1345</v>
      </c>
      <c r="H294" s="48">
        <v>296333.28999999998</v>
      </c>
      <c r="I294" s="48">
        <v>1</v>
      </c>
      <c r="J294" s="47" t="s">
        <v>115</v>
      </c>
      <c r="K294" s="49">
        <v>2</v>
      </c>
      <c r="L294" s="49" t="s">
        <v>116</v>
      </c>
      <c r="M294" s="46" t="s">
        <v>117</v>
      </c>
      <c r="N294" s="50">
        <v>0</v>
      </c>
      <c r="O294" s="50">
        <v>0</v>
      </c>
      <c r="P294" s="50">
        <v>0</v>
      </c>
      <c r="Q294" s="46" t="s">
        <v>102</v>
      </c>
      <c r="R294" s="46" t="s">
        <v>102</v>
      </c>
      <c r="S294" s="46" t="s">
        <v>102</v>
      </c>
      <c r="T294" s="46" t="s">
        <v>182</v>
      </c>
      <c r="U294" s="51">
        <v>4</v>
      </c>
    </row>
    <row r="295" spans="2:21" ht="14.5" outlineLevel="3">
      <c r="B295" s="44" t="s">
        <v>1346</v>
      </c>
      <c r="C295" s="45" t="s">
        <v>1347</v>
      </c>
      <c r="D295" s="46" t="s">
        <v>469</v>
      </c>
      <c r="E295" s="47" t="s">
        <v>1315</v>
      </c>
      <c r="F295" s="46" t="s">
        <v>1348</v>
      </c>
      <c r="G295" s="47" t="s">
        <v>1349</v>
      </c>
      <c r="H295" s="48">
        <v>335156.01</v>
      </c>
      <c r="I295" s="48">
        <v>1</v>
      </c>
      <c r="J295" s="47" t="s">
        <v>115</v>
      </c>
      <c r="K295" s="49">
        <v>2</v>
      </c>
      <c r="L295" s="49" t="s">
        <v>116</v>
      </c>
      <c r="M295" s="46" t="s">
        <v>117</v>
      </c>
      <c r="N295" s="50">
        <v>0</v>
      </c>
      <c r="O295" s="50">
        <v>0</v>
      </c>
      <c r="P295" s="50">
        <v>0</v>
      </c>
      <c r="Q295" s="46" t="s">
        <v>102</v>
      </c>
      <c r="R295" s="46" t="s">
        <v>102</v>
      </c>
      <c r="S295" s="46" t="s">
        <v>102</v>
      </c>
      <c r="T295" s="46" t="s">
        <v>187</v>
      </c>
      <c r="U295" s="51">
        <v>4</v>
      </c>
    </row>
    <row r="296" spans="2:21" ht="14.5" outlineLevel="3">
      <c r="B296" s="44" t="s">
        <v>1350</v>
      </c>
      <c r="C296" s="45" t="s">
        <v>1351</v>
      </c>
      <c r="D296" s="46" t="s">
        <v>469</v>
      </c>
      <c r="E296" s="47" t="s">
        <v>1315</v>
      </c>
      <c r="F296" s="46" t="s">
        <v>1352</v>
      </c>
      <c r="G296" s="47" t="s">
        <v>1353</v>
      </c>
      <c r="H296" s="48">
        <v>8507.4</v>
      </c>
      <c r="I296" s="48">
        <v>1</v>
      </c>
      <c r="J296" s="47" t="s">
        <v>115</v>
      </c>
      <c r="K296" s="49">
        <v>2</v>
      </c>
      <c r="L296" s="49" t="s">
        <v>116</v>
      </c>
      <c r="M296" s="46" t="s">
        <v>117</v>
      </c>
      <c r="N296" s="50">
        <v>0</v>
      </c>
      <c r="O296" s="50">
        <v>0</v>
      </c>
      <c r="P296" s="50">
        <v>0</v>
      </c>
      <c r="Q296" s="46" t="s">
        <v>102</v>
      </c>
      <c r="R296" s="46" t="s">
        <v>102</v>
      </c>
      <c r="S296" s="46" t="s">
        <v>102</v>
      </c>
      <c r="T296" s="46" t="s">
        <v>259</v>
      </c>
      <c r="U296" s="51">
        <v>4</v>
      </c>
    </row>
    <row r="297" spans="2:21" ht="14.5" outlineLevel="3">
      <c r="B297" s="44" t="s">
        <v>1354</v>
      </c>
      <c r="C297" s="45" t="s">
        <v>1355</v>
      </c>
      <c r="D297" s="46" t="s">
        <v>469</v>
      </c>
      <c r="E297" s="47" t="s">
        <v>1315</v>
      </c>
      <c r="F297" s="46" t="s">
        <v>1356</v>
      </c>
      <c r="G297" s="47" t="s">
        <v>1357</v>
      </c>
      <c r="H297" s="48">
        <v>287477.26</v>
      </c>
      <c r="I297" s="48">
        <v>1</v>
      </c>
      <c r="J297" s="47" t="s">
        <v>115</v>
      </c>
      <c r="K297" s="49">
        <v>2</v>
      </c>
      <c r="L297" s="49" t="s">
        <v>116</v>
      </c>
      <c r="M297" s="46" t="s">
        <v>117</v>
      </c>
      <c r="N297" s="50">
        <v>0</v>
      </c>
      <c r="O297" s="50">
        <v>0</v>
      </c>
      <c r="P297" s="50">
        <v>0</v>
      </c>
      <c r="Q297" s="46" t="s">
        <v>102</v>
      </c>
      <c r="R297" s="46" t="s">
        <v>102</v>
      </c>
      <c r="S297" s="46" t="s">
        <v>102</v>
      </c>
      <c r="T297" s="46" t="s">
        <v>192</v>
      </c>
      <c r="U297" s="51">
        <v>4</v>
      </c>
    </row>
    <row r="298" spans="2:21" ht="14.5" outlineLevel="3">
      <c r="B298" s="44" t="s">
        <v>1358</v>
      </c>
      <c r="C298" s="45" t="s">
        <v>1359</v>
      </c>
      <c r="D298" s="46" t="s">
        <v>469</v>
      </c>
      <c r="E298" s="47" t="s">
        <v>1315</v>
      </c>
      <c r="F298" s="46" t="s">
        <v>1360</v>
      </c>
      <c r="G298" s="47" t="s">
        <v>1361</v>
      </c>
      <c r="H298" s="48">
        <v>140629.85</v>
      </c>
      <c r="I298" s="48">
        <v>1</v>
      </c>
      <c r="J298" s="47" t="s">
        <v>115</v>
      </c>
      <c r="K298" s="49">
        <v>2</v>
      </c>
      <c r="L298" s="49" t="s">
        <v>116</v>
      </c>
      <c r="M298" s="46" t="s">
        <v>117</v>
      </c>
      <c r="N298" s="50">
        <v>0</v>
      </c>
      <c r="O298" s="50">
        <v>0</v>
      </c>
      <c r="P298" s="50">
        <v>0</v>
      </c>
      <c r="Q298" s="46" t="s">
        <v>102</v>
      </c>
      <c r="R298" s="46" t="s">
        <v>102</v>
      </c>
      <c r="S298" s="46" t="s">
        <v>102</v>
      </c>
      <c r="T298" s="46" t="s">
        <v>615</v>
      </c>
      <c r="U298" s="51">
        <v>4</v>
      </c>
    </row>
    <row r="299" spans="2:21" ht="14.5" outlineLevel="3">
      <c r="B299" s="44" t="s">
        <v>1362</v>
      </c>
      <c r="C299" s="45" t="s">
        <v>1363</v>
      </c>
      <c r="D299" s="46" t="s">
        <v>392</v>
      </c>
      <c r="E299" s="47" t="s">
        <v>1315</v>
      </c>
      <c r="F299" s="46" t="s">
        <v>1364</v>
      </c>
      <c r="G299" s="47" t="s">
        <v>1365</v>
      </c>
      <c r="H299" s="48">
        <v>129718.83</v>
      </c>
      <c r="I299" s="48">
        <v>1</v>
      </c>
      <c r="J299" s="47" t="s">
        <v>115</v>
      </c>
      <c r="K299" s="49">
        <v>2</v>
      </c>
      <c r="L299" s="49" t="s">
        <v>116</v>
      </c>
      <c r="M299" s="46" t="s">
        <v>117</v>
      </c>
      <c r="N299" s="50">
        <v>0</v>
      </c>
      <c r="O299" s="50">
        <v>0</v>
      </c>
      <c r="P299" s="50">
        <v>0</v>
      </c>
      <c r="Q299" s="46" t="s">
        <v>102</v>
      </c>
      <c r="R299" s="46" t="s">
        <v>102</v>
      </c>
      <c r="S299" s="46" t="s">
        <v>102</v>
      </c>
      <c r="T299" s="46" t="s">
        <v>268</v>
      </c>
      <c r="U299" s="51">
        <v>4</v>
      </c>
    </row>
    <row r="300" spans="2:21" ht="14.5" outlineLevel="3">
      <c r="B300" s="44" t="s">
        <v>1366</v>
      </c>
      <c r="C300" s="45" t="s">
        <v>1367</v>
      </c>
      <c r="D300" s="46" t="s">
        <v>469</v>
      </c>
      <c r="E300" s="47" t="s">
        <v>1315</v>
      </c>
      <c r="F300" s="46" t="s">
        <v>1368</v>
      </c>
      <c r="G300" s="47" t="s">
        <v>1369</v>
      </c>
      <c r="H300" s="48">
        <v>380968.72</v>
      </c>
      <c r="I300" s="48">
        <v>1</v>
      </c>
      <c r="J300" s="47" t="s">
        <v>115</v>
      </c>
      <c r="K300" s="49">
        <v>2</v>
      </c>
      <c r="L300" s="49" t="s">
        <v>116</v>
      </c>
      <c r="M300" s="46" t="s">
        <v>117</v>
      </c>
      <c r="N300" s="50">
        <v>0</v>
      </c>
      <c r="O300" s="50">
        <v>0</v>
      </c>
      <c r="P300" s="50">
        <v>0</v>
      </c>
      <c r="Q300" s="46" t="s">
        <v>102</v>
      </c>
      <c r="R300" s="46" t="s">
        <v>102</v>
      </c>
      <c r="S300" s="46" t="s">
        <v>102</v>
      </c>
      <c r="T300" s="46" t="s">
        <v>273</v>
      </c>
      <c r="U300" s="51">
        <v>4</v>
      </c>
    </row>
    <row r="301" spans="2:21" ht="14.5" outlineLevel="3">
      <c r="B301" s="44" t="s">
        <v>1370</v>
      </c>
      <c r="C301" s="45" t="s">
        <v>1371</v>
      </c>
      <c r="D301" s="46" t="s">
        <v>469</v>
      </c>
      <c r="E301" s="47" t="s">
        <v>1315</v>
      </c>
      <c r="F301" s="46" t="s">
        <v>1372</v>
      </c>
      <c r="G301" s="47" t="s">
        <v>1373</v>
      </c>
      <c r="H301" s="48">
        <v>16503.560000000001</v>
      </c>
      <c r="I301" s="48">
        <v>1</v>
      </c>
      <c r="J301" s="47" t="s">
        <v>115</v>
      </c>
      <c r="K301" s="49">
        <v>2</v>
      </c>
      <c r="L301" s="49" t="s">
        <v>116</v>
      </c>
      <c r="M301" s="46" t="s">
        <v>117</v>
      </c>
      <c r="N301" s="50">
        <v>0</v>
      </c>
      <c r="O301" s="50">
        <v>0</v>
      </c>
      <c r="P301" s="50">
        <v>0</v>
      </c>
      <c r="Q301" s="46" t="s">
        <v>102</v>
      </c>
      <c r="R301" s="46" t="s">
        <v>102</v>
      </c>
      <c r="S301" s="46" t="s">
        <v>102</v>
      </c>
      <c r="T301" s="46" t="s">
        <v>198</v>
      </c>
      <c r="U301" s="51">
        <v>4</v>
      </c>
    </row>
    <row r="302" spans="2:21" ht="14.5" outlineLevel="3">
      <c r="B302" s="44" t="s">
        <v>1374</v>
      </c>
      <c r="C302" s="45" t="s">
        <v>1375</v>
      </c>
      <c r="D302" s="46" t="s">
        <v>469</v>
      </c>
      <c r="E302" s="47" t="s">
        <v>1315</v>
      </c>
      <c r="F302" s="46" t="s">
        <v>1376</v>
      </c>
      <c r="G302" s="47" t="s">
        <v>1377</v>
      </c>
      <c r="H302" s="48">
        <v>13698.69</v>
      </c>
      <c r="I302" s="48">
        <v>1</v>
      </c>
      <c r="J302" s="47" t="s">
        <v>115</v>
      </c>
      <c r="K302" s="49">
        <v>2</v>
      </c>
      <c r="L302" s="49" t="s">
        <v>116</v>
      </c>
      <c r="M302" s="46" t="s">
        <v>117</v>
      </c>
      <c r="N302" s="50">
        <v>0</v>
      </c>
      <c r="O302" s="50">
        <v>0</v>
      </c>
      <c r="P302" s="50">
        <v>0</v>
      </c>
      <c r="Q302" s="46" t="s">
        <v>102</v>
      </c>
      <c r="R302" s="46" t="s">
        <v>102</v>
      </c>
      <c r="S302" s="46" t="s">
        <v>102</v>
      </c>
      <c r="T302" s="46" t="s">
        <v>283</v>
      </c>
      <c r="U302" s="51">
        <v>4</v>
      </c>
    </row>
    <row r="303" spans="2:21" ht="14.5" outlineLevel="3">
      <c r="B303" s="44" t="s">
        <v>1378</v>
      </c>
      <c r="C303" s="45" t="s">
        <v>1379</v>
      </c>
      <c r="D303" s="46" t="s">
        <v>392</v>
      </c>
      <c r="E303" s="47" t="s">
        <v>1315</v>
      </c>
      <c r="F303" s="46" t="s">
        <v>1380</v>
      </c>
      <c r="G303" s="47" t="s">
        <v>1381</v>
      </c>
      <c r="H303" s="48">
        <v>93221.98</v>
      </c>
      <c r="I303" s="48">
        <v>1</v>
      </c>
      <c r="J303" s="47" t="s">
        <v>115</v>
      </c>
      <c r="K303" s="49">
        <v>2</v>
      </c>
      <c r="L303" s="49" t="s">
        <v>116</v>
      </c>
      <c r="M303" s="46" t="s">
        <v>117</v>
      </c>
      <c r="N303" s="50">
        <v>0</v>
      </c>
      <c r="O303" s="50">
        <v>0</v>
      </c>
      <c r="P303" s="50">
        <v>0</v>
      </c>
      <c r="Q303" s="46" t="s">
        <v>102</v>
      </c>
      <c r="R303" s="46" t="s">
        <v>102</v>
      </c>
      <c r="S303" s="46" t="s">
        <v>102</v>
      </c>
      <c r="T303" s="46" t="s">
        <v>288</v>
      </c>
      <c r="U303" s="51">
        <v>4</v>
      </c>
    </row>
    <row r="304" spans="2:21" ht="14.5" outlineLevel="3">
      <c r="B304" s="44" t="s">
        <v>1382</v>
      </c>
      <c r="C304" s="45" t="s">
        <v>1383</v>
      </c>
      <c r="D304" s="46" t="s">
        <v>392</v>
      </c>
      <c r="E304" s="47" t="s">
        <v>1315</v>
      </c>
      <c r="F304" s="46" t="s">
        <v>1384</v>
      </c>
      <c r="G304" s="47" t="s">
        <v>1385</v>
      </c>
      <c r="H304" s="48">
        <v>5028340.0999999996</v>
      </c>
      <c r="I304" s="48">
        <v>1</v>
      </c>
      <c r="J304" s="47" t="s">
        <v>115</v>
      </c>
      <c r="K304" s="49">
        <v>2</v>
      </c>
      <c r="L304" s="49" t="s">
        <v>116</v>
      </c>
      <c r="M304" s="46" t="s">
        <v>117</v>
      </c>
      <c r="N304" s="50">
        <v>0</v>
      </c>
      <c r="O304" s="50">
        <v>0</v>
      </c>
      <c r="P304" s="50">
        <v>0</v>
      </c>
      <c r="Q304" s="46" t="s">
        <v>102</v>
      </c>
      <c r="R304" s="46" t="s">
        <v>102</v>
      </c>
      <c r="S304" s="46" t="s">
        <v>102</v>
      </c>
      <c r="T304" s="46" t="s">
        <v>203</v>
      </c>
      <c r="U304" s="51">
        <v>4</v>
      </c>
    </row>
    <row r="305" spans="2:21" ht="14.5" outlineLevel="2">
      <c r="B305" s="36" t="s">
        <v>1386</v>
      </c>
      <c r="C305" s="37" t="s">
        <v>1387</v>
      </c>
      <c r="D305" s="38" t="s">
        <v>102</v>
      </c>
      <c r="E305" s="39" t="s">
        <v>102</v>
      </c>
      <c r="F305" s="38" t="s">
        <v>102</v>
      </c>
      <c r="G305" s="39" t="s">
        <v>102</v>
      </c>
      <c r="H305" s="40">
        <v>0</v>
      </c>
      <c r="I305" s="40">
        <v>0</v>
      </c>
      <c r="J305" s="39" t="s">
        <v>102</v>
      </c>
      <c r="K305" s="41">
        <v>0</v>
      </c>
      <c r="L305" s="41" t="s">
        <v>102</v>
      </c>
      <c r="M305" s="38" t="s">
        <v>102</v>
      </c>
      <c r="N305" s="42">
        <v>0</v>
      </c>
      <c r="O305" s="42">
        <v>0</v>
      </c>
      <c r="P305" s="42">
        <v>0</v>
      </c>
      <c r="Q305" s="38" t="s">
        <v>102</v>
      </c>
      <c r="R305" s="38" t="s">
        <v>102</v>
      </c>
      <c r="S305" s="38" t="s">
        <v>1388</v>
      </c>
      <c r="T305" s="38" t="s">
        <v>102</v>
      </c>
      <c r="U305" s="43">
        <v>3</v>
      </c>
    </row>
    <row r="306" spans="2:21" ht="14.5" outlineLevel="3">
      <c r="B306" s="44" t="s">
        <v>1389</v>
      </c>
      <c r="C306" s="45" t="s">
        <v>1390</v>
      </c>
      <c r="D306" s="46" t="s">
        <v>469</v>
      </c>
      <c r="E306" s="47" t="s">
        <v>1315</v>
      </c>
      <c r="F306" s="46" t="s">
        <v>1391</v>
      </c>
      <c r="G306" s="47" t="s">
        <v>1392</v>
      </c>
      <c r="H306" s="48">
        <v>1581454.75</v>
      </c>
      <c r="I306" s="48">
        <v>1</v>
      </c>
      <c r="J306" s="47" t="s">
        <v>115</v>
      </c>
      <c r="K306" s="49">
        <v>2</v>
      </c>
      <c r="L306" s="49" t="s">
        <v>116</v>
      </c>
      <c r="M306" s="46" t="s">
        <v>117</v>
      </c>
      <c r="N306" s="50">
        <v>0</v>
      </c>
      <c r="O306" s="50">
        <v>0</v>
      </c>
      <c r="P306" s="50">
        <v>0</v>
      </c>
      <c r="Q306" s="46" t="s">
        <v>102</v>
      </c>
      <c r="R306" s="46" t="s">
        <v>102</v>
      </c>
      <c r="S306" s="46" t="s">
        <v>102</v>
      </c>
      <c r="T306" s="46" t="s">
        <v>118</v>
      </c>
      <c r="U306" s="51">
        <v>4</v>
      </c>
    </row>
    <row r="307" spans="2:21" ht="14.5" outlineLevel="3">
      <c r="B307" s="44" t="s">
        <v>1393</v>
      </c>
      <c r="C307" s="45" t="s">
        <v>1394</v>
      </c>
      <c r="D307" s="46" t="s">
        <v>392</v>
      </c>
      <c r="E307" s="47" t="s">
        <v>1315</v>
      </c>
      <c r="F307" s="46" t="s">
        <v>1395</v>
      </c>
      <c r="G307" s="47" t="s">
        <v>1396</v>
      </c>
      <c r="H307" s="48">
        <v>7586653.5599999996</v>
      </c>
      <c r="I307" s="48">
        <v>1</v>
      </c>
      <c r="J307" s="47" t="s">
        <v>115</v>
      </c>
      <c r="K307" s="49">
        <v>2</v>
      </c>
      <c r="L307" s="49" t="s">
        <v>116</v>
      </c>
      <c r="M307" s="46" t="s">
        <v>117</v>
      </c>
      <c r="N307" s="50">
        <v>0</v>
      </c>
      <c r="O307" s="50">
        <v>0</v>
      </c>
      <c r="P307" s="50">
        <v>0</v>
      </c>
      <c r="Q307" s="46" t="s">
        <v>102</v>
      </c>
      <c r="R307" s="46" t="s">
        <v>102</v>
      </c>
      <c r="S307" s="46" t="s">
        <v>102</v>
      </c>
      <c r="T307" s="46" t="s">
        <v>123</v>
      </c>
      <c r="U307" s="51">
        <v>4</v>
      </c>
    </row>
    <row r="308" spans="2:21" ht="14.5" outlineLevel="3">
      <c r="B308" s="44" t="s">
        <v>1397</v>
      </c>
      <c r="C308" s="45" t="s">
        <v>1398</v>
      </c>
      <c r="D308" s="46" t="s">
        <v>469</v>
      </c>
      <c r="E308" s="47" t="s">
        <v>1315</v>
      </c>
      <c r="F308" s="46" t="s">
        <v>1399</v>
      </c>
      <c r="G308" s="47" t="s">
        <v>1400</v>
      </c>
      <c r="H308" s="48">
        <v>1581454.75</v>
      </c>
      <c r="I308" s="48">
        <v>1</v>
      </c>
      <c r="J308" s="47" t="s">
        <v>115</v>
      </c>
      <c r="K308" s="49">
        <v>2</v>
      </c>
      <c r="L308" s="49" t="s">
        <v>116</v>
      </c>
      <c r="M308" s="46" t="s">
        <v>117</v>
      </c>
      <c r="N308" s="50">
        <v>0</v>
      </c>
      <c r="O308" s="50">
        <v>0</v>
      </c>
      <c r="P308" s="50">
        <v>0</v>
      </c>
      <c r="Q308" s="46" t="s">
        <v>102</v>
      </c>
      <c r="R308" s="46" t="s">
        <v>102</v>
      </c>
      <c r="S308" s="46" t="s">
        <v>102</v>
      </c>
      <c r="T308" s="46" t="s">
        <v>128</v>
      </c>
      <c r="U308" s="51">
        <v>4</v>
      </c>
    </row>
    <row r="309" spans="2:21" ht="14.5" outlineLevel="3">
      <c r="B309" s="44" t="s">
        <v>1401</v>
      </c>
      <c r="C309" s="45" t="s">
        <v>1402</v>
      </c>
      <c r="D309" s="46" t="s">
        <v>392</v>
      </c>
      <c r="E309" s="47" t="s">
        <v>1315</v>
      </c>
      <c r="F309" s="46" t="s">
        <v>1403</v>
      </c>
      <c r="G309" s="47" t="s">
        <v>1404</v>
      </c>
      <c r="H309" s="48">
        <v>10677797.41</v>
      </c>
      <c r="I309" s="48">
        <v>1</v>
      </c>
      <c r="J309" s="47" t="s">
        <v>115</v>
      </c>
      <c r="K309" s="49">
        <v>2</v>
      </c>
      <c r="L309" s="49" t="s">
        <v>116</v>
      </c>
      <c r="M309" s="46" t="s">
        <v>117</v>
      </c>
      <c r="N309" s="50">
        <v>0</v>
      </c>
      <c r="O309" s="50">
        <v>0</v>
      </c>
      <c r="P309" s="50">
        <v>0</v>
      </c>
      <c r="Q309" s="46" t="s">
        <v>102</v>
      </c>
      <c r="R309" s="46" t="s">
        <v>102</v>
      </c>
      <c r="S309" s="46" t="s">
        <v>102</v>
      </c>
      <c r="T309" s="46" t="s">
        <v>133</v>
      </c>
      <c r="U309" s="51">
        <v>4</v>
      </c>
    </row>
    <row r="310" spans="2:21" ht="14.5" outlineLevel="3">
      <c r="B310" s="44" t="s">
        <v>1405</v>
      </c>
      <c r="C310" s="45" t="s">
        <v>1406</v>
      </c>
      <c r="D310" s="46" t="s">
        <v>469</v>
      </c>
      <c r="E310" s="47" t="s">
        <v>1315</v>
      </c>
      <c r="F310" s="46" t="s">
        <v>1407</v>
      </c>
      <c r="G310" s="47" t="s">
        <v>1408</v>
      </c>
      <c r="H310" s="48">
        <v>1581454.75</v>
      </c>
      <c r="I310" s="48">
        <v>1</v>
      </c>
      <c r="J310" s="47" t="s">
        <v>115</v>
      </c>
      <c r="K310" s="49">
        <v>2</v>
      </c>
      <c r="L310" s="49" t="s">
        <v>116</v>
      </c>
      <c r="M310" s="46" t="s">
        <v>117</v>
      </c>
      <c r="N310" s="50">
        <v>0</v>
      </c>
      <c r="O310" s="50">
        <v>0</v>
      </c>
      <c r="P310" s="50">
        <v>0</v>
      </c>
      <c r="Q310" s="46" t="s">
        <v>102</v>
      </c>
      <c r="R310" s="46" t="s">
        <v>102</v>
      </c>
      <c r="S310" s="46" t="s">
        <v>102</v>
      </c>
      <c r="T310" s="46" t="s">
        <v>138</v>
      </c>
      <c r="U310" s="51">
        <v>4</v>
      </c>
    </row>
    <row r="311" spans="2:21" ht="14.5" outlineLevel="3">
      <c r="B311" s="44" t="s">
        <v>1409</v>
      </c>
      <c r="C311" s="45" t="s">
        <v>1410</v>
      </c>
      <c r="D311" s="46" t="s">
        <v>392</v>
      </c>
      <c r="E311" s="47" t="s">
        <v>1315</v>
      </c>
      <c r="F311" s="46" t="s">
        <v>1411</v>
      </c>
      <c r="G311" s="47" t="s">
        <v>1412</v>
      </c>
      <c r="H311" s="48">
        <v>11796342.76</v>
      </c>
      <c r="I311" s="48">
        <v>1</v>
      </c>
      <c r="J311" s="47" t="s">
        <v>115</v>
      </c>
      <c r="K311" s="49">
        <v>2</v>
      </c>
      <c r="L311" s="49" t="s">
        <v>116</v>
      </c>
      <c r="M311" s="46" t="s">
        <v>117</v>
      </c>
      <c r="N311" s="50">
        <v>0</v>
      </c>
      <c r="O311" s="50">
        <v>0</v>
      </c>
      <c r="P311" s="50">
        <v>0</v>
      </c>
      <c r="Q311" s="46" t="s">
        <v>102</v>
      </c>
      <c r="R311" s="46" t="s">
        <v>102</v>
      </c>
      <c r="S311" s="46" t="s">
        <v>102</v>
      </c>
      <c r="T311" s="46" t="s">
        <v>143</v>
      </c>
      <c r="U311" s="51">
        <v>4</v>
      </c>
    </row>
    <row r="312" spans="2:21" ht="14.5" outlineLevel="3">
      <c r="B312" s="44" t="s">
        <v>1413</v>
      </c>
      <c r="C312" s="45" t="s">
        <v>1414</v>
      </c>
      <c r="D312" s="46" t="s">
        <v>469</v>
      </c>
      <c r="E312" s="47" t="s">
        <v>1315</v>
      </c>
      <c r="F312" s="46" t="s">
        <v>1415</v>
      </c>
      <c r="G312" s="47" t="s">
        <v>1416</v>
      </c>
      <c r="H312" s="48">
        <v>8876398.75</v>
      </c>
      <c r="I312" s="48">
        <v>3</v>
      </c>
      <c r="J312" s="47" t="s">
        <v>115</v>
      </c>
      <c r="K312" s="49">
        <v>2</v>
      </c>
      <c r="L312" s="49" t="s">
        <v>116</v>
      </c>
      <c r="M312" s="46" t="s">
        <v>117</v>
      </c>
      <c r="N312" s="50">
        <v>0</v>
      </c>
      <c r="O312" s="50">
        <v>0</v>
      </c>
      <c r="P312" s="50">
        <v>0</v>
      </c>
      <c r="Q312" s="46" t="s">
        <v>102</v>
      </c>
      <c r="R312" s="46" t="s">
        <v>102</v>
      </c>
      <c r="S312" s="46" t="s">
        <v>102</v>
      </c>
      <c r="T312" s="46" t="s">
        <v>176</v>
      </c>
      <c r="U312" s="51">
        <v>4</v>
      </c>
    </row>
    <row r="313" spans="2:21" ht="14.5" outlineLevel="3">
      <c r="B313" s="44" t="s">
        <v>1417</v>
      </c>
      <c r="C313" s="45" t="s">
        <v>1418</v>
      </c>
      <c r="D313" s="46" t="s">
        <v>392</v>
      </c>
      <c r="E313" s="47" t="s">
        <v>1315</v>
      </c>
      <c r="F313" s="46" t="s">
        <v>1419</v>
      </c>
      <c r="G313" s="47" t="s">
        <v>1420</v>
      </c>
      <c r="H313" s="48">
        <v>9821625.3100000005</v>
      </c>
      <c r="I313" s="48">
        <v>1</v>
      </c>
      <c r="J313" s="47" t="s">
        <v>115</v>
      </c>
      <c r="K313" s="49">
        <v>2</v>
      </c>
      <c r="L313" s="49" t="s">
        <v>116</v>
      </c>
      <c r="M313" s="46" t="s">
        <v>117</v>
      </c>
      <c r="N313" s="50">
        <v>0</v>
      </c>
      <c r="O313" s="50">
        <v>0</v>
      </c>
      <c r="P313" s="50">
        <v>0</v>
      </c>
      <c r="Q313" s="46" t="s">
        <v>102</v>
      </c>
      <c r="R313" s="46" t="s">
        <v>102</v>
      </c>
      <c r="S313" s="46" t="s">
        <v>102</v>
      </c>
      <c r="T313" s="46" t="s">
        <v>182</v>
      </c>
      <c r="U313" s="51">
        <v>4</v>
      </c>
    </row>
    <row r="314" spans="2:21" ht="14.5" outlineLevel="3">
      <c r="B314" s="44" t="s">
        <v>1421</v>
      </c>
      <c r="C314" s="45" t="s">
        <v>1422</v>
      </c>
      <c r="D314" s="46" t="s">
        <v>392</v>
      </c>
      <c r="E314" s="47" t="s">
        <v>1315</v>
      </c>
      <c r="F314" s="46" t="s">
        <v>1423</v>
      </c>
      <c r="G314" s="47" t="s">
        <v>1424</v>
      </c>
      <c r="H314" s="48">
        <v>4508829.26</v>
      </c>
      <c r="I314" s="48">
        <v>1</v>
      </c>
      <c r="J314" s="47" t="s">
        <v>115</v>
      </c>
      <c r="K314" s="49">
        <v>2</v>
      </c>
      <c r="L314" s="49" t="s">
        <v>116</v>
      </c>
      <c r="M314" s="46" t="s">
        <v>117</v>
      </c>
      <c r="N314" s="50">
        <v>0</v>
      </c>
      <c r="O314" s="50">
        <v>0</v>
      </c>
      <c r="P314" s="50">
        <v>0</v>
      </c>
      <c r="Q314" s="46" t="s">
        <v>102</v>
      </c>
      <c r="R314" s="46" t="s">
        <v>102</v>
      </c>
      <c r="S314" s="46" t="s">
        <v>102</v>
      </c>
      <c r="T314" s="46" t="s">
        <v>187</v>
      </c>
      <c r="U314" s="51">
        <v>4</v>
      </c>
    </row>
    <row r="315" spans="2:21" ht="14.5" outlineLevel="3">
      <c r="B315" s="44" t="s">
        <v>1425</v>
      </c>
      <c r="C315" s="45" t="s">
        <v>1426</v>
      </c>
      <c r="D315" s="46" t="s">
        <v>469</v>
      </c>
      <c r="E315" s="47" t="s">
        <v>1315</v>
      </c>
      <c r="F315" s="46" t="s">
        <v>1427</v>
      </c>
      <c r="G315" s="47" t="s">
        <v>1428</v>
      </c>
      <c r="H315" s="48">
        <v>840943.09</v>
      </c>
      <c r="I315" s="48">
        <v>3</v>
      </c>
      <c r="J315" s="47" t="s">
        <v>115</v>
      </c>
      <c r="K315" s="49">
        <v>2</v>
      </c>
      <c r="L315" s="49" t="s">
        <v>116</v>
      </c>
      <c r="M315" s="46" t="s">
        <v>117</v>
      </c>
      <c r="N315" s="50">
        <v>0</v>
      </c>
      <c r="O315" s="50">
        <v>0</v>
      </c>
      <c r="P315" s="50">
        <v>0</v>
      </c>
      <c r="Q315" s="46" t="s">
        <v>102</v>
      </c>
      <c r="R315" s="46" t="s">
        <v>102</v>
      </c>
      <c r="S315" s="46" t="s">
        <v>102</v>
      </c>
      <c r="T315" s="46" t="s">
        <v>259</v>
      </c>
      <c r="U315" s="51">
        <v>4</v>
      </c>
    </row>
    <row r="316" spans="2:21" ht="14.5" outlineLevel="3">
      <c r="B316" s="44" t="s">
        <v>1429</v>
      </c>
      <c r="C316" s="45" t="s">
        <v>1430</v>
      </c>
      <c r="D316" s="46" t="s">
        <v>469</v>
      </c>
      <c r="E316" s="47" t="s">
        <v>1315</v>
      </c>
      <c r="F316" s="46" t="s">
        <v>1431</v>
      </c>
      <c r="G316" s="47" t="s">
        <v>1432</v>
      </c>
      <c r="H316" s="48">
        <v>140864.89000000001</v>
      </c>
      <c r="I316" s="48">
        <v>3</v>
      </c>
      <c r="J316" s="47" t="s">
        <v>115</v>
      </c>
      <c r="K316" s="49">
        <v>2</v>
      </c>
      <c r="L316" s="49" t="s">
        <v>116</v>
      </c>
      <c r="M316" s="46" t="s">
        <v>117</v>
      </c>
      <c r="N316" s="50">
        <v>0</v>
      </c>
      <c r="O316" s="50">
        <v>0</v>
      </c>
      <c r="P316" s="50">
        <v>0</v>
      </c>
      <c r="Q316" s="46" t="s">
        <v>102</v>
      </c>
      <c r="R316" s="46" t="s">
        <v>102</v>
      </c>
      <c r="S316" s="46" t="s">
        <v>102</v>
      </c>
      <c r="T316" s="46" t="s">
        <v>192</v>
      </c>
      <c r="U316" s="51">
        <v>4</v>
      </c>
    </row>
    <row r="317" spans="2:21" ht="14.5" outlineLevel="3">
      <c r="B317" s="44" t="s">
        <v>1433</v>
      </c>
      <c r="C317" s="45" t="s">
        <v>1434</v>
      </c>
      <c r="D317" s="46" t="s">
        <v>392</v>
      </c>
      <c r="E317" s="47" t="s">
        <v>1315</v>
      </c>
      <c r="F317" s="46" t="s">
        <v>1435</v>
      </c>
      <c r="G317" s="47" t="s">
        <v>1436</v>
      </c>
      <c r="H317" s="48">
        <v>42475.38</v>
      </c>
      <c r="I317" s="48">
        <v>1</v>
      </c>
      <c r="J317" s="47" t="s">
        <v>115</v>
      </c>
      <c r="K317" s="49">
        <v>2</v>
      </c>
      <c r="L317" s="49" t="s">
        <v>116</v>
      </c>
      <c r="M317" s="46" t="s">
        <v>117</v>
      </c>
      <c r="N317" s="50">
        <v>0</v>
      </c>
      <c r="O317" s="50">
        <v>0</v>
      </c>
      <c r="P317" s="50">
        <v>0</v>
      </c>
      <c r="Q317" s="46" t="s">
        <v>102</v>
      </c>
      <c r="R317" s="46" t="s">
        <v>102</v>
      </c>
      <c r="S317" s="46" t="s">
        <v>102</v>
      </c>
      <c r="T317" s="46" t="s">
        <v>615</v>
      </c>
      <c r="U317" s="51">
        <v>4</v>
      </c>
    </row>
    <row r="318" spans="2:21" ht="14.5" outlineLevel="3">
      <c r="B318" s="44" t="s">
        <v>1437</v>
      </c>
      <c r="C318" s="45" t="s">
        <v>1438</v>
      </c>
      <c r="D318" s="46" t="s">
        <v>469</v>
      </c>
      <c r="E318" s="47" t="s">
        <v>1315</v>
      </c>
      <c r="F318" s="46" t="s">
        <v>1439</v>
      </c>
      <c r="G318" s="47" t="s">
        <v>1440</v>
      </c>
      <c r="H318" s="48">
        <v>218.12</v>
      </c>
      <c r="I318" s="48">
        <v>3</v>
      </c>
      <c r="J318" s="47" t="s">
        <v>115</v>
      </c>
      <c r="K318" s="49">
        <v>2</v>
      </c>
      <c r="L318" s="49" t="s">
        <v>116</v>
      </c>
      <c r="M318" s="46" t="s">
        <v>117</v>
      </c>
      <c r="N318" s="50">
        <v>0</v>
      </c>
      <c r="O318" s="50">
        <v>0</v>
      </c>
      <c r="P318" s="50">
        <v>0</v>
      </c>
      <c r="Q318" s="46" t="s">
        <v>102</v>
      </c>
      <c r="R318" s="46" t="s">
        <v>102</v>
      </c>
      <c r="S318" s="46" t="s">
        <v>102</v>
      </c>
      <c r="T318" s="46" t="s">
        <v>268</v>
      </c>
      <c r="U318" s="51">
        <v>4</v>
      </c>
    </row>
    <row r="319" spans="2:21" ht="14.5" outlineLevel="3">
      <c r="B319" s="44" t="s">
        <v>1441</v>
      </c>
      <c r="C319" s="45" t="s">
        <v>1442</v>
      </c>
      <c r="D319" s="46" t="s">
        <v>392</v>
      </c>
      <c r="E319" s="47" t="s">
        <v>1315</v>
      </c>
      <c r="F319" s="46" t="s">
        <v>1443</v>
      </c>
      <c r="G319" s="47" t="s">
        <v>1444</v>
      </c>
      <c r="H319" s="48">
        <v>327971.94</v>
      </c>
      <c r="I319" s="48">
        <v>1</v>
      </c>
      <c r="J319" s="47" t="s">
        <v>115</v>
      </c>
      <c r="K319" s="49">
        <v>2</v>
      </c>
      <c r="L319" s="49" t="s">
        <v>116</v>
      </c>
      <c r="M319" s="46" t="s">
        <v>117</v>
      </c>
      <c r="N319" s="50">
        <v>0</v>
      </c>
      <c r="O319" s="50">
        <v>0</v>
      </c>
      <c r="P319" s="50">
        <v>0</v>
      </c>
      <c r="Q319" s="46" t="s">
        <v>102</v>
      </c>
      <c r="R319" s="46" t="s">
        <v>102</v>
      </c>
      <c r="S319" s="46" t="s">
        <v>102</v>
      </c>
      <c r="T319" s="46" t="s">
        <v>273</v>
      </c>
      <c r="U319" s="51">
        <v>4</v>
      </c>
    </row>
    <row r="320" spans="2:21" ht="14.5" outlineLevel="2">
      <c r="B320" s="36" t="s">
        <v>1445</v>
      </c>
      <c r="C320" s="37" t="s">
        <v>1446</v>
      </c>
      <c r="D320" s="38" t="s">
        <v>102</v>
      </c>
      <c r="E320" s="39" t="s">
        <v>102</v>
      </c>
      <c r="F320" s="38" t="s">
        <v>102</v>
      </c>
      <c r="G320" s="39" t="s">
        <v>102</v>
      </c>
      <c r="H320" s="40">
        <v>0</v>
      </c>
      <c r="I320" s="40">
        <v>0</v>
      </c>
      <c r="J320" s="39" t="s">
        <v>102</v>
      </c>
      <c r="K320" s="41">
        <v>0</v>
      </c>
      <c r="L320" s="41" t="s">
        <v>102</v>
      </c>
      <c r="M320" s="38" t="s">
        <v>102</v>
      </c>
      <c r="N320" s="42">
        <v>0</v>
      </c>
      <c r="O320" s="42">
        <v>0</v>
      </c>
      <c r="P320" s="42">
        <v>0</v>
      </c>
      <c r="Q320" s="38" t="s">
        <v>102</v>
      </c>
      <c r="R320" s="38" t="s">
        <v>102</v>
      </c>
      <c r="S320" s="38" t="s">
        <v>1447</v>
      </c>
      <c r="T320" s="38" t="s">
        <v>102</v>
      </c>
      <c r="U320" s="43">
        <v>3</v>
      </c>
    </row>
    <row r="321" spans="2:21" ht="14.5" outlineLevel="3">
      <c r="B321" s="44" t="s">
        <v>1448</v>
      </c>
      <c r="C321" s="45" t="s">
        <v>1449</v>
      </c>
      <c r="D321" s="46" t="s">
        <v>469</v>
      </c>
      <c r="E321" s="47" t="s">
        <v>1315</v>
      </c>
      <c r="F321" s="46" t="s">
        <v>1450</v>
      </c>
      <c r="G321" s="47" t="s">
        <v>1451</v>
      </c>
      <c r="H321" s="48">
        <v>1376986.36</v>
      </c>
      <c r="I321" s="48">
        <v>41</v>
      </c>
      <c r="J321" s="47" t="s">
        <v>115</v>
      </c>
      <c r="K321" s="49">
        <v>2</v>
      </c>
      <c r="L321" s="49" t="s">
        <v>116</v>
      </c>
      <c r="M321" s="46" t="s">
        <v>117</v>
      </c>
      <c r="N321" s="50">
        <v>0</v>
      </c>
      <c r="O321" s="50">
        <v>0</v>
      </c>
      <c r="P321" s="50">
        <v>0</v>
      </c>
      <c r="Q321" s="46" t="s">
        <v>102</v>
      </c>
      <c r="R321" s="46" t="s">
        <v>102</v>
      </c>
      <c r="S321" s="46" t="s">
        <v>102</v>
      </c>
      <c r="T321" s="46" t="s">
        <v>192</v>
      </c>
      <c r="U321" s="51">
        <v>4</v>
      </c>
    </row>
    <row r="322" spans="2:21" ht="14.5" outlineLevel="3">
      <c r="B322" s="44" t="s">
        <v>1452</v>
      </c>
      <c r="C322" s="45" t="s">
        <v>1453</v>
      </c>
      <c r="D322" s="46" t="s">
        <v>469</v>
      </c>
      <c r="E322" s="47" t="s">
        <v>1315</v>
      </c>
      <c r="F322" s="46" t="s">
        <v>1454</v>
      </c>
      <c r="G322" s="47" t="s">
        <v>1455</v>
      </c>
      <c r="H322" s="48">
        <v>302788.64</v>
      </c>
      <c r="I322" s="48">
        <v>1</v>
      </c>
      <c r="J322" s="47" t="s">
        <v>115</v>
      </c>
      <c r="K322" s="49">
        <v>2</v>
      </c>
      <c r="L322" s="49" t="s">
        <v>116</v>
      </c>
      <c r="M322" s="46" t="s">
        <v>117</v>
      </c>
      <c r="N322" s="50">
        <v>0</v>
      </c>
      <c r="O322" s="50">
        <v>0</v>
      </c>
      <c r="P322" s="50">
        <v>0</v>
      </c>
      <c r="Q322" s="46" t="s">
        <v>102</v>
      </c>
      <c r="R322" s="46" t="s">
        <v>102</v>
      </c>
      <c r="S322" s="46" t="s">
        <v>102</v>
      </c>
      <c r="T322" s="46" t="s">
        <v>615</v>
      </c>
      <c r="U322" s="51">
        <v>4</v>
      </c>
    </row>
    <row r="323" spans="2:21" ht="14.5" outlineLevel="3">
      <c r="B323" s="44" t="s">
        <v>1456</v>
      </c>
      <c r="C323" s="45" t="s">
        <v>1457</v>
      </c>
      <c r="D323" s="46" t="s">
        <v>392</v>
      </c>
      <c r="E323" s="47" t="s">
        <v>1315</v>
      </c>
      <c r="F323" s="46" t="s">
        <v>1458</v>
      </c>
      <c r="G323" s="47" t="s">
        <v>1459</v>
      </c>
      <c r="H323" s="48">
        <v>25953.86</v>
      </c>
      <c r="I323" s="48">
        <v>1</v>
      </c>
      <c r="J323" s="47" t="s">
        <v>115</v>
      </c>
      <c r="K323" s="49">
        <v>2</v>
      </c>
      <c r="L323" s="49" t="s">
        <v>116</v>
      </c>
      <c r="M323" s="46" t="s">
        <v>117</v>
      </c>
      <c r="N323" s="50">
        <v>0</v>
      </c>
      <c r="O323" s="50">
        <v>0</v>
      </c>
      <c r="P323" s="50">
        <v>0</v>
      </c>
      <c r="Q323" s="46" t="s">
        <v>102</v>
      </c>
      <c r="R323" s="46" t="s">
        <v>102</v>
      </c>
      <c r="S323" s="46" t="s">
        <v>102</v>
      </c>
      <c r="T323" s="46" t="s">
        <v>268</v>
      </c>
      <c r="U323" s="51">
        <v>4</v>
      </c>
    </row>
    <row r="324" spans="2:21" ht="14.5" outlineLevel="3">
      <c r="B324" s="44" t="s">
        <v>1460</v>
      </c>
      <c r="C324" s="45" t="s">
        <v>1461</v>
      </c>
      <c r="D324" s="46" t="s">
        <v>469</v>
      </c>
      <c r="E324" s="47" t="s">
        <v>1315</v>
      </c>
      <c r="F324" s="46" t="s">
        <v>1462</v>
      </c>
      <c r="G324" s="47" t="s">
        <v>1463</v>
      </c>
      <c r="H324" s="48">
        <v>137181.47</v>
      </c>
      <c r="I324" s="48">
        <v>41</v>
      </c>
      <c r="J324" s="47" t="s">
        <v>115</v>
      </c>
      <c r="K324" s="49">
        <v>2</v>
      </c>
      <c r="L324" s="49" t="s">
        <v>116</v>
      </c>
      <c r="M324" s="46" t="s">
        <v>117</v>
      </c>
      <c r="N324" s="50">
        <v>0</v>
      </c>
      <c r="O324" s="50">
        <v>0</v>
      </c>
      <c r="P324" s="50">
        <v>0</v>
      </c>
      <c r="Q324" s="46" t="s">
        <v>102</v>
      </c>
      <c r="R324" s="46" t="s">
        <v>102</v>
      </c>
      <c r="S324" s="46" t="s">
        <v>102</v>
      </c>
      <c r="T324" s="46" t="s">
        <v>208</v>
      </c>
      <c r="U324" s="51">
        <v>4</v>
      </c>
    </row>
    <row r="325" spans="2:21" ht="14.5" outlineLevel="3">
      <c r="B325" s="44" t="s">
        <v>1464</v>
      </c>
      <c r="C325" s="45" t="s">
        <v>1465</v>
      </c>
      <c r="D325" s="46" t="s">
        <v>392</v>
      </c>
      <c r="E325" s="47" t="s">
        <v>1315</v>
      </c>
      <c r="F325" s="46" t="s">
        <v>1466</v>
      </c>
      <c r="G325" s="47" t="s">
        <v>1467</v>
      </c>
      <c r="H325" s="48">
        <v>929067.71</v>
      </c>
      <c r="I325" s="48">
        <v>1</v>
      </c>
      <c r="J325" s="47" t="s">
        <v>115</v>
      </c>
      <c r="K325" s="49">
        <v>2</v>
      </c>
      <c r="L325" s="49" t="s">
        <v>116</v>
      </c>
      <c r="M325" s="46" t="s">
        <v>117</v>
      </c>
      <c r="N325" s="50">
        <v>0</v>
      </c>
      <c r="O325" s="50">
        <v>0</v>
      </c>
      <c r="P325" s="50">
        <v>0</v>
      </c>
      <c r="Q325" s="46" t="s">
        <v>102</v>
      </c>
      <c r="R325" s="46" t="s">
        <v>102</v>
      </c>
      <c r="S325" s="46" t="s">
        <v>102</v>
      </c>
      <c r="T325" s="46" t="s">
        <v>303</v>
      </c>
      <c r="U325" s="51">
        <v>4</v>
      </c>
    </row>
    <row r="326" spans="2:21" ht="14.5" outlineLevel="3">
      <c r="B326" s="44" t="s">
        <v>1468</v>
      </c>
      <c r="C326" s="45" t="s">
        <v>1469</v>
      </c>
      <c r="D326" s="46" t="s">
        <v>392</v>
      </c>
      <c r="E326" s="47" t="s">
        <v>1315</v>
      </c>
      <c r="F326" s="46" t="s">
        <v>1470</v>
      </c>
      <c r="G326" s="47" t="s">
        <v>1471</v>
      </c>
      <c r="H326" s="48">
        <v>25477.18</v>
      </c>
      <c r="I326" s="48">
        <v>1</v>
      </c>
      <c r="J326" s="47" t="s">
        <v>115</v>
      </c>
      <c r="K326" s="49">
        <v>2</v>
      </c>
      <c r="L326" s="49" t="s">
        <v>116</v>
      </c>
      <c r="M326" s="46" t="s">
        <v>117</v>
      </c>
      <c r="N326" s="50">
        <v>0</v>
      </c>
      <c r="O326" s="50">
        <v>0</v>
      </c>
      <c r="P326" s="50">
        <v>0</v>
      </c>
      <c r="Q326" s="46" t="s">
        <v>102</v>
      </c>
      <c r="R326" s="46" t="s">
        <v>102</v>
      </c>
      <c r="S326" s="46" t="s">
        <v>102</v>
      </c>
      <c r="T326" s="46" t="s">
        <v>213</v>
      </c>
      <c r="U326" s="51">
        <v>4</v>
      </c>
    </row>
    <row r="327" spans="2:21" ht="14.5" outlineLevel="3">
      <c r="B327" s="44" t="s">
        <v>1472</v>
      </c>
      <c r="C327" s="45" t="s">
        <v>1473</v>
      </c>
      <c r="D327" s="46" t="s">
        <v>392</v>
      </c>
      <c r="E327" s="47" t="s">
        <v>1315</v>
      </c>
      <c r="F327" s="46" t="s">
        <v>1474</v>
      </c>
      <c r="G327" s="47" t="s">
        <v>1475</v>
      </c>
      <c r="H327" s="48">
        <v>7247499.4900000002</v>
      </c>
      <c r="I327" s="48">
        <v>1</v>
      </c>
      <c r="J327" s="47" t="s">
        <v>115</v>
      </c>
      <c r="K327" s="49">
        <v>2</v>
      </c>
      <c r="L327" s="49" t="s">
        <v>116</v>
      </c>
      <c r="M327" s="46" t="s">
        <v>117</v>
      </c>
      <c r="N327" s="50">
        <v>0</v>
      </c>
      <c r="O327" s="50">
        <v>0</v>
      </c>
      <c r="P327" s="50">
        <v>0</v>
      </c>
      <c r="Q327" s="46" t="s">
        <v>102</v>
      </c>
      <c r="R327" s="46" t="s">
        <v>102</v>
      </c>
      <c r="S327" s="46" t="s">
        <v>102</v>
      </c>
      <c r="T327" s="46" t="s">
        <v>691</v>
      </c>
      <c r="U327" s="51">
        <v>4</v>
      </c>
    </row>
    <row r="328" spans="2:21" ht="14.5" outlineLevel="3">
      <c r="B328" s="44" t="s">
        <v>1476</v>
      </c>
      <c r="C328" s="45" t="s">
        <v>1477</v>
      </c>
      <c r="D328" s="46" t="s">
        <v>392</v>
      </c>
      <c r="E328" s="47" t="s">
        <v>1315</v>
      </c>
      <c r="F328" s="46" t="s">
        <v>1478</v>
      </c>
      <c r="G328" s="47" t="s">
        <v>1479</v>
      </c>
      <c r="H328" s="48">
        <v>5280349.03</v>
      </c>
      <c r="I328" s="48">
        <v>1</v>
      </c>
      <c r="J328" s="47" t="s">
        <v>115</v>
      </c>
      <c r="K328" s="49">
        <v>2</v>
      </c>
      <c r="L328" s="49" t="s">
        <v>116</v>
      </c>
      <c r="M328" s="46" t="s">
        <v>117</v>
      </c>
      <c r="N328" s="50">
        <v>0</v>
      </c>
      <c r="O328" s="50">
        <v>0</v>
      </c>
      <c r="P328" s="50">
        <v>0</v>
      </c>
      <c r="Q328" s="46" t="s">
        <v>102</v>
      </c>
      <c r="R328" s="46" t="s">
        <v>102</v>
      </c>
      <c r="S328" s="46" t="s">
        <v>102</v>
      </c>
      <c r="T328" s="46" t="s">
        <v>695</v>
      </c>
      <c r="U328" s="51">
        <v>4</v>
      </c>
    </row>
    <row r="329" spans="2:21" ht="14.5" outlineLevel="3">
      <c r="B329" s="44" t="s">
        <v>1480</v>
      </c>
      <c r="C329" s="45" t="s">
        <v>1481</v>
      </c>
      <c r="D329" s="46" t="s">
        <v>392</v>
      </c>
      <c r="E329" s="47" t="s">
        <v>1315</v>
      </c>
      <c r="F329" s="46" t="s">
        <v>1482</v>
      </c>
      <c r="G329" s="47" t="s">
        <v>1483</v>
      </c>
      <c r="H329" s="48">
        <v>8301906.4699999997</v>
      </c>
      <c r="I329" s="48">
        <v>1</v>
      </c>
      <c r="J329" s="47" t="s">
        <v>115</v>
      </c>
      <c r="K329" s="49">
        <v>2</v>
      </c>
      <c r="L329" s="49" t="s">
        <v>116</v>
      </c>
      <c r="M329" s="46" t="s">
        <v>117</v>
      </c>
      <c r="N329" s="50">
        <v>0</v>
      </c>
      <c r="O329" s="50">
        <v>0</v>
      </c>
      <c r="P329" s="50">
        <v>0</v>
      </c>
      <c r="Q329" s="46" t="s">
        <v>102</v>
      </c>
      <c r="R329" s="46" t="s">
        <v>102</v>
      </c>
      <c r="S329" s="46" t="s">
        <v>102</v>
      </c>
      <c r="T329" s="46" t="s">
        <v>228</v>
      </c>
      <c r="U329" s="51">
        <v>4</v>
      </c>
    </row>
    <row r="330" spans="2:21" ht="14.5" outlineLevel="3">
      <c r="B330" s="44" t="s">
        <v>1484</v>
      </c>
      <c r="C330" s="45" t="s">
        <v>1485</v>
      </c>
      <c r="D330" s="46" t="s">
        <v>392</v>
      </c>
      <c r="E330" s="47" t="s">
        <v>1315</v>
      </c>
      <c r="F330" s="46" t="s">
        <v>1486</v>
      </c>
      <c r="G330" s="47" t="s">
        <v>1487</v>
      </c>
      <c r="H330" s="48">
        <v>5852568.2800000003</v>
      </c>
      <c r="I330" s="48">
        <v>1</v>
      </c>
      <c r="J330" s="47" t="s">
        <v>115</v>
      </c>
      <c r="K330" s="49">
        <v>2</v>
      </c>
      <c r="L330" s="49" t="s">
        <v>116</v>
      </c>
      <c r="M330" s="46" t="s">
        <v>117</v>
      </c>
      <c r="N330" s="50">
        <v>0</v>
      </c>
      <c r="O330" s="50">
        <v>0</v>
      </c>
      <c r="P330" s="50">
        <v>0</v>
      </c>
      <c r="Q330" s="46" t="s">
        <v>102</v>
      </c>
      <c r="R330" s="46" t="s">
        <v>102</v>
      </c>
      <c r="S330" s="46" t="s">
        <v>102</v>
      </c>
      <c r="T330" s="46" t="s">
        <v>233</v>
      </c>
      <c r="U330" s="51">
        <v>4</v>
      </c>
    </row>
    <row r="331" spans="2:21" ht="14.5" outlineLevel="3">
      <c r="B331" s="44" t="s">
        <v>1488</v>
      </c>
      <c r="C331" s="45" t="s">
        <v>1489</v>
      </c>
      <c r="D331" s="46" t="s">
        <v>392</v>
      </c>
      <c r="E331" s="47" t="s">
        <v>1315</v>
      </c>
      <c r="F331" s="46" t="s">
        <v>1490</v>
      </c>
      <c r="G331" s="47" t="s">
        <v>1491</v>
      </c>
      <c r="H331" s="48">
        <v>8002038.6399999997</v>
      </c>
      <c r="I331" s="48">
        <v>1</v>
      </c>
      <c r="J331" s="47" t="s">
        <v>115</v>
      </c>
      <c r="K331" s="49">
        <v>2</v>
      </c>
      <c r="L331" s="49" t="s">
        <v>116</v>
      </c>
      <c r="M331" s="46" t="s">
        <v>117</v>
      </c>
      <c r="N331" s="50">
        <v>0</v>
      </c>
      <c r="O331" s="50">
        <v>0</v>
      </c>
      <c r="P331" s="50">
        <v>0</v>
      </c>
      <c r="Q331" s="46" t="s">
        <v>102</v>
      </c>
      <c r="R331" s="46" t="s">
        <v>102</v>
      </c>
      <c r="S331" s="46" t="s">
        <v>102</v>
      </c>
      <c r="T331" s="46" t="s">
        <v>708</v>
      </c>
      <c r="U331" s="51">
        <v>4</v>
      </c>
    </row>
    <row r="332" spans="2:21" ht="14.5" outlineLevel="3">
      <c r="B332" s="44" t="s">
        <v>1492</v>
      </c>
      <c r="C332" s="45" t="s">
        <v>1493</v>
      </c>
      <c r="D332" s="46" t="s">
        <v>392</v>
      </c>
      <c r="E332" s="47" t="s">
        <v>1315</v>
      </c>
      <c r="F332" s="46" t="s">
        <v>1494</v>
      </c>
      <c r="G332" s="47" t="s">
        <v>1495</v>
      </c>
      <c r="H332" s="48">
        <v>5682809.8600000003</v>
      </c>
      <c r="I332" s="48">
        <v>1</v>
      </c>
      <c r="J332" s="47" t="s">
        <v>115</v>
      </c>
      <c r="K332" s="49">
        <v>2</v>
      </c>
      <c r="L332" s="49" t="s">
        <v>116</v>
      </c>
      <c r="M332" s="46" t="s">
        <v>117</v>
      </c>
      <c r="N332" s="50">
        <v>0</v>
      </c>
      <c r="O332" s="50">
        <v>0</v>
      </c>
      <c r="P332" s="50">
        <v>0</v>
      </c>
      <c r="Q332" s="46" t="s">
        <v>102</v>
      </c>
      <c r="R332" s="46" t="s">
        <v>102</v>
      </c>
      <c r="S332" s="46" t="s">
        <v>102</v>
      </c>
      <c r="T332" s="46" t="s">
        <v>713</v>
      </c>
      <c r="U332" s="51">
        <v>4</v>
      </c>
    </row>
    <row r="333" spans="2:21" ht="14.5" outlineLevel="3">
      <c r="B333" s="44" t="s">
        <v>1496</v>
      </c>
      <c r="C333" s="45" t="s">
        <v>1497</v>
      </c>
      <c r="D333" s="46" t="s">
        <v>392</v>
      </c>
      <c r="E333" s="47" t="s">
        <v>1315</v>
      </c>
      <c r="F333" s="46" t="s">
        <v>1498</v>
      </c>
      <c r="G333" s="47" t="s">
        <v>1499</v>
      </c>
      <c r="H333" s="48">
        <v>52119.58</v>
      </c>
      <c r="I333" s="48">
        <v>1</v>
      </c>
      <c r="J333" s="47" t="s">
        <v>115</v>
      </c>
      <c r="K333" s="49">
        <v>2</v>
      </c>
      <c r="L333" s="49" t="s">
        <v>116</v>
      </c>
      <c r="M333" s="46" t="s">
        <v>117</v>
      </c>
      <c r="N333" s="50">
        <v>0</v>
      </c>
      <c r="O333" s="50">
        <v>0</v>
      </c>
      <c r="P333" s="50">
        <v>0</v>
      </c>
      <c r="Q333" s="46" t="s">
        <v>102</v>
      </c>
      <c r="R333" s="46" t="s">
        <v>102</v>
      </c>
      <c r="S333" s="46" t="s">
        <v>102</v>
      </c>
      <c r="T333" s="46" t="s">
        <v>238</v>
      </c>
      <c r="U333" s="51">
        <v>4</v>
      </c>
    </row>
    <row r="334" spans="2:21" ht="14.5" outlineLevel="3">
      <c r="B334" s="44" t="s">
        <v>1500</v>
      </c>
      <c r="C334" s="45" t="s">
        <v>1501</v>
      </c>
      <c r="D334" s="46" t="s">
        <v>469</v>
      </c>
      <c r="E334" s="47" t="s">
        <v>1315</v>
      </c>
      <c r="F334" s="46" t="s">
        <v>1502</v>
      </c>
      <c r="G334" s="47" t="s">
        <v>1503</v>
      </c>
      <c r="H334" s="48">
        <v>27260.58</v>
      </c>
      <c r="I334" s="48">
        <v>73</v>
      </c>
      <c r="J334" s="47" t="s">
        <v>115</v>
      </c>
      <c r="K334" s="49">
        <v>2</v>
      </c>
      <c r="L334" s="49" t="s">
        <v>116</v>
      </c>
      <c r="M334" s="46" t="s">
        <v>117</v>
      </c>
      <c r="N334" s="50">
        <v>0</v>
      </c>
      <c r="O334" s="50">
        <v>0</v>
      </c>
      <c r="P334" s="50">
        <v>0</v>
      </c>
      <c r="Q334" s="46" t="s">
        <v>102</v>
      </c>
      <c r="R334" s="46" t="s">
        <v>102</v>
      </c>
      <c r="S334" s="46" t="s">
        <v>102</v>
      </c>
      <c r="T334" s="46" t="s">
        <v>736</v>
      </c>
      <c r="U334" s="51">
        <v>4</v>
      </c>
    </row>
    <row r="335" spans="2:21" ht="14.5" outlineLevel="3">
      <c r="B335" s="44" t="s">
        <v>1504</v>
      </c>
      <c r="C335" s="45" t="s">
        <v>1505</v>
      </c>
      <c r="D335" s="46" t="s">
        <v>469</v>
      </c>
      <c r="E335" s="47" t="s">
        <v>1315</v>
      </c>
      <c r="F335" s="46" t="s">
        <v>1506</v>
      </c>
      <c r="G335" s="47" t="s">
        <v>1507</v>
      </c>
      <c r="H335" s="48">
        <v>22165.14</v>
      </c>
      <c r="I335" s="48">
        <v>31</v>
      </c>
      <c r="J335" s="47" t="s">
        <v>115</v>
      </c>
      <c r="K335" s="49">
        <v>2</v>
      </c>
      <c r="L335" s="49" t="s">
        <v>116</v>
      </c>
      <c r="M335" s="46" t="s">
        <v>117</v>
      </c>
      <c r="N335" s="50">
        <v>0</v>
      </c>
      <c r="O335" s="50">
        <v>0</v>
      </c>
      <c r="P335" s="50">
        <v>0</v>
      </c>
      <c r="Q335" s="46" t="s">
        <v>102</v>
      </c>
      <c r="R335" s="46" t="s">
        <v>102</v>
      </c>
      <c r="S335" s="46" t="s">
        <v>102</v>
      </c>
      <c r="T335" s="46" t="s">
        <v>741</v>
      </c>
      <c r="U335" s="51">
        <v>4</v>
      </c>
    </row>
    <row r="336" spans="2:21" ht="14.5" outlineLevel="3">
      <c r="B336" s="44" t="s">
        <v>1508</v>
      </c>
      <c r="C336" s="45" t="s">
        <v>1509</v>
      </c>
      <c r="D336" s="46" t="s">
        <v>469</v>
      </c>
      <c r="E336" s="47" t="s">
        <v>1315</v>
      </c>
      <c r="F336" s="46" t="s">
        <v>1510</v>
      </c>
      <c r="G336" s="47" t="s">
        <v>1511</v>
      </c>
      <c r="H336" s="48">
        <v>16220.47</v>
      </c>
      <c r="I336" s="48">
        <v>13</v>
      </c>
      <c r="J336" s="47" t="s">
        <v>115</v>
      </c>
      <c r="K336" s="49">
        <v>2</v>
      </c>
      <c r="L336" s="49" t="s">
        <v>116</v>
      </c>
      <c r="M336" s="46" t="s">
        <v>117</v>
      </c>
      <c r="N336" s="50">
        <v>0</v>
      </c>
      <c r="O336" s="50">
        <v>0</v>
      </c>
      <c r="P336" s="50">
        <v>0</v>
      </c>
      <c r="Q336" s="46" t="s">
        <v>102</v>
      </c>
      <c r="R336" s="46" t="s">
        <v>102</v>
      </c>
      <c r="S336" s="46" t="s">
        <v>102</v>
      </c>
      <c r="T336" s="46" t="s">
        <v>243</v>
      </c>
      <c r="U336" s="51">
        <v>4</v>
      </c>
    </row>
    <row r="337" spans="2:21" ht="14.5" outlineLevel="3">
      <c r="B337" s="44" t="s">
        <v>1512</v>
      </c>
      <c r="C337" s="45" t="s">
        <v>1513</v>
      </c>
      <c r="D337" s="46" t="s">
        <v>469</v>
      </c>
      <c r="E337" s="47" t="s">
        <v>1315</v>
      </c>
      <c r="F337" s="46" t="s">
        <v>1514</v>
      </c>
      <c r="G337" s="47" t="s">
        <v>1515</v>
      </c>
      <c r="H337" s="48">
        <v>174151.96</v>
      </c>
      <c r="I337" s="48">
        <v>2</v>
      </c>
      <c r="J337" s="47" t="s">
        <v>115</v>
      </c>
      <c r="K337" s="49">
        <v>2</v>
      </c>
      <c r="L337" s="49" t="s">
        <v>116</v>
      </c>
      <c r="M337" s="46" t="s">
        <v>117</v>
      </c>
      <c r="N337" s="50">
        <v>0</v>
      </c>
      <c r="O337" s="50">
        <v>0</v>
      </c>
      <c r="P337" s="50">
        <v>0</v>
      </c>
      <c r="Q337" s="46" t="s">
        <v>102</v>
      </c>
      <c r="R337" s="46" t="s">
        <v>102</v>
      </c>
      <c r="S337" s="46" t="s">
        <v>102</v>
      </c>
      <c r="T337" s="46" t="s">
        <v>750</v>
      </c>
      <c r="U337" s="51">
        <v>4</v>
      </c>
    </row>
    <row r="338" spans="2:21" ht="14.5" outlineLevel="3">
      <c r="B338" s="44" t="s">
        <v>1516</v>
      </c>
      <c r="C338" s="45" t="s">
        <v>1517</v>
      </c>
      <c r="D338" s="46" t="s">
        <v>469</v>
      </c>
      <c r="E338" s="47" t="s">
        <v>1315</v>
      </c>
      <c r="F338" s="46" t="s">
        <v>1518</v>
      </c>
      <c r="G338" s="47" t="s">
        <v>1519</v>
      </c>
      <c r="H338" s="48">
        <v>171180.05</v>
      </c>
      <c r="I338" s="48">
        <v>2</v>
      </c>
      <c r="J338" s="47" t="s">
        <v>115</v>
      </c>
      <c r="K338" s="49">
        <v>2</v>
      </c>
      <c r="L338" s="49" t="s">
        <v>116</v>
      </c>
      <c r="M338" s="46" t="s">
        <v>117</v>
      </c>
      <c r="N338" s="50">
        <v>0</v>
      </c>
      <c r="O338" s="50">
        <v>0</v>
      </c>
      <c r="P338" s="50">
        <v>0</v>
      </c>
      <c r="Q338" s="46" t="s">
        <v>102</v>
      </c>
      <c r="R338" s="46" t="s">
        <v>102</v>
      </c>
      <c r="S338" s="46" t="s">
        <v>102</v>
      </c>
      <c r="T338" s="46" t="s">
        <v>755</v>
      </c>
      <c r="U338" s="51">
        <v>4</v>
      </c>
    </row>
    <row r="339" spans="2:21" ht="14.5" outlineLevel="3">
      <c r="B339" s="44" t="s">
        <v>1520</v>
      </c>
      <c r="C339" s="45" t="s">
        <v>1521</v>
      </c>
      <c r="D339" s="46" t="s">
        <v>469</v>
      </c>
      <c r="E339" s="47" t="s">
        <v>1315</v>
      </c>
      <c r="F339" s="46" t="s">
        <v>1522</v>
      </c>
      <c r="G339" s="47" t="s">
        <v>1523</v>
      </c>
      <c r="H339" s="48">
        <v>72523.679999999993</v>
      </c>
      <c r="I339" s="48">
        <v>27</v>
      </c>
      <c r="J339" s="47" t="s">
        <v>115</v>
      </c>
      <c r="K339" s="49">
        <v>2</v>
      </c>
      <c r="L339" s="49" t="s">
        <v>116</v>
      </c>
      <c r="M339" s="46" t="s">
        <v>117</v>
      </c>
      <c r="N339" s="50">
        <v>0</v>
      </c>
      <c r="O339" s="50">
        <v>0</v>
      </c>
      <c r="P339" s="50">
        <v>0</v>
      </c>
      <c r="Q339" s="46" t="s">
        <v>102</v>
      </c>
      <c r="R339" s="46" t="s">
        <v>102</v>
      </c>
      <c r="S339" s="46" t="s">
        <v>102</v>
      </c>
      <c r="T339" s="46" t="s">
        <v>760</v>
      </c>
      <c r="U339" s="51">
        <v>4</v>
      </c>
    </row>
    <row r="340" spans="2:21" ht="14.5" outlineLevel="3">
      <c r="B340" s="44" t="s">
        <v>1524</v>
      </c>
      <c r="C340" s="45" t="s">
        <v>1525</v>
      </c>
      <c r="D340" s="46" t="s">
        <v>469</v>
      </c>
      <c r="E340" s="47" t="s">
        <v>1315</v>
      </c>
      <c r="F340" s="46" t="s">
        <v>1526</v>
      </c>
      <c r="G340" s="47" t="s">
        <v>1527</v>
      </c>
      <c r="H340" s="48">
        <v>208982.36</v>
      </c>
      <c r="I340" s="48">
        <v>6</v>
      </c>
      <c r="J340" s="47" t="s">
        <v>115</v>
      </c>
      <c r="K340" s="49">
        <v>2</v>
      </c>
      <c r="L340" s="49" t="s">
        <v>116</v>
      </c>
      <c r="M340" s="46" t="s">
        <v>117</v>
      </c>
      <c r="N340" s="50">
        <v>0</v>
      </c>
      <c r="O340" s="50">
        <v>0</v>
      </c>
      <c r="P340" s="50">
        <v>0</v>
      </c>
      <c r="Q340" s="46" t="s">
        <v>102</v>
      </c>
      <c r="R340" s="46" t="s">
        <v>102</v>
      </c>
      <c r="S340" s="46" t="s">
        <v>102</v>
      </c>
      <c r="T340" s="46" t="s">
        <v>765</v>
      </c>
      <c r="U340" s="51">
        <v>4</v>
      </c>
    </row>
    <row r="341" spans="2:21" ht="14.5" outlineLevel="3">
      <c r="B341" s="44" t="s">
        <v>1528</v>
      </c>
      <c r="C341" s="45" t="s">
        <v>1529</v>
      </c>
      <c r="D341" s="46" t="s">
        <v>458</v>
      </c>
      <c r="E341" s="47" t="s">
        <v>1315</v>
      </c>
      <c r="F341" s="46" t="s">
        <v>1530</v>
      </c>
      <c r="G341" s="47" t="s">
        <v>1531</v>
      </c>
      <c r="H341" s="48">
        <v>6539.14</v>
      </c>
      <c r="I341" s="48">
        <v>416</v>
      </c>
      <c r="J341" s="47" t="s">
        <v>115</v>
      </c>
      <c r="K341" s="49">
        <v>2</v>
      </c>
      <c r="L341" s="49" t="s">
        <v>116</v>
      </c>
      <c r="M341" s="46" t="s">
        <v>117</v>
      </c>
      <c r="N341" s="50">
        <v>0</v>
      </c>
      <c r="O341" s="50">
        <v>0</v>
      </c>
      <c r="P341" s="50">
        <v>0</v>
      </c>
      <c r="Q341" s="46" t="s">
        <v>102</v>
      </c>
      <c r="R341" s="46" t="s">
        <v>102</v>
      </c>
      <c r="S341" s="46" t="s">
        <v>102</v>
      </c>
      <c r="T341" s="46" t="s">
        <v>770</v>
      </c>
      <c r="U341" s="51">
        <v>4</v>
      </c>
    </row>
    <row r="342" spans="2:21" ht="14.5" outlineLevel="3">
      <c r="B342" s="44" t="s">
        <v>1532</v>
      </c>
      <c r="C342" s="45" t="s">
        <v>1533</v>
      </c>
      <c r="D342" s="46" t="s">
        <v>458</v>
      </c>
      <c r="E342" s="47" t="s">
        <v>1315</v>
      </c>
      <c r="F342" s="46" t="s">
        <v>1534</v>
      </c>
      <c r="G342" s="47" t="s">
        <v>1535</v>
      </c>
      <c r="H342" s="48">
        <v>9966.25</v>
      </c>
      <c r="I342" s="48">
        <v>54</v>
      </c>
      <c r="J342" s="47" t="s">
        <v>115</v>
      </c>
      <c r="K342" s="49">
        <v>2</v>
      </c>
      <c r="L342" s="49" t="s">
        <v>116</v>
      </c>
      <c r="M342" s="46" t="s">
        <v>117</v>
      </c>
      <c r="N342" s="50">
        <v>0</v>
      </c>
      <c r="O342" s="50">
        <v>0</v>
      </c>
      <c r="P342" s="50">
        <v>0</v>
      </c>
      <c r="Q342" s="46" t="s">
        <v>102</v>
      </c>
      <c r="R342" s="46" t="s">
        <v>102</v>
      </c>
      <c r="S342" s="46" t="s">
        <v>102</v>
      </c>
      <c r="T342" s="46" t="s">
        <v>774</v>
      </c>
      <c r="U342" s="51">
        <v>4</v>
      </c>
    </row>
    <row r="343" spans="2:21" ht="14.5" outlineLevel="3">
      <c r="B343" s="44" t="s">
        <v>1536</v>
      </c>
      <c r="C343" s="45" t="s">
        <v>1537</v>
      </c>
      <c r="D343" s="46" t="s">
        <v>392</v>
      </c>
      <c r="E343" s="47" t="s">
        <v>1315</v>
      </c>
      <c r="F343" s="46" t="s">
        <v>1538</v>
      </c>
      <c r="G343" s="47" t="s">
        <v>1539</v>
      </c>
      <c r="H343" s="48">
        <v>152460.38</v>
      </c>
      <c r="I343" s="48">
        <v>1</v>
      </c>
      <c r="J343" s="47" t="s">
        <v>115</v>
      </c>
      <c r="K343" s="49">
        <v>2</v>
      </c>
      <c r="L343" s="49" t="s">
        <v>116</v>
      </c>
      <c r="M343" s="46" t="s">
        <v>117</v>
      </c>
      <c r="N343" s="50">
        <v>0</v>
      </c>
      <c r="O343" s="50">
        <v>0</v>
      </c>
      <c r="P343" s="50">
        <v>0</v>
      </c>
      <c r="Q343" s="46" t="s">
        <v>102</v>
      </c>
      <c r="R343" s="46" t="s">
        <v>102</v>
      </c>
      <c r="S343" s="46" t="s">
        <v>102</v>
      </c>
      <c r="T343" s="46" t="s">
        <v>778</v>
      </c>
      <c r="U343" s="51">
        <v>4</v>
      </c>
    </row>
    <row r="344" spans="2:21" ht="14.5" outlineLevel="3">
      <c r="B344" s="44" t="s">
        <v>1540</v>
      </c>
      <c r="C344" s="45" t="s">
        <v>1541</v>
      </c>
      <c r="D344" s="46" t="s">
        <v>458</v>
      </c>
      <c r="E344" s="47" t="s">
        <v>1315</v>
      </c>
      <c r="F344" s="46" t="s">
        <v>1542</v>
      </c>
      <c r="G344" s="47" t="s">
        <v>1543</v>
      </c>
      <c r="H344" s="48">
        <v>2314.11</v>
      </c>
      <c r="I344" s="48">
        <v>385</v>
      </c>
      <c r="J344" s="47" t="s">
        <v>115</v>
      </c>
      <c r="K344" s="49">
        <v>2</v>
      </c>
      <c r="L344" s="49" t="s">
        <v>116</v>
      </c>
      <c r="M344" s="46" t="s">
        <v>117</v>
      </c>
      <c r="N344" s="50">
        <v>0</v>
      </c>
      <c r="O344" s="50">
        <v>0</v>
      </c>
      <c r="P344" s="50">
        <v>0</v>
      </c>
      <c r="Q344" s="46" t="s">
        <v>102</v>
      </c>
      <c r="R344" s="46" t="s">
        <v>102</v>
      </c>
      <c r="S344" s="46" t="s">
        <v>102</v>
      </c>
      <c r="T344" s="46" t="s">
        <v>432</v>
      </c>
      <c r="U344" s="51">
        <v>4</v>
      </c>
    </row>
    <row r="345" spans="2:21" ht="14.5" outlineLevel="3">
      <c r="B345" s="44" t="s">
        <v>1544</v>
      </c>
      <c r="C345" s="45" t="s">
        <v>1545</v>
      </c>
      <c r="D345" s="46" t="s">
        <v>458</v>
      </c>
      <c r="E345" s="47" t="s">
        <v>1315</v>
      </c>
      <c r="F345" s="46" t="s">
        <v>1546</v>
      </c>
      <c r="G345" s="47" t="s">
        <v>1547</v>
      </c>
      <c r="H345" s="48">
        <v>3150.56</v>
      </c>
      <c r="I345" s="48">
        <v>165</v>
      </c>
      <c r="J345" s="47" t="s">
        <v>115</v>
      </c>
      <c r="K345" s="49">
        <v>2</v>
      </c>
      <c r="L345" s="49" t="s">
        <v>116</v>
      </c>
      <c r="M345" s="46" t="s">
        <v>117</v>
      </c>
      <c r="N345" s="50">
        <v>0</v>
      </c>
      <c r="O345" s="50">
        <v>0</v>
      </c>
      <c r="P345" s="50">
        <v>0</v>
      </c>
      <c r="Q345" s="46" t="s">
        <v>102</v>
      </c>
      <c r="R345" s="46" t="s">
        <v>102</v>
      </c>
      <c r="S345" s="46" t="s">
        <v>102</v>
      </c>
      <c r="T345" s="46" t="s">
        <v>436</v>
      </c>
      <c r="U345" s="51">
        <v>4</v>
      </c>
    </row>
    <row r="346" spans="2:21" ht="14.5" outlineLevel="2">
      <c r="B346" s="36" t="s">
        <v>1548</v>
      </c>
      <c r="C346" s="37" t="s">
        <v>1549</v>
      </c>
      <c r="D346" s="38" t="s">
        <v>102</v>
      </c>
      <c r="E346" s="39" t="s">
        <v>102</v>
      </c>
      <c r="F346" s="38" t="s">
        <v>102</v>
      </c>
      <c r="G346" s="39" t="s">
        <v>102</v>
      </c>
      <c r="H346" s="40">
        <v>0</v>
      </c>
      <c r="I346" s="40">
        <v>0</v>
      </c>
      <c r="J346" s="39" t="s">
        <v>102</v>
      </c>
      <c r="K346" s="41">
        <v>0</v>
      </c>
      <c r="L346" s="41" t="s">
        <v>102</v>
      </c>
      <c r="M346" s="38" t="s">
        <v>102</v>
      </c>
      <c r="N346" s="42">
        <v>0</v>
      </c>
      <c r="O346" s="42">
        <v>0</v>
      </c>
      <c r="P346" s="42">
        <v>0</v>
      </c>
      <c r="Q346" s="38" t="s">
        <v>102</v>
      </c>
      <c r="R346" s="38" t="s">
        <v>102</v>
      </c>
      <c r="S346" s="38" t="s">
        <v>1550</v>
      </c>
      <c r="T346" s="38" t="s">
        <v>102</v>
      </c>
      <c r="U346" s="43">
        <v>3</v>
      </c>
    </row>
    <row r="347" spans="2:21" ht="14.5" outlineLevel="3">
      <c r="B347" s="44" t="s">
        <v>1551</v>
      </c>
      <c r="C347" s="45" t="s">
        <v>1552</v>
      </c>
      <c r="D347" s="46" t="s">
        <v>469</v>
      </c>
      <c r="E347" s="47" t="s">
        <v>1315</v>
      </c>
      <c r="F347" s="46" t="s">
        <v>1553</v>
      </c>
      <c r="G347" s="47" t="s">
        <v>1554</v>
      </c>
      <c r="H347" s="48">
        <v>178789.62</v>
      </c>
      <c r="I347" s="48">
        <v>1</v>
      </c>
      <c r="J347" s="47" t="s">
        <v>115</v>
      </c>
      <c r="K347" s="49">
        <v>2</v>
      </c>
      <c r="L347" s="49" t="s">
        <v>116</v>
      </c>
      <c r="M347" s="46" t="s">
        <v>117</v>
      </c>
      <c r="N347" s="50">
        <v>0</v>
      </c>
      <c r="O347" s="50">
        <v>0</v>
      </c>
      <c r="P347" s="50">
        <v>0</v>
      </c>
      <c r="Q347" s="46" t="s">
        <v>102</v>
      </c>
      <c r="R347" s="46" t="s">
        <v>102</v>
      </c>
      <c r="S347" s="46" t="s">
        <v>102</v>
      </c>
      <c r="T347" s="46" t="s">
        <v>118</v>
      </c>
      <c r="U347" s="51">
        <v>4</v>
      </c>
    </row>
    <row r="348" spans="2:21" ht="14.5" outlineLevel="3">
      <c r="B348" s="44" t="s">
        <v>1555</v>
      </c>
      <c r="C348" s="45" t="s">
        <v>1556</v>
      </c>
      <c r="D348" s="46" t="s">
        <v>469</v>
      </c>
      <c r="E348" s="47" t="s">
        <v>1315</v>
      </c>
      <c r="F348" s="46" t="s">
        <v>1557</v>
      </c>
      <c r="G348" s="47" t="s">
        <v>1558</v>
      </c>
      <c r="H348" s="48">
        <v>178789.62</v>
      </c>
      <c r="I348" s="48">
        <v>1</v>
      </c>
      <c r="J348" s="47" t="s">
        <v>115</v>
      </c>
      <c r="K348" s="49">
        <v>2</v>
      </c>
      <c r="L348" s="49" t="s">
        <v>116</v>
      </c>
      <c r="M348" s="46" t="s">
        <v>117</v>
      </c>
      <c r="N348" s="50">
        <v>0</v>
      </c>
      <c r="O348" s="50">
        <v>0</v>
      </c>
      <c r="P348" s="50">
        <v>0</v>
      </c>
      <c r="Q348" s="46" t="s">
        <v>102</v>
      </c>
      <c r="R348" s="46" t="s">
        <v>102</v>
      </c>
      <c r="S348" s="46" t="s">
        <v>102</v>
      </c>
      <c r="T348" s="46" t="s">
        <v>123</v>
      </c>
      <c r="U348" s="51">
        <v>4</v>
      </c>
    </row>
    <row r="349" spans="2:21" ht="14.5" outlineLevel="3">
      <c r="B349" s="44" t="s">
        <v>1559</v>
      </c>
      <c r="C349" s="45" t="s">
        <v>1560</v>
      </c>
      <c r="D349" s="46" t="s">
        <v>458</v>
      </c>
      <c r="E349" s="47" t="s">
        <v>1315</v>
      </c>
      <c r="F349" s="46" t="s">
        <v>1561</v>
      </c>
      <c r="G349" s="47" t="s">
        <v>1562</v>
      </c>
      <c r="H349" s="48">
        <v>49117.87</v>
      </c>
      <c r="I349" s="48">
        <v>1</v>
      </c>
      <c r="J349" s="47" t="s">
        <v>115</v>
      </c>
      <c r="K349" s="49">
        <v>2</v>
      </c>
      <c r="L349" s="49" t="s">
        <v>116</v>
      </c>
      <c r="M349" s="46" t="s">
        <v>117</v>
      </c>
      <c r="N349" s="50">
        <v>0</v>
      </c>
      <c r="O349" s="50">
        <v>0</v>
      </c>
      <c r="P349" s="50">
        <v>0</v>
      </c>
      <c r="Q349" s="46" t="s">
        <v>102</v>
      </c>
      <c r="R349" s="46" t="s">
        <v>102</v>
      </c>
      <c r="S349" s="46" t="s">
        <v>102</v>
      </c>
      <c r="T349" s="46" t="s">
        <v>128</v>
      </c>
      <c r="U349" s="51">
        <v>4</v>
      </c>
    </row>
    <row r="350" spans="2:21" ht="14.5" outlineLevel="3">
      <c r="B350" s="44" t="s">
        <v>1563</v>
      </c>
      <c r="C350" s="45" t="s">
        <v>1564</v>
      </c>
      <c r="D350" s="46" t="s">
        <v>458</v>
      </c>
      <c r="E350" s="47" t="s">
        <v>1315</v>
      </c>
      <c r="F350" s="46" t="s">
        <v>1565</v>
      </c>
      <c r="G350" s="47" t="s">
        <v>1566</v>
      </c>
      <c r="H350" s="48">
        <v>49117.87</v>
      </c>
      <c r="I350" s="48">
        <v>1</v>
      </c>
      <c r="J350" s="47" t="s">
        <v>115</v>
      </c>
      <c r="K350" s="49">
        <v>2</v>
      </c>
      <c r="L350" s="49" t="s">
        <v>116</v>
      </c>
      <c r="M350" s="46" t="s">
        <v>117</v>
      </c>
      <c r="N350" s="50">
        <v>0</v>
      </c>
      <c r="O350" s="50">
        <v>0</v>
      </c>
      <c r="P350" s="50">
        <v>0</v>
      </c>
      <c r="Q350" s="46" t="s">
        <v>102</v>
      </c>
      <c r="R350" s="46" t="s">
        <v>102</v>
      </c>
      <c r="S350" s="46" t="s">
        <v>102</v>
      </c>
      <c r="T350" s="46" t="s">
        <v>133</v>
      </c>
      <c r="U350" s="51">
        <v>4</v>
      </c>
    </row>
    <row r="351" spans="2:21" ht="14.5" outlineLevel="3">
      <c r="B351" s="44" t="s">
        <v>1567</v>
      </c>
      <c r="C351" s="45" t="s">
        <v>1568</v>
      </c>
      <c r="D351" s="46" t="s">
        <v>469</v>
      </c>
      <c r="E351" s="47" t="s">
        <v>1315</v>
      </c>
      <c r="F351" s="46" t="s">
        <v>1569</v>
      </c>
      <c r="G351" s="47" t="s">
        <v>1570</v>
      </c>
      <c r="H351" s="48">
        <v>139986.47</v>
      </c>
      <c r="I351" s="48">
        <v>1</v>
      </c>
      <c r="J351" s="47" t="s">
        <v>115</v>
      </c>
      <c r="K351" s="49">
        <v>2</v>
      </c>
      <c r="L351" s="49" t="s">
        <v>116</v>
      </c>
      <c r="M351" s="46" t="s">
        <v>117</v>
      </c>
      <c r="N351" s="50">
        <v>0</v>
      </c>
      <c r="O351" s="50">
        <v>0</v>
      </c>
      <c r="P351" s="50">
        <v>0</v>
      </c>
      <c r="Q351" s="46" t="s">
        <v>102</v>
      </c>
      <c r="R351" s="46" t="s">
        <v>102</v>
      </c>
      <c r="S351" s="46" t="s">
        <v>102</v>
      </c>
      <c r="T351" s="46" t="s">
        <v>138</v>
      </c>
      <c r="U351" s="51">
        <v>4</v>
      </c>
    </row>
    <row r="352" spans="2:21" ht="14.5" outlineLevel="3">
      <c r="B352" s="44" t="s">
        <v>1571</v>
      </c>
      <c r="C352" s="45" t="s">
        <v>1572</v>
      </c>
      <c r="D352" s="46" t="s">
        <v>458</v>
      </c>
      <c r="E352" s="47" t="s">
        <v>1315</v>
      </c>
      <c r="F352" s="46" t="s">
        <v>1573</v>
      </c>
      <c r="G352" s="47" t="s">
        <v>1574</v>
      </c>
      <c r="H352" s="48">
        <v>49117.87</v>
      </c>
      <c r="I352" s="48">
        <v>1</v>
      </c>
      <c r="J352" s="47" t="s">
        <v>115</v>
      </c>
      <c r="K352" s="49">
        <v>2</v>
      </c>
      <c r="L352" s="49" t="s">
        <v>116</v>
      </c>
      <c r="M352" s="46" t="s">
        <v>117</v>
      </c>
      <c r="N352" s="50">
        <v>0</v>
      </c>
      <c r="O352" s="50">
        <v>0</v>
      </c>
      <c r="P352" s="50">
        <v>0</v>
      </c>
      <c r="Q352" s="46" t="s">
        <v>102</v>
      </c>
      <c r="R352" s="46" t="s">
        <v>102</v>
      </c>
      <c r="S352" s="46" t="s">
        <v>102</v>
      </c>
      <c r="T352" s="46" t="s">
        <v>143</v>
      </c>
      <c r="U352" s="51">
        <v>4</v>
      </c>
    </row>
    <row r="353" spans="2:21" ht="14.5" outlineLevel="3">
      <c r="B353" s="44" t="s">
        <v>1575</v>
      </c>
      <c r="C353" s="45" t="s">
        <v>1576</v>
      </c>
      <c r="D353" s="46" t="s">
        <v>458</v>
      </c>
      <c r="E353" s="47" t="s">
        <v>1315</v>
      </c>
      <c r="F353" s="46" t="s">
        <v>1577</v>
      </c>
      <c r="G353" s="47" t="s">
        <v>1578</v>
      </c>
      <c r="H353" s="48">
        <v>49117.87</v>
      </c>
      <c r="I353" s="48">
        <v>1</v>
      </c>
      <c r="J353" s="47" t="s">
        <v>115</v>
      </c>
      <c r="K353" s="49">
        <v>2</v>
      </c>
      <c r="L353" s="49" t="s">
        <v>116</v>
      </c>
      <c r="M353" s="46" t="s">
        <v>117</v>
      </c>
      <c r="N353" s="50">
        <v>0</v>
      </c>
      <c r="O353" s="50">
        <v>0</v>
      </c>
      <c r="P353" s="50">
        <v>0</v>
      </c>
      <c r="Q353" s="46" t="s">
        <v>102</v>
      </c>
      <c r="R353" s="46" t="s">
        <v>102</v>
      </c>
      <c r="S353" s="46" t="s">
        <v>102</v>
      </c>
      <c r="T353" s="46" t="s">
        <v>176</v>
      </c>
      <c r="U353" s="51">
        <v>4</v>
      </c>
    </row>
    <row r="354" spans="2:21" ht="14.5" outlineLevel="3">
      <c r="B354" s="44" t="s">
        <v>1579</v>
      </c>
      <c r="C354" s="45" t="s">
        <v>1580</v>
      </c>
      <c r="D354" s="46" t="s">
        <v>469</v>
      </c>
      <c r="E354" s="47" t="s">
        <v>1315</v>
      </c>
      <c r="F354" s="46" t="s">
        <v>1581</v>
      </c>
      <c r="G354" s="47" t="s">
        <v>1582</v>
      </c>
      <c r="H354" s="48">
        <v>112969.48</v>
      </c>
      <c r="I354" s="48">
        <v>1</v>
      </c>
      <c r="J354" s="47" t="s">
        <v>115</v>
      </c>
      <c r="K354" s="49">
        <v>2</v>
      </c>
      <c r="L354" s="49" t="s">
        <v>116</v>
      </c>
      <c r="M354" s="46" t="s">
        <v>117</v>
      </c>
      <c r="N354" s="50">
        <v>0</v>
      </c>
      <c r="O354" s="50">
        <v>0</v>
      </c>
      <c r="P354" s="50">
        <v>0</v>
      </c>
      <c r="Q354" s="46" t="s">
        <v>102</v>
      </c>
      <c r="R354" s="46" t="s">
        <v>102</v>
      </c>
      <c r="S354" s="46" t="s">
        <v>102</v>
      </c>
      <c r="T354" s="46" t="s">
        <v>182</v>
      </c>
      <c r="U354" s="51">
        <v>4</v>
      </c>
    </row>
    <row r="355" spans="2:21" ht="14.5" outlineLevel="3">
      <c r="B355" s="44" t="s">
        <v>1583</v>
      </c>
      <c r="C355" s="45" t="s">
        <v>1584</v>
      </c>
      <c r="D355" s="46" t="s">
        <v>469</v>
      </c>
      <c r="E355" s="47" t="s">
        <v>1315</v>
      </c>
      <c r="F355" s="46" t="s">
        <v>1585</v>
      </c>
      <c r="G355" s="47" t="s">
        <v>1586</v>
      </c>
      <c r="H355" s="48">
        <v>458026.56</v>
      </c>
      <c r="I355" s="48">
        <v>1</v>
      </c>
      <c r="J355" s="47" t="s">
        <v>115</v>
      </c>
      <c r="K355" s="49">
        <v>2</v>
      </c>
      <c r="L355" s="49" t="s">
        <v>116</v>
      </c>
      <c r="M355" s="46" t="s">
        <v>117</v>
      </c>
      <c r="N355" s="50">
        <v>0</v>
      </c>
      <c r="O355" s="50">
        <v>0</v>
      </c>
      <c r="P355" s="50">
        <v>0</v>
      </c>
      <c r="Q355" s="46" t="s">
        <v>102</v>
      </c>
      <c r="R355" s="46" t="s">
        <v>102</v>
      </c>
      <c r="S355" s="46" t="s">
        <v>102</v>
      </c>
      <c r="T355" s="46" t="s">
        <v>187</v>
      </c>
      <c r="U355" s="51">
        <v>4</v>
      </c>
    </row>
    <row r="356" spans="2:21" ht="14.5" outlineLevel="3">
      <c r="B356" s="44" t="s">
        <v>1587</v>
      </c>
      <c r="C356" s="45" t="s">
        <v>1588</v>
      </c>
      <c r="D356" s="46" t="s">
        <v>469</v>
      </c>
      <c r="E356" s="47" t="s">
        <v>1315</v>
      </c>
      <c r="F356" s="46" t="s">
        <v>1589</v>
      </c>
      <c r="G356" s="47" t="s">
        <v>1590</v>
      </c>
      <c r="H356" s="48">
        <v>730632.35</v>
      </c>
      <c r="I356" s="48">
        <v>1</v>
      </c>
      <c r="J356" s="47" t="s">
        <v>115</v>
      </c>
      <c r="K356" s="49">
        <v>2</v>
      </c>
      <c r="L356" s="49" t="s">
        <v>116</v>
      </c>
      <c r="M356" s="46" t="s">
        <v>117</v>
      </c>
      <c r="N356" s="50">
        <v>0</v>
      </c>
      <c r="O356" s="50">
        <v>0</v>
      </c>
      <c r="P356" s="50">
        <v>0</v>
      </c>
      <c r="Q356" s="46" t="s">
        <v>102</v>
      </c>
      <c r="R356" s="46" t="s">
        <v>102</v>
      </c>
      <c r="S356" s="46" t="s">
        <v>102</v>
      </c>
      <c r="T356" s="46" t="s">
        <v>259</v>
      </c>
      <c r="U356" s="51">
        <v>4</v>
      </c>
    </row>
    <row r="357" spans="2:21" ht="14.5" outlineLevel="3">
      <c r="B357" s="44" t="s">
        <v>1591</v>
      </c>
      <c r="C357" s="45" t="s">
        <v>1592</v>
      </c>
      <c r="D357" s="46" t="s">
        <v>469</v>
      </c>
      <c r="E357" s="47" t="s">
        <v>1315</v>
      </c>
      <c r="F357" s="46" t="s">
        <v>1593</v>
      </c>
      <c r="G357" s="47" t="s">
        <v>1594</v>
      </c>
      <c r="H357" s="48">
        <v>71835.02</v>
      </c>
      <c r="I357" s="48">
        <v>1</v>
      </c>
      <c r="J357" s="47" t="s">
        <v>115</v>
      </c>
      <c r="K357" s="49">
        <v>2</v>
      </c>
      <c r="L357" s="49" t="s">
        <v>116</v>
      </c>
      <c r="M357" s="46" t="s">
        <v>117</v>
      </c>
      <c r="N357" s="50">
        <v>0</v>
      </c>
      <c r="O357" s="50">
        <v>0</v>
      </c>
      <c r="P357" s="50">
        <v>0</v>
      </c>
      <c r="Q357" s="46" t="s">
        <v>102</v>
      </c>
      <c r="R357" s="46" t="s">
        <v>102</v>
      </c>
      <c r="S357" s="46" t="s">
        <v>102</v>
      </c>
      <c r="T357" s="46" t="s">
        <v>192</v>
      </c>
      <c r="U357" s="51">
        <v>4</v>
      </c>
    </row>
    <row r="358" spans="2:21" ht="14.5" outlineLevel="3">
      <c r="B358" s="44" t="s">
        <v>1595</v>
      </c>
      <c r="C358" s="45" t="s">
        <v>1596</v>
      </c>
      <c r="D358" s="46" t="s">
        <v>458</v>
      </c>
      <c r="E358" s="47" t="s">
        <v>1315</v>
      </c>
      <c r="F358" s="46" t="s">
        <v>1597</v>
      </c>
      <c r="G358" s="47" t="s">
        <v>1598</v>
      </c>
      <c r="H358" s="48">
        <v>62748.160000000003</v>
      </c>
      <c r="I358" s="48">
        <v>1</v>
      </c>
      <c r="J358" s="47" t="s">
        <v>115</v>
      </c>
      <c r="K358" s="49">
        <v>2</v>
      </c>
      <c r="L358" s="49" t="s">
        <v>116</v>
      </c>
      <c r="M358" s="46" t="s">
        <v>117</v>
      </c>
      <c r="N358" s="50">
        <v>0</v>
      </c>
      <c r="O358" s="50">
        <v>0</v>
      </c>
      <c r="P358" s="50">
        <v>0</v>
      </c>
      <c r="Q358" s="46" t="s">
        <v>102</v>
      </c>
      <c r="R358" s="46" t="s">
        <v>102</v>
      </c>
      <c r="S358" s="46" t="s">
        <v>102</v>
      </c>
      <c r="T358" s="46" t="s">
        <v>615</v>
      </c>
      <c r="U358" s="51">
        <v>4</v>
      </c>
    </row>
    <row r="359" spans="2:21" ht="14.5" outlineLevel="3">
      <c r="B359" s="44" t="s">
        <v>1599</v>
      </c>
      <c r="C359" s="45" t="s">
        <v>1600</v>
      </c>
      <c r="D359" s="46" t="s">
        <v>469</v>
      </c>
      <c r="E359" s="47" t="s">
        <v>1315</v>
      </c>
      <c r="F359" s="46" t="s">
        <v>1601</v>
      </c>
      <c r="G359" s="47" t="s">
        <v>1602</v>
      </c>
      <c r="H359" s="48">
        <v>30944.16</v>
      </c>
      <c r="I359" s="48">
        <v>1</v>
      </c>
      <c r="J359" s="47" t="s">
        <v>115</v>
      </c>
      <c r="K359" s="49">
        <v>2</v>
      </c>
      <c r="L359" s="49" t="s">
        <v>116</v>
      </c>
      <c r="M359" s="46" t="s">
        <v>117</v>
      </c>
      <c r="N359" s="50">
        <v>0</v>
      </c>
      <c r="O359" s="50">
        <v>0</v>
      </c>
      <c r="P359" s="50">
        <v>0</v>
      </c>
      <c r="Q359" s="46" t="s">
        <v>102</v>
      </c>
      <c r="R359" s="46" t="s">
        <v>102</v>
      </c>
      <c r="S359" s="46" t="s">
        <v>102</v>
      </c>
      <c r="T359" s="46" t="s">
        <v>268</v>
      </c>
      <c r="U359" s="51">
        <v>4</v>
      </c>
    </row>
    <row r="360" spans="2:21" ht="14.5" outlineLevel="3">
      <c r="B360" s="44" t="s">
        <v>1603</v>
      </c>
      <c r="C360" s="45" t="s">
        <v>1604</v>
      </c>
      <c r="D360" s="46" t="s">
        <v>469</v>
      </c>
      <c r="E360" s="47" t="s">
        <v>1315</v>
      </c>
      <c r="F360" s="46" t="s">
        <v>1605</v>
      </c>
      <c r="G360" s="47" t="s">
        <v>1606</v>
      </c>
      <c r="H360" s="48">
        <v>8492.39</v>
      </c>
      <c r="I360" s="48">
        <v>1</v>
      </c>
      <c r="J360" s="47" t="s">
        <v>115</v>
      </c>
      <c r="K360" s="49">
        <v>2</v>
      </c>
      <c r="L360" s="49" t="s">
        <v>116</v>
      </c>
      <c r="M360" s="46" t="s">
        <v>117</v>
      </c>
      <c r="N360" s="50">
        <v>0</v>
      </c>
      <c r="O360" s="50">
        <v>0</v>
      </c>
      <c r="P360" s="50">
        <v>0</v>
      </c>
      <c r="Q360" s="46" t="s">
        <v>102</v>
      </c>
      <c r="R360" s="46" t="s">
        <v>102</v>
      </c>
      <c r="S360" s="46" t="s">
        <v>102</v>
      </c>
      <c r="T360" s="46" t="s">
        <v>273</v>
      </c>
      <c r="U360" s="51">
        <v>4</v>
      </c>
    </row>
    <row r="361" spans="2:21" ht="14.5" outlineLevel="3">
      <c r="B361" s="44" t="s">
        <v>1607</v>
      </c>
      <c r="C361" s="45" t="s">
        <v>1608</v>
      </c>
      <c r="D361" s="46" t="s">
        <v>469</v>
      </c>
      <c r="E361" s="47" t="s">
        <v>1315</v>
      </c>
      <c r="F361" s="46" t="s">
        <v>1609</v>
      </c>
      <c r="G361" s="47" t="s">
        <v>1610</v>
      </c>
      <c r="H361" s="48">
        <v>308209.58</v>
      </c>
      <c r="I361" s="48">
        <v>3</v>
      </c>
      <c r="J361" s="47" t="s">
        <v>115</v>
      </c>
      <c r="K361" s="49">
        <v>2</v>
      </c>
      <c r="L361" s="49" t="s">
        <v>116</v>
      </c>
      <c r="M361" s="46" t="s">
        <v>117</v>
      </c>
      <c r="N361" s="50">
        <v>0</v>
      </c>
      <c r="O361" s="50">
        <v>0</v>
      </c>
      <c r="P361" s="50">
        <v>0</v>
      </c>
      <c r="Q361" s="46" t="s">
        <v>102</v>
      </c>
      <c r="R361" s="46" t="s">
        <v>102</v>
      </c>
      <c r="S361" s="46" t="s">
        <v>102</v>
      </c>
      <c r="T361" s="46" t="s">
        <v>208</v>
      </c>
      <c r="U361" s="51">
        <v>4</v>
      </c>
    </row>
    <row r="362" spans="2:21" ht="14.5" outlineLevel="3">
      <c r="B362" s="44" t="s">
        <v>1611</v>
      </c>
      <c r="C362" s="45" t="s">
        <v>1552</v>
      </c>
      <c r="D362" s="46" t="s">
        <v>469</v>
      </c>
      <c r="E362" s="47" t="s">
        <v>1315</v>
      </c>
      <c r="F362" s="46" t="s">
        <v>1612</v>
      </c>
      <c r="G362" s="47" t="s">
        <v>1554</v>
      </c>
      <c r="H362" s="48">
        <v>103368.69</v>
      </c>
      <c r="I362" s="48">
        <v>3</v>
      </c>
      <c r="J362" s="47" t="s">
        <v>115</v>
      </c>
      <c r="K362" s="49">
        <v>2</v>
      </c>
      <c r="L362" s="49" t="s">
        <v>116</v>
      </c>
      <c r="M362" s="46" t="s">
        <v>117</v>
      </c>
      <c r="N362" s="50">
        <v>0</v>
      </c>
      <c r="O362" s="50">
        <v>0</v>
      </c>
      <c r="P362" s="50">
        <v>0</v>
      </c>
      <c r="Q362" s="46" t="s">
        <v>102</v>
      </c>
      <c r="R362" s="46" t="s">
        <v>102</v>
      </c>
      <c r="S362" s="46" t="s">
        <v>102</v>
      </c>
      <c r="T362" s="46" t="s">
        <v>303</v>
      </c>
      <c r="U362" s="51">
        <v>4</v>
      </c>
    </row>
    <row r="363" spans="2:21" ht="14.5" outlineLevel="3">
      <c r="B363" s="44" t="s">
        <v>1613</v>
      </c>
      <c r="C363" s="45" t="s">
        <v>1556</v>
      </c>
      <c r="D363" s="46" t="s">
        <v>458</v>
      </c>
      <c r="E363" s="47" t="s">
        <v>1315</v>
      </c>
      <c r="F363" s="46" t="s">
        <v>1614</v>
      </c>
      <c r="G363" s="47" t="s">
        <v>1558</v>
      </c>
      <c r="H363" s="48">
        <v>87921.03</v>
      </c>
      <c r="I363" s="48">
        <v>3</v>
      </c>
      <c r="J363" s="47" t="s">
        <v>115</v>
      </c>
      <c r="K363" s="49">
        <v>2</v>
      </c>
      <c r="L363" s="49" t="s">
        <v>116</v>
      </c>
      <c r="M363" s="46" t="s">
        <v>117</v>
      </c>
      <c r="N363" s="50">
        <v>0</v>
      </c>
      <c r="O363" s="50">
        <v>0</v>
      </c>
      <c r="P363" s="50">
        <v>0</v>
      </c>
      <c r="Q363" s="46" t="s">
        <v>102</v>
      </c>
      <c r="R363" s="46" t="s">
        <v>102</v>
      </c>
      <c r="S363" s="46" t="s">
        <v>102</v>
      </c>
      <c r="T363" s="46" t="s">
        <v>213</v>
      </c>
      <c r="U363" s="51">
        <v>4</v>
      </c>
    </row>
    <row r="364" spans="2:21" ht="14.5" outlineLevel="3">
      <c r="B364" s="44" t="s">
        <v>1615</v>
      </c>
      <c r="C364" s="45" t="s">
        <v>1616</v>
      </c>
      <c r="D364" s="46" t="s">
        <v>458</v>
      </c>
      <c r="E364" s="47" t="s">
        <v>1315</v>
      </c>
      <c r="F364" s="46" t="s">
        <v>1617</v>
      </c>
      <c r="G364" s="47" t="s">
        <v>1618</v>
      </c>
      <c r="H364" s="48">
        <v>33742.910000000003</v>
      </c>
      <c r="I364" s="48">
        <v>3</v>
      </c>
      <c r="J364" s="47" t="s">
        <v>115</v>
      </c>
      <c r="K364" s="49">
        <v>2</v>
      </c>
      <c r="L364" s="49" t="s">
        <v>116</v>
      </c>
      <c r="M364" s="46" t="s">
        <v>117</v>
      </c>
      <c r="N364" s="50">
        <v>0</v>
      </c>
      <c r="O364" s="50">
        <v>0</v>
      </c>
      <c r="P364" s="50">
        <v>0</v>
      </c>
      <c r="Q364" s="46" t="s">
        <v>102</v>
      </c>
      <c r="R364" s="46" t="s">
        <v>102</v>
      </c>
      <c r="S364" s="46" t="s">
        <v>102</v>
      </c>
      <c r="T364" s="46" t="s">
        <v>658</v>
      </c>
      <c r="U364" s="51">
        <v>4</v>
      </c>
    </row>
    <row r="365" spans="2:21" ht="14.5" outlineLevel="3">
      <c r="B365" s="44" t="s">
        <v>1619</v>
      </c>
      <c r="C365" s="45" t="s">
        <v>1564</v>
      </c>
      <c r="D365" s="46" t="s">
        <v>469</v>
      </c>
      <c r="E365" s="47" t="s">
        <v>1315</v>
      </c>
      <c r="F365" s="46" t="s">
        <v>1620</v>
      </c>
      <c r="G365" s="47" t="s">
        <v>1566</v>
      </c>
      <c r="H365" s="48">
        <v>41957.43</v>
      </c>
      <c r="I365" s="48">
        <v>3</v>
      </c>
      <c r="J365" s="47" t="s">
        <v>115</v>
      </c>
      <c r="K365" s="49">
        <v>2</v>
      </c>
      <c r="L365" s="49" t="s">
        <v>116</v>
      </c>
      <c r="M365" s="46" t="s">
        <v>117</v>
      </c>
      <c r="N365" s="50">
        <v>0</v>
      </c>
      <c r="O365" s="50">
        <v>0</v>
      </c>
      <c r="P365" s="50">
        <v>0</v>
      </c>
      <c r="Q365" s="46" t="s">
        <v>102</v>
      </c>
      <c r="R365" s="46" t="s">
        <v>102</v>
      </c>
      <c r="S365" s="46" t="s">
        <v>102</v>
      </c>
      <c r="T365" s="46" t="s">
        <v>663</v>
      </c>
      <c r="U365" s="51">
        <v>4</v>
      </c>
    </row>
    <row r="366" spans="2:21" ht="14.5" outlineLevel="3">
      <c r="B366" s="44" t="s">
        <v>1621</v>
      </c>
      <c r="C366" s="45" t="s">
        <v>1568</v>
      </c>
      <c r="D366" s="46" t="s">
        <v>469</v>
      </c>
      <c r="E366" s="47" t="s">
        <v>1315</v>
      </c>
      <c r="F366" s="46" t="s">
        <v>1622</v>
      </c>
      <c r="G366" s="47" t="s">
        <v>1570</v>
      </c>
      <c r="H366" s="48">
        <v>58204.73</v>
      </c>
      <c r="I366" s="48">
        <v>3</v>
      </c>
      <c r="J366" s="47" t="s">
        <v>115</v>
      </c>
      <c r="K366" s="49">
        <v>2</v>
      </c>
      <c r="L366" s="49" t="s">
        <v>116</v>
      </c>
      <c r="M366" s="46" t="s">
        <v>117</v>
      </c>
      <c r="N366" s="50">
        <v>0</v>
      </c>
      <c r="O366" s="50">
        <v>0</v>
      </c>
      <c r="P366" s="50">
        <v>0</v>
      </c>
      <c r="Q366" s="46" t="s">
        <v>102</v>
      </c>
      <c r="R366" s="46" t="s">
        <v>102</v>
      </c>
      <c r="S366" s="46" t="s">
        <v>102</v>
      </c>
      <c r="T366" s="46" t="s">
        <v>668</v>
      </c>
      <c r="U366" s="51">
        <v>4</v>
      </c>
    </row>
    <row r="367" spans="2:21" ht="14.5" outlineLevel="3">
      <c r="B367" s="44" t="s">
        <v>1623</v>
      </c>
      <c r="C367" s="45" t="s">
        <v>1624</v>
      </c>
      <c r="D367" s="46" t="s">
        <v>458</v>
      </c>
      <c r="E367" s="47" t="s">
        <v>1315</v>
      </c>
      <c r="F367" s="46" t="s">
        <v>1625</v>
      </c>
      <c r="G367" s="47" t="s">
        <v>1626</v>
      </c>
      <c r="H367" s="48">
        <v>64277.02</v>
      </c>
      <c r="I367" s="48">
        <v>3</v>
      </c>
      <c r="J367" s="47" t="s">
        <v>115</v>
      </c>
      <c r="K367" s="49">
        <v>2</v>
      </c>
      <c r="L367" s="49" t="s">
        <v>116</v>
      </c>
      <c r="M367" s="46" t="s">
        <v>117</v>
      </c>
      <c r="N367" s="50">
        <v>0</v>
      </c>
      <c r="O367" s="50">
        <v>0</v>
      </c>
      <c r="P367" s="50">
        <v>0</v>
      </c>
      <c r="Q367" s="46" t="s">
        <v>102</v>
      </c>
      <c r="R367" s="46" t="s">
        <v>102</v>
      </c>
      <c r="S367" s="46" t="s">
        <v>102</v>
      </c>
      <c r="T367" s="46" t="s">
        <v>673</v>
      </c>
      <c r="U367" s="51">
        <v>4</v>
      </c>
    </row>
    <row r="368" spans="2:21" ht="14.5" outlineLevel="3">
      <c r="B368" s="44" t="s">
        <v>1627</v>
      </c>
      <c r="C368" s="45" t="s">
        <v>1628</v>
      </c>
      <c r="D368" s="46" t="s">
        <v>458</v>
      </c>
      <c r="E368" s="47" t="s">
        <v>1315</v>
      </c>
      <c r="F368" s="46" t="s">
        <v>1629</v>
      </c>
      <c r="G368" s="47" t="s">
        <v>1630</v>
      </c>
      <c r="H368" s="48">
        <v>32452.57</v>
      </c>
      <c r="I368" s="48">
        <v>3</v>
      </c>
      <c r="J368" s="47" t="s">
        <v>115</v>
      </c>
      <c r="K368" s="49">
        <v>2</v>
      </c>
      <c r="L368" s="49" t="s">
        <v>116</v>
      </c>
      <c r="M368" s="46" t="s">
        <v>117</v>
      </c>
      <c r="N368" s="50">
        <v>0</v>
      </c>
      <c r="O368" s="50">
        <v>0</v>
      </c>
      <c r="P368" s="50">
        <v>0</v>
      </c>
      <c r="Q368" s="46" t="s">
        <v>102</v>
      </c>
      <c r="R368" s="46" t="s">
        <v>102</v>
      </c>
      <c r="S368" s="46" t="s">
        <v>102</v>
      </c>
      <c r="T368" s="46" t="s">
        <v>678</v>
      </c>
      <c r="U368" s="51">
        <v>4</v>
      </c>
    </row>
    <row r="369" spans="2:21" ht="14.5" outlineLevel="3">
      <c r="B369" s="44" t="s">
        <v>1631</v>
      </c>
      <c r="C369" s="45" t="s">
        <v>1632</v>
      </c>
      <c r="D369" s="46" t="s">
        <v>469</v>
      </c>
      <c r="E369" s="47" t="s">
        <v>1315</v>
      </c>
      <c r="F369" s="46" t="s">
        <v>1633</v>
      </c>
      <c r="G369" s="47" t="s">
        <v>1634</v>
      </c>
      <c r="H369" s="48">
        <v>36141.839999999997</v>
      </c>
      <c r="I369" s="48">
        <v>3</v>
      </c>
      <c r="J369" s="47" t="s">
        <v>115</v>
      </c>
      <c r="K369" s="49">
        <v>2</v>
      </c>
      <c r="L369" s="49" t="s">
        <v>116</v>
      </c>
      <c r="M369" s="46" t="s">
        <v>117</v>
      </c>
      <c r="N369" s="50">
        <v>0</v>
      </c>
      <c r="O369" s="50">
        <v>0</v>
      </c>
      <c r="P369" s="50">
        <v>0</v>
      </c>
      <c r="Q369" s="46" t="s">
        <v>102</v>
      </c>
      <c r="R369" s="46" t="s">
        <v>102</v>
      </c>
      <c r="S369" s="46" t="s">
        <v>102</v>
      </c>
      <c r="T369" s="46" t="s">
        <v>218</v>
      </c>
      <c r="U369" s="51">
        <v>4</v>
      </c>
    </row>
    <row r="370" spans="2:21" ht="14.5" outlineLevel="3">
      <c r="B370" s="44" t="s">
        <v>1635</v>
      </c>
      <c r="C370" s="45" t="s">
        <v>1636</v>
      </c>
      <c r="D370" s="46" t="s">
        <v>469</v>
      </c>
      <c r="E370" s="47" t="s">
        <v>1315</v>
      </c>
      <c r="F370" s="46" t="s">
        <v>1637</v>
      </c>
      <c r="G370" s="47" t="s">
        <v>1638</v>
      </c>
      <c r="H370" s="48">
        <v>112969.48</v>
      </c>
      <c r="I370" s="48">
        <v>3</v>
      </c>
      <c r="J370" s="47" t="s">
        <v>115</v>
      </c>
      <c r="K370" s="49">
        <v>2</v>
      </c>
      <c r="L370" s="49" t="s">
        <v>116</v>
      </c>
      <c r="M370" s="46" t="s">
        <v>117</v>
      </c>
      <c r="N370" s="50">
        <v>0</v>
      </c>
      <c r="O370" s="50">
        <v>0</v>
      </c>
      <c r="P370" s="50">
        <v>0</v>
      </c>
      <c r="Q370" s="46" t="s">
        <v>102</v>
      </c>
      <c r="R370" s="46" t="s">
        <v>102</v>
      </c>
      <c r="S370" s="46" t="s">
        <v>102</v>
      </c>
      <c r="T370" s="46" t="s">
        <v>223</v>
      </c>
      <c r="U370" s="51">
        <v>4</v>
      </c>
    </row>
    <row r="371" spans="2:21" ht="14.5" outlineLevel="3">
      <c r="B371" s="44" t="s">
        <v>1639</v>
      </c>
      <c r="C371" s="45" t="s">
        <v>1584</v>
      </c>
      <c r="D371" s="46" t="s">
        <v>469</v>
      </c>
      <c r="E371" s="47" t="s">
        <v>1315</v>
      </c>
      <c r="F371" s="46" t="s">
        <v>1640</v>
      </c>
      <c r="G371" s="47" t="s">
        <v>1586</v>
      </c>
      <c r="H371" s="48">
        <v>196797.52</v>
      </c>
      <c r="I371" s="48">
        <v>3</v>
      </c>
      <c r="J371" s="47" t="s">
        <v>115</v>
      </c>
      <c r="K371" s="49">
        <v>2</v>
      </c>
      <c r="L371" s="49" t="s">
        <v>116</v>
      </c>
      <c r="M371" s="46" t="s">
        <v>117</v>
      </c>
      <c r="N371" s="50">
        <v>0</v>
      </c>
      <c r="O371" s="50">
        <v>0</v>
      </c>
      <c r="P371" s="50">
        <v>0</v>
      </c>
      <c r="Q371" s="46" t="s">
        <v>102</v>
      </c>
      <c r="R371" s="46" t="s">
        <v>102</v>
      </c>
      <c r="S371" s="46" t="s">
        <v>102</v>
      </c>
      <c r="T371" s="46" t="s">
        <v>691</v>
      </c>
      <c r="U371" s="51">
        <v>4</v>
      </c>
    </row>
    <row r="372" spans="2:21" ht="14.5" outlineLevel="3">
      <c r="B372" s="44" t="s">
        <v>1641</v>
      </c>
      <c r="C372" s="45" t="s">
        <v>1588</v>
      </c>
      <c r="D372" s="46" t="s">
        <v>469</v>
      </c>
      <c r="E372" s="47" t="s">
        <v>1315</v>
      </c>
      <c r="F372" s="46" t="s">
        <v>1642</v>
      </c>
      <c r="G372" s="47" t="s">
        <v>1590</v>
      </c>
      <c r="H372" s="48">
        <v>424877.7</v>
      </c>
      <c r="I372" s="48">
        <v>3</v>
      </c>
      <c r="J372" s="47" t="s">
        <v>115</v>
      </c>
      <c r="K372" s="49">
        <v>2</v>
      </c>
      <c r="L372" s="49" t="s">
        <v>116</v>
      </c>
      <c r="M372" s="46" t="s">
        <v>117</v>
      </c>
      <c r="N372" s="50">
        <v>0</v>
      </c>
      <c r="O372" s="50">
        <v>0</v>
      </c>
      <c r="P372" s="50">
        <v>0</v>
      </c>
      <c r="Q372" s="46" t="s">
        <v>102</v>
      </c>
      <c r="R372" s="46" t="s">
        <v>102</v>
      </c>
      <c r="S372" s="46" t="s">
        <v>102</v>
      </c>
      <c r="T372" s="46" t="s">
        <v>695</v>
      </c>
      <c r="U372" s="51">
        <v>4</v>
      </c>
    </row>
    <row r="373" spans="2:21" ht="14.5" outlineLevel="3">
      <c r="B373" s="44" t="s">
        <v>1643</v>
      </c>
      <c r="C373" s="45" t="s">
        <v>1644</v>
      </c>
      <c r="D373" s="46" t="s">
        <v>458</v>
      </c>
      <c r="E373" s="47" t="s">
        <v>1315</v>
      </c>
      <c r="F373" s="46" t="s">
        <v>1645</v>
      </c>
      <c r="G373" s="47" t="s">
        <v>1646</v>
      </c>
      <c r="H373" s="48">
        <v>58095.69</v>
      </c>
      <c r="I373" s="48">
        <v>3</v>
      </c>
      <c r="J373" s="47" t="s">
        <v>115</v>
      </c>
      <c r="K373" s="49">
        <v>2</v>
      </c>
      <c r="L373" s="49" t="s">
        <v>116</v>
      </c>
      <c r="M373" s="46" t="s">
        <v>117</v>
      </c>
      <c r="N373" s="50">
        <v>0</v>
      </c>
      <c r="O373" s="50">
        <v>0</v>
      </c>
      <c r="P373" s="50">
        <v>0</v>
      </c>
      <c r="Q373" s="46" t="s">
        <v>102</v>
      </c>
      <c r="R373" s="46" t="s">
        <v>102</v>
      </c>
      <c r="S373" s="46" t="s">
        <v>102</v>
      </c>
      <c r="T373" s="46" t="s">
        <v>228</v>
      </c>
      <c r="U373" s="51">
        <v>4</v>
      </c>
    </row>
    <row r="374" spans="2:21" ht="14.5" outlineLevel="3">
      <c r="B374" s="44" t="s">
        <v>1647</v>
      </c>
      <c r="C374" s="45" t="s">
        <v>1596</v>
      </c>
      <c r="D374" s="46" t="s">
        <v>469</v>
      </c>
      <c r="E374" s="47" t="s">
        <v>1315</v>
      </c>
      <c r="F374" s="46" t="s">
        <v>1648</v>
      </c>
      <c r="G374" s="47" t="s">
        <v>1598</v>
      </c>
      <c r="H374" s="48">
        <v>20839.57</v>
      </c>
      <c r="I374" s="48">
        <v>3</v>
      </c>
      <c r="J374" s="47" t="s">
        <v>115</v>
      </c>
      <c r="K374" s="49">
        <v>2</v>
      </c>
      <c r="L374" s="49" t="s">
        <v>116</v>
      </c>
      <c r="M374" s="46" t="s">
        <v>117</v>
      </c>
      <c r="N374" s="50">
        <v>0</v>
      </c>
      <c r="O374" s="50">
        <v>0</v>
      </c>
      <c r="P374" s="50">
        <v>0</v>
      </c>
      <c r="Q374" s="46" t="s">
        <v>102</v>
      </c>
      <c r="R374" s="46" t="s">
        <v>102</v>
      </c>
      <c r="S374" s="46" t="s">
        <v>102</v>
      </c>
      <c r="T374" s="46" t="s">
        <v>233</v>
      </c>
      <c r="U374" s="51">
        <v>4</v>
      </c>
    </row>
    <row r="375" spans="2:21" ht="14.5" outlineLevel="3">
      <c r="B375" s="44" t="s">
        <v>1649</v>
      </c>
      <c r="C375" s="45" t="s">
        <v>1650</v>
      </c>
      <c r="D375" s="46" t="s">
        <v>469</v>
      </c>
      <c r="E375" s="47" t="s">
        <v>1315</v>
      </c>
      <c r="F375" s="46" t="s">
        <v>1651</v>
      </c>
      <c r="G375" s="47" t="s">
        <v>1652</v>
      </c>
      <c r="H375" s="48">
        <v>30944.16</v>
      </c>
      <c r="I375" s="48">
        <v>3</v>
      </c>
      <c r="J375" s="47" t="s">
        <v>115</v>
      </c>
      <c r="K375" s="49">
        <v>2</v>
      </c>
      <c r="L375" s="49" t="s">
        <v>116</v>
      </c>
      <c r="M375" s="46" t="s">
        <v>117</v>
      </c>
      <c r="N375" s="50">
        <v>0</v>
      </c>
      <c r="O375" s="50">
        <v>0</v>
      </c>
      <c r="P375" s="50">
        <v>0</v>
      </c>
      <c r="Q375" s="46" t="s">
        <v>102</v>
      </c>
      <c r="R375" s="46" t="s">
        <v>102</v>
      </c>
      <c r="S375" s="46" t="s">
        <v>102</v>
      </c>
      <c r="T375" s="46" t="s">
        <v>708</v>
      </c>
      <c r="U375" s="51">
        <v>4</v>
      </c>
    </row>
    <row r="376" spans="2:21" ht="14.5" outlineLevel="3">
      <c r="B376" s="44" t="s">
        <v>1653</v>
      </c>
      <c r="C376" s="45" t="s">
        <v>1654</v>
      </c>
      <c r="D376" s="46" t="s">
        <v>392</v>
      </c>
      <c r="E376" s="47" t="s">
        <v>1315</v>
      </c>
      <c r="F376" s="46" t="s">
        <v>1655</v>
      </c>
      <c r="G376" s="47" t="s">
        <v>1656</v>
      </c>
      <c r="H376" s="48">
        <v>152140.35999999999</v>
      </c>
      <c r="I376" s="48">
        <v>1</v>
      </c>
      <c r="J376" s="47" t="s">
        <v>115</v>
      </c>
      <c r="K376" s="49">
        <v>2</v>
      </c>
      <c r="L376" s="49" t="s">
        <v>116</v>
      </c>
      <c r="M376" s="46" t="s">
        <v>117</v>
      </c>
      <c r="N376" s="50">
        <v>0</v>
      </c>
      <c r="O376" s="50">
        <v>0</v>
      </c>
      <c r="P376" s="50">
        <v>0</v>
      </c>
      <c r="Q376" s="46" t="s">
        <v>102</v>
      </c>
      <c r="R376" s="46" t="s">
        <v>102</v>
      </c>
      <c r="S376" s="46" t="s">
        <v>102</v>
      </c>
      <c r="T376" s="46" t="s">
        <v>713</v>
      </c>
      <c r="U376" s="51">
        <v>4</v>
      </c>
    </row>
    <row r="377" spans="2:21" ht="14.5" outlineLevel="3">
      <c r="B377" s="44" t="s">
        <v>1657</v>
      </c>
      <c r="C377" s="45" t="s">
        <v>1658</v>
      </c>
      <c r="D377" s="46" t="s">
        <v>392</v>
      </c>
      <c r="E377" s="47" t="s">
        <v>1315</v>
      </c>
      <c r="F377" s="46" t="s">
        <v>1659</v>
      </c>
      <c r="G377" s="47" t="s">
        <v>1660</v>
      </c>
      <c r="H377" s="48">
        <v>465637.02</v>
      </c>
      <c r="I377" s="48">
        <v>1</v>
      </c>
      <c r="J377" s="47" t="s">
        <v>115</v>
      </c>
      <c r="K377" s="49">
        <v>2</v>
      </c>
      <c r="L377" s="49" t="s">
        <v>116</v>
      </c>
      <c r="M377" s="46" t="s">
        <v>117</v>
      </c>
      <c r="N377" s="50">
        <v>0</v>
      </c>
      <c r="O377" s="50">
        <v>0</v>
      </c>
      <c r="P377" s="50">
        <v>0</v>
      </c>
      <c r="Q377" s="46" t="s">
        <v>102</v>
      </c>
      <c r="R377" s="46" t="s">
        <v>102</v>
      </c>
      <c r="S377" s="46" t="s">
        <v>102</v>
      </c>
      <c r="T377" s="46" t="s">
        <v>238</v>
      </c>
      <c r="U377" s="51">
        <v>4</v>
      </c>
    </row>
    <row r="378" spans="2:21" ht="14.5" outlineLevel="3">
      <c r="B378" s="44" t="s">
        <v>1661</v>
      </c>
      <c r="C378" s="45" t="s">
        <v>1604</v>
      </c>
      <c r="D378" s="46" t="s">
        <v>392</v>
      </c>
      <c r="E378" s="47" t="s">
        <v>1315</v>
      </c>
      <c r="F378" s="46" t="s">
        <v>1662</v>
      </c>
      <c r="G378" s="47" t="s">
        <v>1606</v>
      </c>
      <c r="H378" s="48">
        <v>16984.79</v>
      </c>
      <c r="I378" s="48">
        <v>1</v>
      </c>
      <c r="J378" s="47" t="s">
        <v>115</v>
      </c>
      <c r="K378" s="49">
        <v>2</v>
      </c>
      <c r="L378" s="49" t="s">
        <v>116</v>
      </c>
      <c r="M378" s="46" t="s">
        <v>117</v>
      </c>
      <c r="N378" s="50">
        <v>0</v>
      </c>
      <c r="O378" s="50">
        <v>0</v>
      </c>
      <c r="P378" s="50">
        <v>0</v>
      </c>
      <c r="Q378" s="46" t="s">
        <v>102</v>
      </c>
      <c r="R378" s="46" t="s">
        <v>102</v>
      </c>
      <c r="S378" s="46" t="s">
        <v>102</v>
      </c>
      <c r="T378" s="46" t="s">
        <v>722</v>
      </c>
      <c r="U378" s="51">
        <v>4</v>
      </c>
    </row>
    <row r="379" spans="2:21" ht="14.5" outlineLevel="3">
      <c r="B379" s="44" t="s">
        <v>1663</v>
      </c>
      <c r="C379" s="45" t="s">
        <v>1608</v>
      </c>
      <c r="D379" s="46" t="s">
        <v>392</v>
      </c>
      <c r="E379" s="47" t="s">
        <v>1315</v>
      </c>
      <c r="F379" s="46" t="s">
        <v>1664</v>
      </c>
      <c r="G379" s="47" t="s">
        <v>1610</v>
      </c>
      <c r="H379" s="48">
        <v>1811085.3</v>
      </c>
      <c r="I379" s="48">
        <v>1</v>
      </c>
      <c r="J379" s="47" t="s">
        <v>115</v>
      </c>
      <c r="K379" s="49">
        <v>2</v>
      </c>
      <c r="L379" s="49" t="s">
        <v>116</v>
      </c>
      <c r="M379" s="46" t="s">
        <v>117</v>
      </c>
      <c r="N379" s="50">
        <v>0</v>
      </c>
      <c r="O379" s="50">
        <v>0</v>
      </c>
      <c r="P379" s="50">
        <v>0</v>
      </c>
      <c r="Q379" s="46" t="s">
        <v>102</v>
      </c>
      <c r="R379" s="46" t="s">
        <v>102</v>
      </c>
      <c r="S379" s="46" t="s">
        <v>102</v>
      </c>
      <c r="T379" s="46" t="s">
        <v>736</v>
      </c>
      <c r="U379" s="51">
        <v>4</v>
      </c>
    </row>
    <row r="380" spans="2:21" ht="14.5" outlineLevel="3">
      <c r="B380" s="44" t="s">
        <v>1665</v>
      </c>
      <c r="C380" s="45" t="s">
        <v>1552</v>
      </c>
      <c r="D380" s="46" t="s">
        <v>392</v>
      </c>
      <c r="E380" s="47" t="s">
        <v>1315</v>
      </c>
      <c r="F380" s="46" t="s">
        <v>1666</v>
      </c>
      <c r="G380" s="47" t="s">
        <v>1554</v>
      </c>
      <c r="H380" s="48">
        <v>1277256.92</v>
      </c>
      <c r="I380" s="48">
        <v>1</v>
      </c>
      <c r="J380" s="47" t="s">
        <v>115</v>
      </c>
      <c r="K380" s="49">
        <v>2</v>
      </c>
      <c r="L380" s="49" t="s">
        <v>116</v>
      </c>
      <c r="M380" s="46" t="s">
        <v>117</v>
      </c>
      <c r="N380" s="50">
        <v>0</v>
      </c>
      <c r="O380" s="50">
        <v>0</v>
      </c>
      <c r="P380" s="50">
        <v>0</v>
      </c>
      <c r="Q380" s="46" t="s">
        <v>102</v>
      </c>
      <c r="R380" s="46" t="s">
        <v>102</v>
      </c>
      <c r="S380" s="46" t="s">
        <v>102</v>
      </c>
      <c r="T380" s="46" t="s">
        <v>741</v>
      </c>
      <c r="U380" s="51">
        <v>4</v>
      </c>
    </row>
    <row r="381" spans="2:21" ht="14.5" outlineLevel="3">
      <c r="B381" s="44" t="s">
        <v>1667</v>
      </c>
      <c r="C381" s="45" t="s">
        <v>1556</v>
      </c>
      <c r="D381" s="46" t="s">
        <v>392</v>
      </c>
      <c r="E381" s="47" t="s">
        <v>1315</v>
      </c>
      <c r="F381" s="46" t="s">
        <v>1668</v>
      </c>
      <c r="G381" s="47" t="s">
        <v>1558</v>
      </c>
      <c r="H381" s="48">
        <v>1091884.98</v>
      </c>
      <c r="I381" s="48">
        <v>1</v>
      </c>
      <c r="J381" s="47" t="s">
        <v>115</v>
      </c>
      <c r="K381" s="49">
        <v>2</v>
      </c>
      <c r="L381" s="49" t="s">
        <v>116</v>
      </c>
      <c r="M381" s="46" t="s">
        <v>117</v>
      </c>
      <c r="N381" s="50">
        <v>0</v>
      </c>
      <c r="O381" s="50">
        <v>0</v>
      </c>
      <c r="P381" s="50">
        <v>0</v>
      </c>
      <c r="Q381" s="46" t="s">
        <v>102</v>
      </c>
      <c r="R381" s="46" t="s">
        <v>102</v>
      </c>
      <c r="S381" s="46" t="s">
        <v>102</v>
      </c>
      <c r="T381" s="46" t="s">
        <v>243</v>
      </c>
      <c r="U381" s="51">
        <v>4</v>
      </c>
    </row>
    <row r="382" spans="2:21" ht="14.5" outlineLevel="3">
      <c r="B382" s="44" t="s">
        <v>1669</v>
      </c>
      <c r="C382" s="45" t="s">
        <v>1616</v>
      </c>
      <c r="D382" s="46" t="s">
        <v>392</v>
      </c>
      <c r="E382" s="47" t="s">
        <v>1315</v>
      </c>
      <c r="F382" s="46" t="s">
        <v>1670</v>
      </c>
      <c r="G382" s="47" t="s">
        <v>1618</v>
      </c>
      <c r="H382" s="48">
        <v>357009.33</v>
      </c>
      <c r="I382" s="48">
        <v>1</v>
      </c>
      <c r="J382" s="47" t="s">
        <v>115</v>
      </c>
      <c r="K382" s="49">
        <v>2</v>
      </c>
      <c r="L382" s="49" t="s">
        <v>116</v>
      </c>
      <c r="M382" s="46" t="s">
        <v>117</v>
      </c>
      <c r="N382" s="50">
        <v>0</v>
      </c>
      <c r="O382" s="50">
        <v>0</v>
      </c>
      <c r="P382" s="50">
        <v>0</v>
      </c>
      <c r="Q382" s="46" t="s">
        <v>102</v>
      </c>
      <c r="R382" s="46" t="s">
        <v>102</v>
      </c>
      <c r="S382" s="46" t="s">
        <v>102</v>
      </c>
      <c r="T382" s="46" t="s">
        <v>750</v>
      </c>
      <c r="U382" s="51">
        <v>4</v>
      </c>
    </row>
    <row r="383" spans="2:21" ht="14.5" outlineLevel="3">
      <c r="B383" s="44" t="s">
        <v>1671</v>
      </c>
      <c r="C383" s="45" t="s">
        <v>1564</v>
      </c>
      <c r="D383" s="46" t="s">
        <v>392</v>
      </c>
      <c r="E383" s="47" t="s">
        <v>1315</v>
      </c>
      <c r="F383" s="46" t="s">
        <v>1672</v>
      </c>
      <c r="G383" s="47" t="s">
        <v>1566</v>
      </c>
      <c r="H383" s="48">
        <v>525588.75</v>
      </c>
      <c r="I383" s="48">
        <v>1</v>
      </c>
      <c r="J383" s="47" t="s">
        <v>115</v>
      </c>
      <c r="K383" s="49">
        <v>2</v>
      </c>
      <c r="L383" s="49" t="s">
        <v>116</v>
      </c>
      <c r="M383" s="46" t="s">
        <v>117</v>
      </c>
      <c r="N383" s="50">
        <v>0</v>
      </c>
      <c r="O383" s="50">
        <v>0</v>
      </c>
      <c r="P383" s="50">
        <v>0</v>
      </c>
      <c r="Q383" s="46" t="s">
        <v>102</v>
      </c>
      <c r="R383" s="46" t="s">
        <v>102</v>
      </c>
      <c r="S383" s="46" t="s">
        <v>102</v>
      </c>
      <c r="T383" s="46" t="s">
        <v>755</v>
      </c>
      <c r="U383" s="51">
        <v>4</v>
      </c>
    </row>
    <row r="384" spans="2:21" ht="14.5" outlineLevel="3">
      <c r="B384" s="44" t="s">
        <v>1673</v>
      </c>
      <c r="C384" s="45" t="s">
        <v>1568</v>
      </c>
      <c r="D384" s="46" t="s">
        <v>392</v>
      </c>
      <c r="E384" s="47" t="s">
        <v>1315</v>
      </c>
      <c r="F384" s="46" t="s">
        <v>1674</v>
      </c>
      <c r="G384" s="47" t="s">
        <v>1570</v>
      </c>
      <c r="H384" s="48">
        <v>720556.41</v>
      </c>
      <c r="I384" s="48">
        <v>1</v>
      </c>
      <c r="J384" s="47" t="s">
        <v>115</v>
      </c>
      <c r="K384" s="49">
        <v>2</v>
      </c>
      <c r="L384" s="49" t="s">
        <v>116</v>
      </c>
      <c r="M384" s="46" t="s">
        <v>117</v>
      </c>
      <c r="N384" s="50">
        <v>0</v>
      </c>
      <c r="O384" s="50">
        <v>0</v>
      </c>
      <c r="P384" s="50">
        <v>0</v>
      </c>
      <c r="Q384" s="46" t="s">
        <v>102</v>
      </c>
      <c r="R384" s="46" t="s">
        <v>102</v>
      </c>
      <c r="S384" s="46" t="s">
        <v>102</v>
      </c>
      <c r="T384" s="46" t="s">
        <v>760</v>
      </c>
      <c r="U384" s="51">
        <v>4</v>
      </c>
    </row>
    <row r="385" spans="2:21" ht="14.5" outlineLevel="3">
      <c r="B385" s="44" t="s">
        <v>1675</v>
      </c>
      <c r="C385" s="45" t="s">
        <v>1624</v>
      </c>
      <c r="D385" s="46" t="s">
        <v>392</v>
      </c>
      <c r="E385" s="47" t="s">
        <v>1315</v>
      </c>
      <c r="F385" s="46" t="s">
        <v>1676</v>
      </c>
      <c r="G385" s="47" t="s">
        <v>1626</v>
      </c>
      <c r="H385" s="48">
        <v>763955.25</v>
      </c>
      <c r="I385" s="48">
        <v>1</v>
      </c>
      <c r="J385" s="47" t="s">
        <v>115</v>
      </c>
      <c r="K385" s="49">
        <v>2</v>
      </c>
      <c r="L385" s="49" t="s">
        <v>116</v>
      </c>
      <c r="M385" s="46" t="s">
        <v>117</v>
      </c>
      <c r="N385" s="50">
        <v>0</v>
      </c>
      <c r="O385" s="50">
        <v>0</v>
      </c>
      <c r="P385" s="50">
        <v>0</v>
      </c>
      <c r="Q385" s="46" t="s">
        <v>102</v>
      </c>
      <c r="R385" s="46" t="s">
        <v>102</v>
      </c>
      <c r="S385" s="46" t="s">
        <v>102</v>
      </c>
      <c r="T385" s="46" t="s">
        <v>765</v>
      </c>
      <c r="U385" s="51">
        <v>4</v>
      </c>
    </row>
    <row r="386" spans="2:21" ht="14.5" outlineLevel="3">
      <c r="B386" s="44" t="s">
        <v>1677</v>
      </c>
      <c r="C386" s="45" t="s">
        <v>1628</v>
      </c>
      <c r="D386" s="46" t="s">
        <v>392</v>
      </c>
      <c r="E386" s="47" t="s">
        <v>1315</v>
      </c>
      <c r="F386" s="46" t="s">
        <v>1678</v>
      </c>
      <c r="G386" s="47" t="s">
        <v>1630</v>
      </c>
      <c r="H386" s="48">
        <v>343270</v>
      </c>
      <c r="I386" s="48">
        <v>1</v>
      </c>
      <c r="J386" s="47" t="s">
        <v>115</v>
      </c>
      <c r="K386" s="49">
        <v>2</v>
      </c>
      <c r="L386" s="49" t="s">
        <v>116</v>
      </c>
      <c r="M386" s="46" t="s">
        <v>117</v>
      </c>
      <c r="N386" s="50">
        <v>0</v>
      </c>
      <c r="O386" s="50">
        <v>0</v>
      </c>
      <c r="P386" s="50">
        <v>0</v>
      </c>
      <c r="Q386" s="46" t="s">
        <v>102</v>
      </c>
      <c r="R386" s="46" t="s">
        <v>102</v>
      </c>
      <c r="S386" s="46" t="s">
        <v>102</v>
      </c>
      <c r="T386" s="46" t="s">
        <v>770</v>
      </c>
      <c r="U386" s="51">
        <v>4</v>
      </c>
    </row>
    <row r="387" spans="2:21" ht="14.5" outlineLevel="3">
      <c r="B387" s="44" t="s">
        <v>1679</v>
      </c>
      <c r="C387" s="45" t="s">
        <v>1632</v>
      </c>
      <c r="D387" s="46" t="s">
        <v>392</v>
      </c>
      <c r="E387" s="47" t="s">
        <v>1315</v>
      </c>
      <c r="F387" s="46" t="s">
        <v>1680</v>
      </c>
      <c r="G387" s="47" t="s">
        <v>1634</v>
      </c>
      <c r="H387" s="48">
        <v>455801.67</v>
      </c>
      <c r="I387" s="48">
        <v>1</v>
      </c>
      <c r="J387" s="47" t="s">
        <v>115</v>
      </c>
      <c r="K387" s="49">
        <v>2</v>
      </c>
      <c r="L387" s="49" t="s">
        <v>116</v>
      </c>
      <c r="M387" s="46" t="s">
        <v>117</v>
      </c>
      <c r="N387" s="50">
        <v>0</v>
      </c>
      <c r="O387" s="50">
        <v>0</v>
      </c>
      <c r="P387" s="50">
        <v>0</v>
      </c>
      <c r="Q387" s="46" t="s">
        <v>102</v>
      </c>
      <c r="R387" s="46" t="s">
        <v>102</v>
      </c>
      <c r="S387" s="46" t="s">
        <v>102</v>
      </c>
      <c r="T387" s="46" t="s">
        <v>774</v>
      </c>
      <c r="U387" s="51">
        <v>4</v>
      </c>
    </row>
    <row r="388" spans="2:21" ht="14.5" outlineLevel="3">
      <c r="B388" s="44" t="s">
        <v>1681</v>
      </c>
      <c r="C388" s="45" t="s">
        <v>1636</v>
      </c>
      <c r="D388" s="46" t="s">
        <v>392</v>
      </c>
      <c r="E388" s="47" t="s">
        <v>1315</v>
      </c>
      <c r="F388" s="46" t="s">
        <v>1682</v>
      </c>
      <c r="G388" s="47" t="s">
        <v>1638</v>
      </c>
      <c r="H388" s="48">
        <v>1488236.96</v>
      </c>
      <c r="I388" s="48">
        <v>1</v>
      </c>
      <c r="J388" s="47" t="s">
        <v>115</v>
      </c>
      <c r="K388" s="49">
        <v>2</v>
      </c>
      <c r="L388" s="49" t="s">
        <v>116</v>
      </c>
      <c r="M388" s="46" t="s">
        <v>117</v>
      </c>
      <c r="N388" s="50">
        <v>0</v>
      </c>
      <c r="O388" s="50">
        <v>0</v>
      </c>
      <c r="P388" s="50">
        <v>0</v>
      </c>
      <c r="Q388" s="46" t="s">
        <v>102</v>
      </c>
      <c r="R388" s="46" t="s">
        <v>102</v>
      </c>
      <c r="S388" s="46" t="s">
        <v>102</v>
      </c>
      <c r="T388" s="46" t="s">
        <v>778</v>
      </c>
      <c r="U388" s="51">
        <v>4</v>
      </c>
    </row>
    <row r="389" spans="2:21" ht="14.5" outlineLevel="3">
      <c r="B389" s="44" t="s">
        <v>1683</v>
      </c>
      <c r="C389" s="45" t="s">
        <v>1584</v>
      </c>
      <c r="D389" s="46" t="s">
        <v>392</v>
      </c>
      <c r="E389" s="47" t="s">
        <v>1315</v>
      </c>
      <c r="F389" s="46" t="s">
        <v>1684</v>
      </c>
      <c r="G389" s="47" t="s">
        <v>1586</v>
      </c>
      <c r="H389" s="48">
        <v>2383669.8199999998</v>
      </c>
      <c r="I389" s="48">
        <v>1</v>
      </c>
      <c r="J389" s="47" t="s">
        <v>115</v>
      </c>
      <c r="K389" s="49">
        <v>2</v>
      </c>
      <c r="L389" s="49" t="s">
        <v>116</v>
      </c>
      <c r="M389" s="46" t="s">
        <v>117</v>
      </c>
      <c r="N389" s="50">
        <v>0</v>
      </c>
      <c r="O389" s="50">
        <v>0</v>
      </c>
      <c r="P389" s="50">
        <v>0</v>
      </c>
      <c r="Q389" s="46" t="s">
        <v>102</v>
      </c>
      <c r="R389" s="46" t="s">
        <v>102</v>
      </c>
      <c r="S389" s="46" t="s">
        <v>102</v>
      </c>
      <c r="T389" s="46" t="s">
        <v>432</v>
      </c>
      <c r="U389" s="51">
        <v>4</v>
      </c>
    </row>
    <row r="390" spans="2:21" ht="14.5" outlineLevel="3">
      <c r="B390" s="44" t="s">
        <v>1685</v>
      </c>
      <c r="C390" s="45" t="s">
        <v>1588</v>
      </c>
      <c r="D390" s="46" t="s">
        <v>392</v>
      </c>
      <c r="E390" s="47" t="s">
        <v>1315</v>
      </c>
      <c r="F390" s="46" t="s">
        <v>1686</v>
      </c>
      <c r="G390" s="47" t="s">
        <v>1590</v>
      </c>
      <c r="H390" s="48">
        <v>4427995.16</v>
      </c>
      <c r="I390" s="48">
        <v>1</v>
      </c>
      <c r="J390" s="47" t="s">
        <v>115</v>
      </c>
      <c r="K390" s="49">
        <v>2</v>
      </c>
      <c r="L390" s="49" t="s">
        <v>116</v>
      </c>
      <c r="M390" s="46" t="s">
        <v>117</v>
      </c>
      <c r="N390" s="50">
        <v>0</v>
      </c>
      <c r="O390" s="50">
        <v>0</v>
      </c>
      <c r="P390" s="50">
        <v>0</v>
      </c>
      <c r="Q390" s="46" t="s">
        <v>102</v>
      </c>
      <c r="R390" s="46" t="s">
        <v>102</v>
      </c>
      <c r="S390" s="46" t="s">
        <v>102</v>
      </c>
      <c r="T390" s="46" t="s">
        <v>436</v>
      </c>
      <c r="U390" s="51">
        <v>4</v>
      </c>
    </row>
    <row r="391" spans="2:21" ht="14.5" outlineLevel="3">
      <c r="B391" s="44" t="s">
        <v>1687</v>
      </c>
      <c r="C391" s="45" t="s">
        <v>1644</v>
      </c>
      <c r="D391" s="46" t="s">
        <v>392</v>
      </c>
      <c r="E391" s="47" t="s">
        <v>1315</v>
      </c>
      <c r="F391" s="46" t="s">
        <v>1688</v>
      </c>
      <c r="G391" s="47" t="s">
        <v>1646</v>
      </c>
      <c r="H391" s="48">
        <v>719247.9</v>
      </c>
      <c r="I391" s="48">
        <v>1</v>
      </c>
      <c r="J391" s="47" t="s">
        <v>115</v>
      </c>
      <c r="K391" s="49">
        <v>2</v>
      </c>
      <c r="L391" s="49" t="s">
        <v>116</v>
      </c>
      <c r="M391" s="46" t="s">
        <v>117</v>
      </c>
      <c r="N391" s="50">
        <v>0</v>
      </c>
      <c r="O391" s="50">
        <v>0</v>
      </c>
      <c r="P391" s="50">
        <v>0</v>
      </c>
      <c r="Q391" s="46" t="s">
        <v>102</v>
      </c>
      <c r="R391" s="46" t="s">
        <v>102</v>
      </c>
      <c r="S391" s="46" t="s">
        <v>102</v>
      </c>
      <c r="T391" s="46" t="s">
        <v>791</v>
      </c>
      <c r="U391" s="51">
        <v>4</v>
      </c>
    </row>
    <row r="392" spans="2:21" ht="14.5" outlineLevel="3">
      <c r="B392" s="44" t="s">
        <v>1689</v>
      </c>
      <c r="C392" s="45" t="s">
        <v>1596</v>
      </c>
      <c r="D392" s="46" t="s">
        <v>392</v>
      </c>
      <c r="E392" s="47" t="s">
        <v>1315</v>
      </c>
      <c r="F392" s="46" t="s">
        <v>1690</v>
      </c>
      <c r="G392" s="47" t="s">
        <v>1598</v>
      </c>
      <c r="H392" s="48">
        <v>260615.92</v>
      </c>
      <c r="I392" s="48">
        <v>1</v>
      </c>
      <c r="J392" s="47" t="s">
        <v>115</v>
      </c>
      <c r="K392" s="49">
        <v>2</v>
      </c>
      <c r="L392" s="49" t="s">
        <v>116</v>
      </c>
      <c r="M392" s="46" t="s">
        <v>117</v>
      </c>
      <c r="N392" s="50">
        <v>0</v>
      </c>
      <c r="O392" s="50">
        <v>0</v>
      </c>
      <c r="P392" s="50">
        <v>0</v>
      </c>
      <c r="Q392" s="46" t="s">
        <v>102</v>
      </c>
      <c r="R392" s="46" t="s">
        <v>102</v>
      </c>
      <c r="S392" s="46" t="s">
        <v>102</v>
      </c>
      <c r="T392" s="46" t="s">
        <v>796</v>
      </c>
      <c r="U392" s="51">
        <v>4</v>
      </c>
    </row>
    <row r="393" spans="2:21" ht="14.5" outlineLevel="3">
      <c r="B393" s="44" t="s">
        <v>1691</v>
      </c>
      <c r="C393" s="45" t="s">
        <v>1650</v>
      </c>
      <c r="D393" s="46" t="s">
        <v>392</v>
      </c>
      <c r="E393" s="47" t="s">
        <v>1315</v>
      </c>
      <c r="F393" s="46" t="s">
        <v>1692</v>
      </c>
      <c r="G393" s="47" t="s">
        <v>1652</v>
      </c>
      <c r="H393" s="48">
        <v>393429.46</v>
      </c>
      <c r="I393" s="48">
        <v>1</v>
      </c>
      <c r="J393" s="47" t="s">
        <v>115</v>
      </c>
      <c r="K393" s="49">
        <v>2</v>
      </c>
      <c r="L393" s="49" t="s">
        <v>116</v>
      </c>
      <c r="M393" s="46" t="s">
        <v>117</v>
      </c>
      <c r="N393" s="50">
        <v>0</v>
      </c>
      <c r="O393" s="50">
        <v>0</v>
      </c>
      <c r="P393" s="50">
        <v>0</v>
      </c>
      <c r="Q393" s="46" t="s">
        <v>102</v>
      </c>
      <c r="R393" s="46" t="s">
        <v>102</v>
      </c>
      <c r="S393" s="46" t="s">
        <v>102</v>
      </c>
      <c r="T393" s="46" t="s">
        <v>801</v>
      </c>
      <c r="U393" s="51">
        <v>4</v>
      </c>
    </row>
    <row r="394" spans="2:21" ht="14.5" outlineLevel="3">
      <c r="B394" s="44" t="s">
        <v>1693</v>
      </c>
      <c r="C394" s="45" t="s">
        <v>1654</v>
      </c>
      <c r="D394" s="46" t="s">
        <v>392</v>
      </c>
      <c r="E394" s="47" t="s">
        <v>1315</v>
      </c>
      <c r="F394" s="46" t="s">
        <v>1694</v>
      </c>
      <c r="G394" s="47" t="s">
        <v>1656</v>
      </c>
      <c r="H394" s="48">
        <v>597883.81000000006</v>
      </c>
      <c r="I394" s="48">
        <v>1</v>
      </c>
      <c r="J394" s="47" t="s">
        <v>115</v>
      </c>
      <c r="K394" s="49">
        <v>2</v>
      </c>
      <c r="L394" s="49" t="s">
        <v>116</v>
      </c>
      <c r="M394" s="46" t="s">
        <v>117</v>
      </c>
      <c r="N394" s="50">
        <v>0</v>
      </c>
      <c r="O394" s="50">
        <v>0</v>
      </c>
      <c r="P394" s="50">
        <v>0</v>
      </c>
      <c r="Q394" s="46" t="s">
        <v>102</v>
      </c>
      <c r="R394" s="46" t="s">
        <v>102</v>
      </c>
      <c r="S394" s="46" t="s">
        <v>102</v>
      </c>
      <c r="T394" s="46" t="s">
        <v>806</v>
      </c>
      <c r="U394" s="51">
        <v>4</v>
      </c>
    </row>
    <row r="395" spans="2:21" ht="14.5" outlineLevel="3">
      <c r="B395" s="44" t="s">
        <v>1695</v>
      </c>
      <c r="C395" s="45" t="s">
        <v>1658</v>
      </c>
      <c r="D395" s="46" t="s">
        <v>392</v>
      </c>
      <c r="E395" s="47" t="s">
        <v>1315</v>
      </c>
      <c r="F395" s="46" t="s">
        <v>1696</v>
      </c>
      <c r="G395" s="47" t="s">
        <v>1660</v>
      </c>
      <c r="H395" s="48">
        <v>1810979.57</v>
      </c>
      <c r="I395" s="48">
        <v>1</v>
      </c>
      <c r="J395" s="47" t="s">
        <v>115</v>
      </c>
      <c r="K395" s="49">
        <v>2</v>
      </c>
      <c r="L395" s="49" t="s">
        <v>116</v>
      </c>
      <c r="M395" s="46" t="s">
        <v>117</v>
      </c>
      <c r="N395" s="50">
        <v>0</v>
      </c>
      <c r="O395" s="50">
        <v>0</v>
      </c>
      <c r="P395" s="50">
        <v>0</v>
      </c>
      <c r="Q395" s="46" t="s">
        <v>102</v>
      </c>
      <c r="R395" s="46" t="s">
        <v>102</v>
      </c>
      <c r="S395" s="46" t="s">
        <v>102</v>
      </c>
      <c r="T395" s="46" t="s">
        <v>811</v>
      </c>
      <c r="U395" s="51">
        <v>4</v>
      </c>
    </row>
    <row r="396" spans="2:21" ht="14.5" outlineLevel="3">
      <c r="B396" s="44" t="s">
        <v>1697</v>
      </c>
      <c r="C396" s="45" t="s">
        <v>1604</v>
      </c>
      <c r="D396" s="46" t="s">
        <v>392</v>
      </c>
      <c r="E396" s="47" t="s">
        <v>1315</v>
      </c>
      <c r="F396" s="46" t="s">
        <v>1698</v>
      </c>
      <c r="G396" s="47" t="s">
        <v>1606</v>
      </c>
      <c r="H396" s="48">
        <v>25477.18</v>
      </c>
      <c r="I396" s="48">
        <v>1</v>
      </c>
      <c r="J396" s="47" t="s">
        <v>115</v>
      </c>
      <c r="K396" s="49">
        <v>2</v>
      </c>
      <c r="L396" s="49" t="s">
        <v>116</v>
      </c>
      <c r="M396" s="46" t="s">
        <v>117</v>
      </c>
      <c r="N396" s="50">
        <v>0</v>
      </c>
      <c r="O396" s="50">
        <v>0</v>
      </c>
      <c r="P396" s="50">
        <v>0</v>
      </c>
      <c r="Q396" s="46" t="s">
        <v>102</v>
      </c>
      <c r="R396" s="46" t="s">
        <v>102</v>
      </c>
      <c r="S396" s="46" t="s">
        <v>102</v>
      </c>
      <c r="T396" s="46" t="s">
        <v>816</v>
      </c>
      <c r="U396" s="51">
        <v>4</v>
      </c>
    </row>
    <row r="397" spans="2:21" ht="14.5" outlineLevel="3">
      <c r="B397" s="44" t="s">
        <v>1699</v>
      </c>
      <c r="C397" s="45" t="s">
        <v>1650</v>
      </c>
      <c r="D397" s="46" t="s">
        <v>392</v>
      </c>
      <c r="E397" s="47" t="s">
        <v>1315</v>
      </c>
      <c r="F397" s="46" t="s">
        <v>1700</v>
      </c>
      <c r="G397" s="47" t="s">
        <v>1652</v>
      </c>
      <c r="H397" s="48">
        <v>703764.54</v>
      </c>
      <c r="I397" s="48">
        <v>1</v>
      </c>
      <c r="J397" s="47" t="s">
        <v>115</v>
      </c>
      <c r="K397" s="49">
        <v>2</v>
      </c>
      <c r="L397" s="49" t="s">
        <v>116</v>
      </c>
      <c r="M397" s="46" t="s">
        <v>117</v>
      </c>
      <c r="N397" s="50">
        <v>0</v>
      </c>
      <c r="O397" s="50">
        <v>0</v>
      </c>
      <c r="P397" s="50">
        <v>0</v>
      </c>
      <c r="Q397" s="46" t="s">
        <v>102</v>
      </c>
      <c r="R397" s="46" t="s">
        <v>102</v>
      </c>
      <c r="S397" s="46" t="s">
        <v>102</v>
      </c>
      <c r="T397" s="46" t="s">
        <v>831</v>
      </c>
      <c r="U397" s="51">
        <v>4</v>
      </c>
    </row>
    <row r="398" spans="2:21" ht="14.5" outlineLevel="3">
      <c r="B398" s="44" t="s">
        <v>1701</v>
      </c>
      <c r="C398" s="45" t="s">
        <v>1702</v>
      </c>
      <c r="D398" s="46" t="s">
        <v>392</v>
      </c>
      <c r="E398" s="47" t="s">
        <v>1315</v>
      </c>
      <c r="F398" s="46" t="s">
        <v>1703</v>
      </c>
      <c r="G398" s="47" t="s">
        <v>1704</v>
      </c>
      <c r="H398" s="48">
        <v>547249.76</v>
      </c>
      <c r="I398" s="48">
        <v>1</v>
      </c>
      <c r="J398" s="47" t="s">
        <v>115</v>
      </c>
      <c r="K398" s="49">
        <v>2</v>
      </c>
      <c r="L398" s="49" t="s">
        <v>116</v>
      </c>
      <c r="M398" s="46" t="s">
        <v>117</v>
      </c>
      <c r="N398" s="50">
        <v>0</v>
      </c>
      <c r="O398" s="50">
        <v>0</v>
      </c>
      <c r="P398" s="50">
        <v>0</v>
      </c>
      <c r="Q398" s="46" t="s">
        <v>102</v>
      </c>
      <c r="R398" s="46" t="s">
        <v>102</v>
      </c>
      <c r="S398" s="46" t="s">
        <v>102</v>
      </c>
      <c r="T398" s="46" t="s">
        <v>835</v>
      </c>
      <c r="U398" s="51">
        <v>4</v>
      </c>
    </row>
    <row r="399" spans="2:21" ht="14.5" outlineLevel="3">
      <c r="B399" s="44" t="s">
        <v>1705</v>
      </c>
      <c r="C399" s="45" t="s">
        <v>1604</v>
      </c>
      <c r="D399" s="46" t="s">
        <v>392</v>
      </c>
      <c r="E399" s="47" t="s">
        <v>1315</v>
      </c>
      <c r="F399" s="46" t="s">
        <v>1706</v>
      </c>
      <c r="G399" s="47" t="s">
        <v>1606</v>
      </c>
      <c r="H399" s="48">
        <v>25477.18</v>
      </c>
      <c r="I399" s="48">
        <v>1</v>
      </c>
      <c r="J399" s="47" t="s">
        <v>115</v>
      </c>
      <c r="K399" s="49">
        <v>2</v>
      </c>
      <c r="L399" s="49" t="s">
        <v>116</v>
      </c>
      <c r="M399" s="46" t="s">
        <v>117</v>
      </c>
      <c r="N399" s="50">
        <v>0</v>
      </c>
      <c r="O399" s="50">
        <v>0</v>
      </c>
      <c r="P399" s="50">
        <v>0</v>
      </c>
      <c r="Q399" s="46" t="s">
        <v>102</v>
      </c>
      <c r="R399" s="46" t="s">
        <v>102</v>
      </c>
      <c r="S399" s="46" t="s">
        <v>102</v>
      </c>
      <c r="T399" s="46" t="s">
        <v>840</v>
      </c>
      <c r="U399" s="51">
        <v>4</v>
      </c>
    </row>
    <row r="400" spans="2:21" ht="14.5" outlineLevel="3">
      <c r="B400" s="44" t="s">
        <v>1707</v>
      </c>
      <c r="C400" s="45" t="s">
        <v>1708</v>
      </c>
      <c r="D400" s="46" t="s">
        <v>392</v>
      </c>
      <c r="E400" s="47" t="s">
        <v>1315</v>
      </c>
      <c r="F400" s="46" t="s">
        <v>1709</v>
      </c>
      <c r="G400" s="47" t="s">
        <v>1710</v>
      </c>
      <c r="H400" s="48">
        <v>8492.39</v>
      </c>
      <c r="I400" s="48">
        <v>1</v>
      </c>
      <c r="J400" s="47" t="s">
        <v>115</v>
      </c>
      <c r="K400" s="49">
        <v>2</v>
      </c>
      <c r="L400" s="49" t="s">
        <v>116</v>
      </c>
      <c r="M400" s="46" t="s">
        <v>117</v>
      </c>
      <c r="N400" s="50">
        <v>0</v>
      </c>
      <c r="O400" s="50">
        <v>0</v>
      </c>
      <c r="P400" s="50">
        <v>0</v>
      </c>
      <c r="Q400" s="46" t="s">
        <v>102</v>
      </c>
      <c r="R400" s="46" t="s">
        <v>102</v>
      </c>
      <c r="S400" s="46" t="s">
        <v>102</v>
      </c>
      <c r="T400" s="46" t="s">
        <v>845</v>
      </c>
      <c r="U400" s="51">
        <v>4</v>
      </c>
    </row>
    <row r="401" spans="2:21" ht="14.5" outlineLevel="2">
      <c r="B401" s="36" t="s">
        <v>1711</v>
      </c>
      <c r="C401" s="37" t="s">
        <v>1712</v>
      </c>
      <c r="D401" s="38" t="s">
        <v>102</v>
      </c>
      <c r="E401" s="39" t="s">
        <v>102</v>
      </c>
      <c r="F401" s="38" t="s">
        <v>102</v>
      </c>
      <c r="G401" s="39" t="s">
        <v>102</v>
      </c>
      <c r="H401" s="40">
        <v>0</v>
      </c>
      <c r="I401" s="40">
        <v>0</v>
      </c>
      <c r="J401" s="39" t="s">
        <v>102</v>
      </c>
      <c r="K401" s="41">
        <v>0</v>
      </c>
      <c r="L401" s="41" t="s">
        <v>102</v>
      </c>
      <c r="M401" s="38" t="s">
        <v>102</v>
      </c>
      <c r="N401" s="42">
        <v>0</v>
      </c>
      <c r="O401" s="42">
        <v>0</v>
      </c>
      <c r="P401" s="42">
        <v>0</v>
      </c>
      <c r="Q401" s="38" t="s">
        <v>102</v>
      </c>
      <c r="R401" s="38" t="s">
        <v>102</v>
      </c>
      <c r="S401" s="38" t="s">
        <v>1713</v>
      </c>
      <c r="T401" s="38" t="s">
        <v>102</v>
      </c>
      <c r="U401" s="43">
        <v>3</v>
      </c>
    </row>
    <row r="402" spans="2:21" ht="14.5" outlineLevel="3">
      <c r="B402" s="44" t="s">
        <v>1714</v>
      </c>
      <c r="C402" s="45" t="s">
        <v>1715</v>
      </c>
      <c r="D402" s="46" t="s">
        <v>458</v>
      </c>
      <c r="E402" s="47" t="s">
        <v>1315</v>
      </c>
      <c r="F402" s="46" t="s">
        <v>1716</v>
      </c>
      <c r="G402" s="47" t="s">
        <v>1717</v>
      </c>
      <c r="H402" s="48">
        <v>1030104.1</v>
      </c>
      <c r="I402" s="48">
        <v>3</v>
      </c>
      <c r="J402" s="47" t="s">
        <v>115</v>
      </c>
      <c r="K402" s="49">
        <v>2</v>
      </c>
      <c r="L402" s="49" t="s">
        <v>116</v>
      </c>
      <c r="M402" s="46" t="s">
        <v>117</v>
      </c>
      <c r="N402" s="50">
        <v>0</v>
      </c>
      <c r="O402" s="50">
        <v>0</v>
      </c>
      <c r="P402" s="50">
        <v>0</v>
      </c>
      <c r="Q402" s="46" t="s">
        <v>102</v>
      </c>
      <c r="R402" s="46" t="s">
        <v>102</v>
      </c>
      <c r="S402" s="46" t="s">
        <v>102</v>
      </c>
      <c r="T402" s="46" t="s">
        <v>192</v>
      </c>
      <c r="U402" s="51">
        <v>4</v>
      </c>
    </row>
    <row r="403" spans="2:21" ht="14.5" outlineLevel="3">
      <c r="B403" s="44" t="s">
        <v>1718</v>
      </c>
      <c r="C403" s="45" t="s">
        <v>1719</v>
      </c>
      <c r="D403" s="46" t="s">
        <v>458</v>
      </c>
      <c r="E403" s="47" t="s">
        <v>1315</v>
      </c>
      <c r="F403" s="46" t="s">
        <v>1720</v>
      </c>
      <c r="G403" s="47" t="s">
        <v>1721</v>
      </c>
      <c r="H403" s="48">
        <v>36815.65</v>
      </c>
      <c r="I403" s="48">
        <v>3</v>
      </c>
      <c r="J403" s="47" t="s">
        <v>115</v>
      </c>
      <c r="K403" s="49">
        <v>2</v>
      </c>
      <c r="L403" s="49" t="s">
        <v>116</v>
      </c>
      <c r="M403" s="46" t="s">
        <v>117</v>
      </c>
      <c r="N403" s="50">
        <v>0</v>
      </c>
      <c r="O403" s="50">
        <v>0</v>
      </c>
      <c r="P403" s="50">
        <v>0</v>
      </c>
      <c r="Q403" s="46" t="s">
        <v>102</v>
      </c>
      <c r="R403" s="46" t="s">
        <v>102</v>
      </c>
      <c r="S403" s="46" t="s">
        <v>102</v>
      </c>
      <c r="T403" s="46" t="s">
        <v>615</v>
      </c>
      <c r="U403" s="51">
        <v>4</v>
      </c>
    </row>
    <row r="404" spans="2:21" ht="14.5" outlineLevel="3">
      <c r="B404" s="44" t="s">
        <v>1722</v>
      </c>
      <c r="C404" s="45" t="s">
        <v>1723</v>
      </c>
      <c r="D404" s="46" t="s">
        <v>469</v>
      </c>
      <c r="E404" s="47" t="s">
        <v>1315</v>
      </c>
      <c r="F404" s="46" t="s">
        <v>1724</v>
      </c>
      <c r="G404" s="47" t="s">
        <v>1725</v>
      </c>
      <c r="H404" s="48">
        <v>122791.92</v>
      </c>
      <c r="I404" s="48">
        <v>3</v>
      </c>
      <c r="J404" s="47" t="s">
        <v>115</v>
      </c>
      <c r="K404" s="49">
        <v>2</v>
      </c>
      <c r="L404" s="49" t="s">
        <v>116</v>
      </c>
      <c r="M404" s="46" t="s">
        <v>117</v>
      </c>
      <c r="N404" s="50">
        <v>0</v>
      </c>
      <c r="O404" s="50">
        <v>0</v>
      </c>
      <c r="P404" s="50">
        <v>0</v>
      </c>
      <c r="Q404" s="46" t="s">
        <v>102</v>
      </c>
      <c r="R404" s="46" t="s">
        <v>102</v>
      </c>
      <c r="S404" s="46" t="s">
        <v>102</v>
      </c>
      <c r="T404" s="46" t="s">
        <v>268</v>
      </c>
      <c r="U404" s="51">
        <v>4</v>
      </c>
    </row>
    <row r="405" spans="2:21" ht="14.5" outlineLevel="3">
      <c r="B405" s="44" t="s">
        <v>1726</v>
      </c>
      <c r="C405" s="45" t="s">
        <v>1727</v>
      </c>
      <c r="D405" s="46" t="s">
        <v>392</v>
      </c>
      <c r="E405" s="47" t="s">
        <v>1315</v>
      </c>
      <c r="F405" s="46" t="s">
        <v>1728</v>
      </c>
      <c r="G405" s="47" t="s">
        <v>1729</v>
      </c>
      <c r="H405" s="48">
        <v>8051</v>
      </c>
      <c r="I405" s="48">
        <v>1</v>
      </c>
      <c r="J405" s="47" t="s">
        <v>115</v>
      </c>
      <c r="K405" s="49">
        <v>2</v>
      </c>
      <c r="L405" s="49" t="s">
        <v>116</v>
      </c>
      <c r="M405" s="46" t="s">
        <v>117</v>
      </c>
      <c r="N405" s="50">
        <v>0</v>
      </c>
      <c r="O405" s="50">
        <v>0</v>
      </c>
      <c r="P405" s="50">
        <v>0</v>
      </c>
      <c r="Q405" s="46" t="s">
        <v>102</v>
      </c>
      <c r="R405" s="46" t="s">
        <v>102</v>
      </c>
      <c r="S405" s="46" t="s">
        <v>102</v>
      </c>
      <c r="T405" s="46" t="s">
        <v>273</v>
      </c>
      <c r="U405" s="51">
        <v>4</v>
      </c>
    </row>
    <row r="406" spans="2:21" ht="14.5" outlineLevel="3">
      <c r="B406" s="44" t="s">
        <v>1730</v>
      </c>
      <c r="C406" s="45" t="s">
        <v>1731</v>
      </c>
      <c r="D406" s="46" t="s">
        <v>392</v>
      </c>
      <c r="E406" s="47" t="s">
        <v>1315</v>
      </c>
      <c r="F406" s="46" t="s">
        <v>1732</v>
      </c>
      <c r="G406" s="47" t="s">
        <v>1733</v>
      </c>
      <c r="H406" s="48">
        <v>67939.14</v>
      </c>
      <c r="I406" s="48">
        <v>1</v>
      </c>
      <c r="J406" s="47" t="s">
        <v>115</v>
      </c>
      <c r="K406" s="49">
        <v>2</v>
      </c>
      <c r="L406" s="49" t="s">
        <v>116</v>
      </c>
      <c r="M406" s="46" t="s">
        <v>117</v>
      </c>
      <c r="N406" s="50">
        <v>0</v>
      </c>
      <c r="O406" s="50">
        <v>0</v>
      </c>
      <c r="P406" s="50">
        <v>0</v>
      </c>
      <c r="Q406" s="46" t="s">
        <v>102</v>
      </c>
      <c r="R406" s="46" t="s">
        <v>102</v>
      </c>
      <c r="S406" s="46" t="s">
        <v>102</v>
      </c>
      <c r="T406" s="46" t="s">
        <v>198</v>
      </c>
      <c r="U406" s="51">
        <v>4</v>
      </c>
    </row>
    <row r="407" spans="2:21" ht="14.5" outlineLevel="3">
      <c r="B407" s="44" t="s">
        <v>1734</v>
      </c>
      <c r="C407" s="45" t="s">
        <v>1735</v>
      </c>
      <c r="D407" s="46" t="s">
        <v>458</v>
      </c>
      <c r="E407" s="47" t="s">
        <v>1315</v>
      </c>
      <c r="F407" s="46" t="s">
        <v>1736</v>
      </c>
      <c r="G407" s="47" t="s">
        <v>1737</v>
      </c>
      <c r="H407" s="48">
        <v>724377.99</v>
      </c>
      <c r="I407" s="48">
        <v>13</v>
      </c>
      <c r="J407" s="47" t="s">
        <v>115</v>
      </c>
      <c r="K407" s="49">
        <v>2</v>
      </c>
      <c r="L407" s="49" t="s">
        <v>116</v>
      </c>
      <c r="M407" s="46" t="s">
        <v>117</v>
      </c>
      <c r="N407" s="50">
        <v>0</v>
      </c>
      <c r="O407" s="50">
        <v>0</v>
      </c>
      <c r="P407" s="50">
        <v>0</v>
      </c>
      <c r="Q407" s="46" t="s">
        <v>102</v>
      </c>
      <c r="R407" s="46" t="s">
        <v>102</v>
      </c>
      <c r="S407" s="46" t="s">
        <v>102</v>
      </c>
      <c r="T407" s="46" t="s">
        <v>208</v>
      </c>
      <c r="U407" s="51">
        <v>4</v>
      </c>
    </row>
    <row r="408" spans="2:21" ht="14.5" outlineLevel="3">
      <c r="B408" s="44" t="s">
        <v>1738</v>
      </c>
      <c r="C408" s="45" t="s">
        <v>1719</v>
      </c>
      <c r="D408" s="46" t="s">
        <v>458</v>
      </c>
      <c r="E408" s="47" t="s">
        <v>1315</v>
      </c>
      <c r="F408" s="46" t="s">
        <v>1739</v>
      </c>
      <c r="G408" s="47" t="s">
        <v>1721</v>
      </c>
      <c r="H408" s="48">
        <v>36815.65</v>
      </c>
      <c r="I408" s="48">
        <v>13</v>
      </c>
      <c r="J408" s="47" t="s">
        <v>115</v>
      </c>
      <c r="K408" s="49">
        <v>2</v>
      </c>
      <c r="L408" s="49" t="s">
        <v>116</v>
      </c>
      <c r="M408" s="46" t="s">
        <v>117</v>
      </c>
      <c r="N408" s="50">
        <v>0</v>
      </c>
      <c r="O408" s="50">
        <v>0</v>
      </c>
      <c r="P408" s="50">
        <v>0</v>
      </c>
      <c r="Q408" s="46" t="s">
        <v>102</v>
      </c>
      <c r="R408" s="46" t="s">
        <v>102</v>
      </c>
      <c r="S408" s="46" t="s">
        <v>102</v>
      </c>
      <c r="T408" s="46" t="s">
        <v>303</v>
      </c>
      <c r="U408" s="51">
        <v>4</v>
      </c>
    </row>
    <row r="409" spans="2:21" ht="14.5" outlineLevel="3">
      <c r="B409" s="44" t="s">
        <v>1740</v>
      </c>
      <c r="C409" s="45" t="s">
        <v>1723</v>
      </c>
      <c r="D409" s="46" t="s">
        <v>458</v>
      </c>
      <c r="E409" s="47" t="s">
        <v>1315</v>
      </c>
      <c r="F409" s="46" t="s">
        <v>1741</v>
      </c>
      <c r="G409" s="47" t="s">
        <v>1725</v>
      </c>
      <c r="H409" s="48">
        <v>122791.92</v>
      </c>
      <c r="I409" s="48">
        <v>13</v>
      </c>
      <c r="J409" s="47" t="s">
        <v>115</v>
      </c>
      <c r="K409" s="49">
        <v>2</v>
      </c>
      <c r="L409" s="49" t="s">
        <v>116</v>
      </c>
      <c r="M409" s="46" t="s">
        <v>117</v>
      </c>
      <c r="N409" s="50">
        <v>0</v>
      </c>
      <c r="O409" s="50">
        <v>0</v>
      </c>
      <c r="P409" s="50">
        <v>0</v>
      </c>
      <c r="Q409" s="46" t="s">
        <v>102</v>
      </c>
      <c r="R409" s="46" t="s">
        <v>102</v>
      </c>
      <c r="S409" s="46" t="s">
        <v>102</v>
      </c>
      <c r="T409" s="46" t="s">
        <v>213</v>
      </c>
      <c r="U409" s="51">
        <v>4</v>
      </c>
    </row>
    <row r="410" spans="2:21" ht="14.5" outlineLevel="3">
      <c r="B410" s="44" t="s">
        <v>1742</v>
      </c>
      <c r="C410" s="45" t="s">
        <v>1727</v>
      </c>
      <c r="D410" s="46" t="s">
        <v>392</v>
      </c>
      <c r="E410" s="47" t="s">
        <v>1315</v>
      </c>
      <c r="F410" s="46" t="s">
        <v>1743</v>
      </c>
      <c r="G410" s="47" t="s">
        <v>1744</v>
      </c>
      <c r="H410" s="48">
        <v>101908.7</v>
      </c>
      <c r="I410" s="48">
        <v>1</v>
      </c>
      <c r="J410" s="47" t="s">
        <v>115</v>
      </c>
      <c r="K410" s="49">
        <v>2</v>
      </c>
      <c r="L410" s="49" t="s">
        <v>116</v>
      </c>
      <c r="M410" s="46" t="s">
        <v>117</v>
      </c>
      <c r="N410" s="50">
        <v>0</v>
      </c>
      <c r="O410" s="50">
        <v>0</v>
      </c>
      <c r="P410" s="50">
        <v>0</v>
      </c>
      <c r="Q410" s="46" t="s">
        <v>102</v>
      </c>
      <c r="R410" s="46" t="s">
        <v>102</v>
      </c>
      <c r="S410" s="46" t="s">
        <v>102</v>
      </c>
      <c r="T410" s="46" t="s">
        <v>658</v>
      </c>
      <c r="U410" s="51">
        <v>4</v>
      </c>
    </row>
    <row r="411" spans="2:21" ht="14.5" outlineLevel="3">
      <c r="B411" s="44" t="s">
        <v>1745</v>
      </c>
      <c r="C411" s="45" t="s">
        <v>1731</v>
      </c>
      <c r="D411" s="46" t="s">
        <v>392</v>
      </c>
      <c r="E411" s="47" t="s">
        <v>1315</v>
      </c>
      <c r="F411" s="46" t="s">
        <v>1746</v>
      </c>
      <c r="G411" s="47" t="s">
        <v>1747</v>
      </c>
      <c r="H411" s="48">
        <v>339695.69</v>
      </c>
      <c r="I411" s="48">
        <v>1</v>
      </c>
      <c r="J411" s="47" t="s">
        <v>115</v>
      </c>
      <c r="K411" s="49">
        <v>2</v>
      </c>
      <c r="L411" s="49" t="s">
        <v>116</v>
      </c>
      <c r="M411" s="46" t="s">
        <v>117</v>
      </c>
      <c r="N411" s="50">
        <v>0</v>
      </c>
      <c r="O411" s="50">
        <v>0</v>
      </c>
      <c r="P411" s="50">
        <v>0</v>
      </c>
      <c r="Q411" s="46" t="s">
        <v>102</v>
      </c>
      <c r="R411" s="46" t="s">
        <v>102</v>
      </c>
      <c r="S411" s="46" t="s">
        <v>102</v>
      </c>
      <c r="T411" s="46" t="s">
        <v>663</v>
      </c>
      <c r="U411" s="51">
        <v>4</v>
      </c>
    </row>
    <row r="412" spans="2:21" ht="14.5" outlineLevel="3">
      <c r="B412" s="44" t="s">
        <v>1748</v>
      </c>
      <c r="C412" s="45" t="s">
        <v>1749</v>
      </c>
      <c r="D412" s="46" t="s">
        <v>458</v>
      </c>
      <c r="E412" s="47" t="s">
        <v>1315</v>
      </c>
      <c r="F412" s="46" t="s">
        <v>1750</v>
      </c>
      <c r="G412" s="47" t="s">
        <v>1751</v>
      </c>
      <c r="H412" s="48">
        <v>35911.019999999997</v>
      </c>
      <c r="I412" s="48">
        <v>14</v>
      </c>
      <c r="J412" s="47" t="s">
        <v>115</v>
      </c>
      <c r="K412" s="49">
        <v>2</v>
      </c>
      <c r="L412" s="49" t="s">
        <v>116</v>
      </c>
      <c r="M412" s="46" t="s">
        <v>117</v>
      </c>
      <c r="N412" s="50">
        <v>0</v>
      </c>
      <c r="O412" s="50">
        <v>0</v>
      </c>
      <c r="P412" s="50">
        <v>0</v>
      </c>
      <c r="Q412" s="46" t="s">
        <v>102</v>
      </c>
      <c r="R412" s="46" t="s">
        <v>102</v>
      </c>
      <c r="S412" s="46" t="s">
        <v>102</v>
      </c>
      <c r="T412" s="46" t="s">
        <v>691</v>
      </c>
      <c r="U412" s="51">
        <v>4</v>
      </c>
    </row>
    <row r="413" spans="2:21" ht="14.5" outlineLevel="3">
      <c r="B413" s="44" t="s">
        <v>1752</v>
      </c>
      <c r="C413" s="45" t="s">
        <v>1719</v>
      </c>
      <c r="D413" s="46" t="s">
        <v>458</v>
      </c>
      <c r="E413" s="47" t="s">
        <v>1315</v>
      </c>
      <c r="F413" s="46" t="s">
        <v>1753</v>
      </c>
      <c r="G413" s="47" t="s">
        <v>1721</v>
      </c>
      <c r="H413" s="48">
        <v>2264.67</v>
      </c>
      <c r="I413" s="48">
        <v>14</v>
      </c>
      <c r="J413" s="47" t="s">
        <v>115</v>
      </c>
      <c r="K413" s="49">
        <v>2</v>
      </c>
      <c r="L413" s="49" t="s">
        <v>116</v>
      </c>
      <c r="M413" s="46" t="s">
        <v>117</v>
      </c>
      <c r="N413" s="50">
        <v>0</v>
      </c>
      <c r="O413" s="50">
        <v>0</v>
      </c>
      <c r="P413" s="50">
        <v>0</v>
      </c>
      <c r="Q413" s="46" t="s">
        <v>102</v>
      </c>
      <c r="R413" s="46" t="s">
        <v>102</v>
      </c>
      <c r="S413" s="46" t="s">
        <v>102</v>
      </c>
      <c r="T413" s="46" t="s">
        <v>695</v>
      </c>
      <c r="U413" s="51">
        <v>4</v>
      </c>
    </row>
    <row r="414" spans="2:21" ht="14.5" outlineLevel="3">
      <c r="B414" s="44" t="s">
        <v>1754</v>
      </c>
      <c r="C414" s="45" t="s">
        <v>1723</v>
      </c>
      <c r="D414" s="46" t="s">
        <v>469</v>
      </c>
      <c r="E414" s="47" t="s">
        <v>1315</v>
      </c>
      <c r="F414" s="46" t="s">
        <v>1755</v>
      </c>
      <c r="G414" s="47" t="s">
        <v>1725</v>
      </c>
      <c r="H414" s="48">
        <v>15878.31</v>
      </c>
      <c r="I414" s="48">
        <v>14</v>
      </c>
      <c r="J414" s="47" t="s">
        <v>115</v>
      </c>
      <c r="K414" s="49">
        <v>2</v>
      </c>
      <c r="L414" s="49" t="s">
        <v>116</v>
      </c>
      <c r="M414" s="46" t="s">
        <v>117</v>
      </c>
      <c r="N414" s="50">
        <v>0</v>
      </c>
      <c r="O414" s="50">
        <v>0</v>
      </c>
      <c r="P414" s="50">
        <v>0</v>
      </c>
      <c r="Q414" s="46" t="s">
        <v>102</v>
      </c>
      <c r="R414" s="46" t="s">
        <v>102</v>
      </c>
      <c r="S414" s="46" t="s">
        <v>102</v>
      </c>
      <c r="T414" s="46" t="s">
        <v>228</v>
      </c>
      <c r="U414" s="51">
        <v>4</v>
      </c>
    </row>
    <row r="415" spans="2:21" ht="14.5" outlineLevel="3">
      <c r="B415" s="44" t="s">
        <v>1756</v>
      </c>
      <c r="C415" s="45" t="s">
        <v>1727</v>
      </c>
      <c r="D415" s="46" t="s">
        <v>392</v>
      </c>
      <c r="E415" s="47" t="s">
        <v>1315</v>
      </c>
      <c r="F415" s="46" t="s">
        <v>1757</v>
      </c>
      <c r="G415" s="47" t="s">
        <v>1729</v>
      </c>
      <c r="H415" s="48">
        <v>2076.3200000000002</v>
      </c>
      <c r="I415" s="48">
        <v>1</v>
      </c>
      <c r="J415" s="47" t="s">
        <v>115</v>
      </c>
      <c r="K415" s="49">
        <v>2</v>
      </c>
      <c r="L415" s="49" t="s">
        <v>116</v>
      </c>
      <c r="M415" s="46" t="s">
        <v>117</v>
      </c>
      <c r="N415" s="50">
        <v>0</v>
      </c>
      <c r="O415" s="50">
        <v>0</v>
      </c>
      <c r="P415" s="50">
        <v>0</v>
      </c>
      <c r="Q415" s="46" t="s">
        <v>102</v>
      </c>
      <c r="R415" s="46" t="s">
        <v>102</v>
      </c>
      <c r="S415" s="46" t="s">
        <v>102</v>
      </c>
      <c r="T415" s="46" t="s">
        <v>233</v>
      </c>
      <c r="U415" s="51">
        <v>4</v>
      </c>
    </row>
    <row r="416" spans="2:21" ht="14.5" outlineLevel="2">
      <c r="B416" s="36" t="s">
        <v>1758</v>
      </c>
      <c r="C416" s="37" t="s">
        <v>1759</v>
      </c>
      <c r="D416" s="38" t="s">
        <v>102</v>
      </c>
      <c r="E416" s="39" t="s">
        <v>102</v>
      </c>
      <c r="F416" s="38" t="s">
        <v>102</v>
      </c>
      <c r="G416" s="39" t="s">
        <v>102</v>
      </c>
      <c r="H416" s="40">
        <v>0</v>
      </c>
      <c r="I416" s="40">
        <v>0</v>
      </c>
      <c r="J416" s="39" t="s">
        <v>102</v>
      </c>
      <c r="K416" s="41">
        <v>0</v>
      </c>
      <c r="L416" s="41" t="s">
        <v>102</v>
      </c>
      <c r="M416" s="38" t="s">
        <v>102</v>
      </c>
      <c r="N416" s="42">
        <v>0</v>
      </c>
      <c r="O416" s="42">
        <v>0</v>
      </c>
      <c r="P416" s="42">
        <v>0</v>
      </c>
      <c r="Q416" s="38" t="s">
        <v>102</v>
      </c>
      <c r="R416" s="38" t="s">
        <v>102</v>
      </c>
      <c r="S416" s="38" t="s">
        <v>1760</v>
      </c>
      <c r="T416" s="38" t="s">
        <v>102</v>
      </c>
      <c r="U416" s="43">
        <v>3</v>
      </c>
    </row>
    <row r="417" spans="2:21" ht="14.5" outlineLevel="3">
      <c r="B417" s="44" t="s">
        <v>1761</v>
      </c>
      <c r="C417" s="45" t="s">
        <v>1762</v>
      </c>
      <c r="D417" s="46" t="s">
        <v>469</v>
      </c>
      <c r="E417" s="47" t="s">
        <v>1315</v>
      </c>
      <c r="F417" s="46" t="s">
        <v>1763</v>
      </c>
      <c r="G417" s="47" t="s">
        <v>1764</v>
      </c>
      <c r="H417" s="48">
        <v>1610794.49</v>
      </c>
      <c r="I417" s="48">
        <v>1</v>
      </c>
      <c r="J417" s="47" t="s">
        <v>115</v>
      </c>
      <c r="K417" s="49">
        <v>2</v>
      </c>
      <c r="L417" s="49" t="s">
        <v>116</v>
      </c>
      <c r="M417" s="46" t="s">
        <v>117</v>
      </c>
      <c r="N417" s="50">
        <v>0</v>
      </c>
      <c r="O417" s="50">
        <v>0</v>
      </c>
      <c r="P417" s="50">
        <v>0</v>
      </c>
      <c r="Q417" s="46" t="s">
        <v>102</v>
      </c>
      <c r="R417" s="46" t="s">
        <v>102</v>
      </c>
      <c r="S417" s="46" t="s">
        <v>102</v>
      </c>
      <c r="T417" s="46" t="s">
        <v>118</v>
      </c>
      <c r="U417" s="51">
        <v>4</v>
      </c>
    </row>
    <row r="418" spans="2:21" ht="14.5" outlineLevel="3">
      <c r="B418" s="44" t="s">
        <v>1765</v>
      </c>
      <c r="C418" s="45" t="s">
        <v>1766</v>
      </c>
      <c r="D418" s="46" t="s">
        <v>469</v>
      </c>
      <c r="E418" s="47" t="s">
        <v>1315</v>
      </c>
      <c r="F418" s="46" t="s">
        <v>1767</v>
      </c>
      <c r="G418" s="47" t="s">
        <v>1768</v>
      </c>
      <c r="H418" s="48">
        <v>295282.84999999998</v>
      </c>
      <c r="I418" s="48">
        <v>2</v>
      </c>
      <c r="J418" s="47" t="s">
        <v>115</v>
      </c>
      <c r="K418" s="49">
        <v>2</v>
      </c>
      <c r="L418" s="49" t="s">
        <v>116</v>
      </c>
      <c r="M418" s="46" t="s">
        <v>117</v>
      </c>
      <c r="N418" s="50">
        <v>0</v>
      </c>
      <c r="O418" s="50">
        <v>0</v>
      </c>
      <c r="P418" s="50">
        <v>0</v>
      </c>
      <c r="Q418" s="46" t="s">
        <v>102</v>
      </c>
      <c r="R418" s="46" t="s">
        <v>102</v>
      </c>
      <c r="S418" s="46" t="s">
        <v>102</v>
      </c>
      <c r="T418" s="46" t="s">
        <v>123</v>
      </c>
      <c r="U418" s="51">
        <v>4</v>
      </c>
    </row>
    <row r="419" spans="2:21" ht="14.5" outlineLevel="3">
      <c r="B419" s="44" t="s">
        <v>1769</v>
      </c>
      <c r="C419" s="45" t="s">
        <v>1770</v>
      </c>
      <c r="D419" s="46" t="s">
        <v>469</v>
      </c>
      <c r="E419" s="47" t="s">
        <v>1315</v>
      </c>
      <c r="F419" s="46" t="s">
        <v>1771</v>
      </c>
      <c r="G419" s="47" t="s">
        <v>1772</v>
      </c>
      <c r="H419" s="48">
        <v>191311.37</v>
      </c>
      <c r="I419" s="48">
        <v>3</v>
      </c>
      <c r="J419" s="47" t="s">
        <v>115</v>
      </c>
      <c r="K419" s="49">
        <v>2</v>
      </c>
      <c r="L419" s="49" t="s">
        <v>116</v>
      </c>
      <c r="M419" s="46" t="s">
        <v>117</v>
      </c>
      <c r="N419" s="50">
        <v>0</v>
      </c>
      <c r="O419" s="50">
        <v>0</v>
      </c>
      <c r="P419" s="50">
        <v>0</v>
      </c>
      <c r="Q419" s="46" t="s">
        <v>102</v>
      </c>
      <c r="R419" s="46" t="s">
        <v>102</v>
      </c>
      <c r="S419" s="46" t="s">
        <v>102</v>
      </c>
      <c r="T419" s="46" t="s">
        <v>128</v>
      </c>
      <c r="U419" s="51">
        <v>4</v>
      </c>
    </row>
    <row r="420" spans="2:21" ht="14.5" outlineLevel="3">
      <c r="B420" s="44" t="s">
        <v>1773</v>
      </c>
      <c r="C420" s="45" t="s">
        <v>1774</v>
      </c>
      <c r="D420" s="46" t="s">
        <v>392</v>
      </c>
      <c r="E420" s="47" t="s">
        <v>1315</v>
      </c>
      <c r="F420" s="46" t="s">
        <v>1775</v>
      </c>
      <c r="G420" s="47" t="s">
        <v>1776</v>
      </c>
      <c r="H420" s="48">
        <v>161210.96</v>
      </c>
      <c r="I420" s="48">
        <v>1</v>
      </c>
      <c r="J420" s="47" t="s">
        <v>115</v>
      </c>
      <c r="K420" s="49">
        <v>2</v>
      </c>
      <c r="L420" s="49" t="s">
        <v>116</v>
      </c>
      <c r="M420" s="46" t="s">
        <v>117</v>
      </c>
      <c r="N420" s="50">
        <v>0</v>
      </c>
      <c r="O420" s="50">
        <v>0</v>
      </c>
      <c r="P420" s="50">
        <v>0</v>
      </c>
      <c r="Q420" s="46" t="s">
        <v>102</v>
      </c>
      <c r="R420" s="46" t="s">
        <v>102</v>
      </c>
      <c r="S420" s="46" t="s">
        <v>102</v>
      </c>
      <c r="T420" s="46" t="s">
        <v>133</v>
      </c>
      <c r="U420" s="51">
        <v>4</v>
      </c>
    </row>
    <row r="421" spans="2:21" ht="14.5" outlineLevel="3">
      <c r="B421" s="44" t="s">
        <v>1777</v>
      </c>
      <c r="C421" s="45" t="s">
        <v>1778</v>
      </c>
      <c r="D421" s="46" t="s">
        <v>392</v>
      </c>
      <c r="E421" s="47" t="s">
        <v>1315</v>
      </c>
      <c r="F421" s="46" t="s">
        <v>1779</v>
      </c>
      <c r="G421" s="47" t="s">
        <v>1780</v>
      </c>
      <c r="H421" s="48">
        <v>175958.88</v>
      </c>
      <c r="I421" s="48">
        <v>1</v>
      </c>
      <c r="J421" s="47" t="s">
        <v>115</v>
      </c>
      <c r="K421" s="49">
        <v>2</v>
      </c>
      <c r="L421" s="49" t="s">
        <v>116</v>
      </c>
      <c r="M421" s="46" t="s">
        <v>117</v>
      </c>
      <c r="N421" s="50">
        <v>0</v>
      </c>
      <c r="O421" s="50">
        <v>0</v>
      </c>
      <c r="P421" s="50">
        <v>0</v>
      </c>
      <c r="Q421" s="46" t="s">
        <v>102</v>
      </c>
      <c r="R421" s="46" t="s">
        <v>102</v>
      </c>
      <c r="S421" s="46" t="s">
        <v>102</v>
      </c>
      <c r="T421" s="46" t="s">
        <v>138</v>
      </c>
      <c r="U421" s="51">
        <v>4</v>
      </c>
    </row>
    <row r="422" spans="2:21" ht="14.5" outlineLevel="3">
      <c r="B422" s="44" t="s">
        <v>1781</v>
      </c>
      <c r="C422" s="45" t="s">
        <v>1782</v>
      </c>
      <c r="D422" s="46" t="s">
        <v>392</v>
      </c>
      <c r="E422" s="47" t="s">
        <v>1315</v>
      </c>
      <c r="F422" s="46" t="s">
        <v>1783</v>
      </c>
      <c r="G422" s="47" t="s">
        <v>1784</v>
      </c>
      <c r="H422" s="48">
        <v>53953.48</v>
      </c>
      <c r="I422" s="48">
        <v>1</v>
      </c>
      <c r="J422" s="47" t="s">
        <v>115</v>
      </c>
      <c r="K422" s="49">
        <v>2</v>
      </c>
      <c r="L422" s="49" t="s">
        <v>116</v>
      </c>
      <c r="M422" s="46" t="s">
        <v>117</v>
      </c>
      <c r="N422" s="50">
        <v>0</v>
      </c>
      <c r="O422" s="50">
        <v>0</v>
      </c>
      <c r="P422" s="50">
        <v>0</v>
      </c>
      <c r="Q422" s="46" t="s">
        <v>102</v>
      </c>
      <c r="R422" s="46" t="s">
        <v>102</v>
      </c>
      <c r="S422" s="46" t="s">
        <v>102</v>
      </c>
      <c r="T422" s="46" t="s">
        <v>143</v>
      </c>
      <c r="U422" s="51">
        <v>4</v>
      </c>
    </row>
    <row r="423" spans="2:21" ht="14.5" outlineLevel="3">
      <c r="B423" s="44" t="s">
        <v>1785</v>
      </c>
      <c r="C423" s="45" t="s">
        <v>1786</v>
      </c>
      <c r="D423" s="46" t="s">
        <v>469</v>
      </c>
      <c r="E423" s="47" t="s">
        <v>1315</v>
      </c>
      <c r="F423" s="46" t="s">
        <v>1787</v>
      </c>
      <c r="G423" s="47" t="s">
        <v>1788</v>
      </c>
      <c r="H423" s="48">
        <v>27139.05</v>
      </c>
      <c r="I423" s="48">
        <v>2</v>
      </c>
      <c r="J423" s="47" t="s">
        <v>115</v>
      </c>
      <c r="K423" s="49">
        <v>2</v>
      </c>
      <c r="L423" s="49" t="s">
        <v>116</v>
      </c>
      <c r="M423" s="46" t="s">
        <v>117</v>
      </c>
      <c r="N423" s="50">
        <v>0</v>
      </c>
      <c r="O423" s="50">
        <v>0</v>
      </c>
      <c r="P423" s="50">
        <v>0</v>
      </c>
      <c r="Q423" s="46" t="s">
        <v>102</v>
      </c>
      <c r="R423" s="46" t="s">
        <v>102</v>
      </c>
      <c r="S423" s="46" t="s">
        <v>102</v>
      </c>
      <c r="T423" s="46" t="s">
        <v>176</v>
      </c>
      <c r="U423" s="51">
        <v>4</v>
      </c>
    </row>
    <row r="424" spans="2:21" ht="14.5" outlineLevel="3">
      <c r="B424" s="44" t="s">
        <v>1789</v>
      </c>
      <c r="C424" s="45" t="s">
        <v>1790</v>
      </c>
      <c r="D424" s="46" t="s">
        <v>392</v>
      </c>
      <c r="E424" s="47" t="s">
        <v>1315</v>
      </c>
      <c r="F424" s="46" t="s">
        <v>1791</v>
      </c>
      <c r="G424" s="47" t="s">
        <v>1792</v>
      </c>
      <c r="H424" s="48">
        <v>88840.23</v>
      </c>
      <c r="I424" s="48">
        <v>1</v>
      </c>
      <c r="J424" s="47" t="s">
        <v>115</v>
      </c>
      <c r="K424" s="49">
        <v>2</v>
      </c>
      <c r="L424" s="49" t="s">
        <v>116</v>
      </c>
      <c r="M424" s="46" t="s">
        <v>117</v>
      </c>
      <c r="N424" s="50">
        <v>0</v>
      </c>
      <c r="O424" s="50">
        <v>0</v>
      </c>
      <c r="P424" s="50">
        <v>0</v>
      </c>
      <c r="Q424" s="46" t="s">
        <v>102</v>
      </c>
      <c r="R424" s="46" t="s">
        <v>102</v>
      </c>
      <c r="S424" s="46" t="s">
        <v>102</v>
      </c>
      <c r="T424" s="46" t="s">
        <v>182</v>
      </c>
      <c r="U424" s="51">
        <v>4</v>
      </c>
    </row>
    <row r="425" spans="2:21" ht="14.5" outlineLevel="2">
      <c r="B425" s="36" t="s">
        <v>1793</v>
      </c>
      <c r="C425" s="37" t="s">
        <v>1794</v>
      </c>
      <c r="D425" s="38" t="s">
        <v>102</v>
      </c>
      <c r="E425" s="39" t="s">
        <v>102</v>
      </c>
      <c r="F425" s="38" t="s">
        <v>102</v>
      </c>
      <c r="G425" s="39" t="s">
        <v>102</v>
      </c>
      <c r="H425" s="40">
        <v>0</v>
      </c>
      <c r="I425" s="40">
        <v>0</v>
      </c>
      <c r="J425" s="39" t="s">
        <v>102</v>
      </c>
      <c r="K425" s="41">
        <v>0</v>
      </c>
      <c r="L425" s="41" t="s">
        <v>102</v>
      </c>
      <c r="M425" s="38" t="s">
        <v>102</v>
      </c>
      <c r="N425" s="42">
        <v>0</v>
      </c>
      <c r="O425" s="42">
        <v>0</v>
      </c>
      <c r="P425" s="42">
        <v>0</v>
      </c>
      <c r="Q425" s="38" t="s">
        <v>102</v>
      </c>
      <c r="R425" s="38" t="s">
        <v>102</v>
      </c>
      <c r="S425" s="38" t="s">
        <v>1795</v>
      </c>
      <c r="T425" s="38" t="s">
        <v>102</v>
      </c>
      <c r="U425" s="43">
        <v>3</v>
      </c>
    </row>
    <row r="426" spans="2:21" ht="14.5" outlineLevel="3">
      <c r="B426" s="44" t="s">
        <v>1796</v>
      </c>
      <c r="C426" s="45" t="s">
        <v>1797</v>
      </c>
      <c r="D426" s="46" t="s">
        <v>469</v>
      </c>
      <c r="E426" s="47" t="s">
        <v>1315</v>
      </c>
      <c r="F426" s="46" t="s">
        <v>1798</v>
      </c>
      <c r="G426" s="47" t="s">
        <v>1799</v>
      </c>
      <c r="H426" s="48">
        <v>13530039.970000001</v>
      </c>
      <c r="I426" s="48">
        <v>2</v>
      </c>
      <c r="J426" s="47" t="s">
        <v>115</v>
      </c>
      <c r="K426" s="49">
        <v>2</v>
      </c>
      <c r="L426" s="49" t="s">
        <v>116</v>
      </c>
      <c r="M426" s="46" t="s">
        <v>117</v>
      </c>
      <c r="N426" s="50">
        <v>0</v>
      </c>
      <c r="O426" s="50">
        <v>0</v>
      </c>
      <c r="P426" s="50">
        <v>0</v>
      </c>
      <c r="Q426" s="46" t="s">
        <v>102</v>
      </c>
      <c r="R426" s="46" t="s">
        <v>102</v>
      </c>
      <c r="S426" s="46" t="s">
        <v>102</v>
      </c>
      <c r="T426" s="46" t="s">
        <v>118</v>
      </c>
      <c r="U426" s="51">
        <v>4</v>
      </c>
    </row>
    <row r="427" spans="2:21" ht="14.5" outlineLevel="3">
      <c r="B427" s="44" t="s">
        <v>1800</v>
      </c>
      <c r="C427" s="45" t="s">
        <v>1801</v>
      </c>
      <c r="D427" s="46" t="s">
        <v>392</v>
      </c>
      <c r="E427" s="47" t="s">
        <v>1315</v>
      </c>
      <c r="F427" s="46" t="s">
        <v>1802</v>
      </c>
      <c r="G427" s="47" t="s">
        <v>1803</v>
      </c>
      <c r="H427" s="48">
        <v>9981453.9399999995</v>
      </c>
      <c r="I427" s="48">
        <v>1</v>
      </c>
      <c r="J427" s="47" t="s">
        <v>115</v>
      </c>
      <c r="K427" s="49">
        <v>2</v>
      </c>
      <c r="L427" s="49" t="s">
        <v>116</v>
      </c>
      <c r="M427" s="46" t="s">
        <v>117</v>
      </c>
      <c r="N427" s="50">
        <v>0</v>
      </c>
      <c r="O427" s="50">
        <v>0</v>
      </c>
      <c r="P427" s="50">
        <v>0</v>
      </c>
      <c r="Q427" s="46" t="s">
        <v>102</v>
      </c>
      <c r="R427" s="46" t="s">
        <v>102</v>
      </c>
      <c r="S427" s="46" t="s">
        <v>102</v>
      </c>
      <c r="T427" s="46" t="s">
        <v>123</v>
      </c>
      <c r="U427" s="51">
        <v>4</v>
      </c>
    </row>
    <row r="428" spans="2:21" ht="14.5" outlineLevel="3">
      <c r="B428" s="44" t="s">
        <v>1804</v>
      </c>
      <c r="C428" s="45" t="s">
        <v>1805</v>
      </c>
      <c r="D428" s="46" t="s">
        <v>392</v>
      </c>
      <c r="E428" s="47" t="s">
        <v>1315</v>
      </c>
      <c r="F428" s="46" t="s">
        <v>1806</v>
      </c>
      <c r="G428" s="47" t="s">
        <v>1807</v>
      </c>
      <c r="H428" s="48">
        <v>10713026.51</v>
      </c>
      <c r="I428" s="48">
        <v>1</v>
      </c>
      <c r="J428" s="47" t="s">
        <v>115</v>
      </c>
      <c r="K428" s="49">
        <v>2</v>
      </c>
      <c r="L428" s="49" t="s">
        <v>116</v>
      </c>
      <c r="M428" s="46" t="s">
        <v>117</v>
      </c>
      <c r="N428" s="50">
        <v>0</v>
      </c>
      <c r="O428" s="50">
        <v>0</v>
      </c>
      <c r="P428" s="50">
        <v>0</v>
      </c>
      <c r="Q428" s="46" t="s">
        <v>102</v>
      </c>
      <c r="R428" s="46" t="s">
        <v>102</v>
      </c>
      <c r="S428" s="46" t="s">
        <v>102</v>
      </c>
      <c r="T428" s="46" t="s">
        <v>128</v>
      </c>
      <c r="U428" s="51">
        <v>4</v>
      </c>
    </row>
    <row r="429" spans="2:21" ht="14.5" outlineLevel="3">
      <c r="B429" s="44" t="s">
        <v>1808</v>
      </c>
      <c r="C429" s="45" t="s">
        <v>1809</v>
      </c>
      <c r="D429" s="46" t="s">
        <v>392</v>
      </c>
      <c r="E429" s="47" t="s">
        <v>1315</v>
      </c>
      <c r="F429" s="46" t="s">
        <v>1810</v>
      </c>
      <c r="G429" s="47" t="s">
        <v>1811</v>
      </c>
      <c r="H429" s="48">
        <v>9225546.6600000001</v>
      </c>
      <c r="I429" s="48">
        <v>1</v>
      </c>
      <c r="J429" s="47" t="s">
        <v>115</v>
      </c>
      <c r="K429" s="49">
        <v>2</v>
      </c>
      <c r="L429" s="49" t="s">
        <v>116</v>
      </c>
      <c r="M429" s="46" t="s">
        <v>117</v>
      </c>
      <c r="N429" s="50">
        <v>0</v>
      </c>
      <c r="O429" s="50">
        <v>0</v>
      </c>
      <c r="P429" s="50">
        <v>0</v>
      </c>
      <c r="Q429" s="46" t="s">
        <v>102</v>
      </c>
      <c r="R429" s="46" t="s">
        <v>102</v>
      </c>
      <c r="S429" s="46" t="s">
        <v>102</v>
      </c>
      <c r="T429" s="46" t="s">
        <v>133</v>
      </c>
      <c r="U429" s="51">
        <v>4</v>
      </c>
    </row>
    <row r="430" spans="2:21" ht="14.5" outlineLevel="3">
      <c r="B430" s="44" t="s">
        <v>1812</v>
      </c>
      <c r="C430" s="45" t="s">
        <v>1813</v>
      </c>
      <c r="D430" s="46" t="s">
        <v>458</v>
      </c>
      <c r="E430" s="47" t="s">
        <v>1315</v>
      </c>
      <c r="F430" s="46" t="s">
        <v>1814</v>
      </c>
      <c r="G430" s="47" t="s">
        <v>1815</v>
      </c>
      <c r="H430" s="48">
        <v>11624.38</v>
      </c>
      <c r="I430" s="48">
        <v>1</v>
      </c>
      <c r="J430" s="47" t="s">
        <v>115</v>
      </c>
      <c r="K430" s="49">
        <v>2</v>
      </c>
      <c r="L430" s="49" t="s">
        <v>116</v>
      </c>
      <c r="M430" s="46" t="s">
        <v>117</v>
      </c>
      <c r="N430" s="50">
        <v>0</v>
      </c>
      <c r="O430" s="50">
        <v>0</v>
      </c>
      <c r="P430" s="50">
        <v>0</v>
      </c>
      <c r="Q430" s="46" t="s">
        <v>102</v>
      </c>
      <c r="R430" s="46" t="s">
        <v>102</v>
      </c>
      <c r="S430" s="46" t="s">
        <v>102</v>
      </c>
      <c r="T430" s="46" t="s">
        <v>138</v>
      </c>
      <c r="U430" s="51">
        <v>4</v>
      </c>
    </row>
    <row r="431" spans="2:21" ht="14.5" outlineLevel="3">
      <c r="B431" s="44" t="s">
        <v>1816</v>
      </c>
      <c r="C431" s="45" t="s">
        <v>1817</v>
      </c>
      <c r="D431" s="46" t="s">
        <v>469</v>
      </c>
      <c r="E431" s="47" t="s">
        <v>1315</v>
      </c>
      <c r="F431" s="46" t="s">
        <v>1818</v>
      </c>
      <c r="G431" s="47" t="s">
        <v>1819</v>
      </c>
      <c r="H431" s="48">
        <v>39234.86</v>
      </c>
      <c r="I431" s="48">
        <v>117</v>
      </c>
      <c r="J431" s="47" t="s">
        <v>115</v>
      </c>
      <c r="K431" s="49">
        <v>2</v>
      </c>
      <c r="L431" s="49" t="s">
        <v>116</v>
      </c>
      <c r="M431" s="46" t="s">
        <v>117</v>
      </c>
      <c r="N431" s="50">
        <v>0</v>
      </c>
      <c r="O431" s="50">
        <v>0</v>
      </c>
      <c r="P431" s="50">
        <v>0</v>
      </c>
      <c r="Q431" s="46" t="s">
        <v>102</v>
      </c>
      <c r="R431" s="46" t="s">
        <v>102</v>
      </c>
      <c r="S431" s="46" t="s">
        <v>102</v>
      </c>
      <c r="T431" s="46" t="s">
        <v>143</v>
      </c>
      <c r="U431" s="51">
        <v>4</v>
      </c>
    </row>
    <row r="432" spans="2:21" ht="14.5" outlineLevel="3">
      <c r="B432" s="44" t="s">
        <v>1820</v>
      </c>
      <c r="C432" s="45" t="s">
        <v>1821</v>
      </c>
      <c r="D432" s="46" t="s">
        <v>469</v>
      </c>
      <c r="E432" s="47" t="s">
        <v>1315</v>
      </c>
      <c r="F432" s="46" t="s">
        <v>1822</v>
      </c>
      <c r="G432" s="47" t="s">
        <v>1823</v>
      </c>
      <c r="H432" s="48">
        <v>13805.23</v>
      </c>
      <c r="I432" s="48">
        <v>34</v>
      </c>
      <c r="J432" s="47" t="s">
        <v>115</v>
      </c>
      <c r="K432" s="49">
        <v>2</v>
      </c>
      <c r="L432" s="49" t="s">
        <v>116</v>
      </c>
      <c r="M432" s="46" t="s">
        <v>117</v>
      </c>
      <c r="N432" s="50">
        <v>0</v>
      </c>
      <c r="O432" s="50">
        <v>0</v>
      </c>
      <c r="P432" s="50">
        <v>0</v>
      </c>
      <c r="Q432" s="46" t="s">
        <v>102</v>
      </c>
      <c r="R432" s="46" t="s">
        <v>102</v>
      </c>
      <c r="S432" s="46" t="s">
        <v>102</v>
      </c>
      <c r="T432" s="46" t="s">
        <v>176</v>
      </c>
      <c r="U432" s="51">
        <v>4</v>
      </c>
    </row>
    <row r="433" spans="2:21" ht="14.5" outlineLevel="3">
      <c r="B433" s="44" t="s">
        <v>1824</v>
      </c>
      <c r="C433" s="45" t="s">
        <v>1825</v>
      </c>
      <c r="D433" s="46" t="s">
        <v>179</v>
      </c>
      <c r="E433" s="47" t="s">
        <v>1315</v>
      </c>
      <c r="F433" s="46" t="s">
        <v>1826</v>
      </c>
      <c r="G433" s="47" t="s">
        <v>1827</v>
      </c>
      <c r="H433" s="48">
        <v>52.66</v>
      </c>
      <c r="I433" s="48">
        <v>280000</v>
      </c>
      <c r="J433" s="47" t="s">
        <v>115</v>
      </c>
      <c r="K433" s="49">
        <v>2</v>
      </c>
      <c r="L433" s="49" t="s">
        <v>116</v>
      </c>
      <c r="M433" s="46" t="s">
        <v>117</v>
      </c>
      <c r="N433" s="50">
        <v>0</v>
      </c>
      <c r="O433" s="50">
        <v>0</v>
      </c>
      <c r="P433" s="50">
        <v>0</v>
      </c>
      <c r="Q433" s="46" t="s">
        <v>102</v>
      </c>
      <c r="R433" s="46" t="s">
        <v>102</v>
      </c>
      <c r="S433" s="46" t="s">
        <v>102</v>
      </c>
      <c r="T433" s="46" t="s">
        <v>182</v>
      </c>
      <c r="U433" s="51">
        <v>4</v>
      </c>
    </row>
    <row r="434" spans="2:21" ht="14.5" outlineLevel="3">
      <c r="B434" s="44" t="s">
        <v>1828</v>
      </c>
      <c r="C434" s="45" t="s">
        <v>1829</v>
      </c>
      <c r="D434" s="46" t="s">
        <v>458</v>
      </c>
      <c r="E434" s="47" t="s">
        <v>1315</v>
      </c>
      <c r="F434" s="46" t="s">
        <v>1830</v>
      </c>
      <c r="G434" s="47" t="s">
        <v>1831</v>
      </c>
      <c r="H434" s="48">
        <v>1378.3</v>
      </c>
      <c r="I434" s="48">
        <v>155</v>
      </c>
      <c r="J434" s="47" t="s">
        <v>115</v>
      </c>
      <c r="K434" s="49">
        <v>2</v>
      </c>
      <c r="L434" s="49" t="s">
        <v>116</v>
      </c>
      <c r="M434" s="46" t="s">
        <v>117</v>
      </c>
      <c r="N434" s="50">
        <v>0</v>
      </c>
      <c r="O434" s="50">
        <v>0</v>
      </c>
      <c r="P434" s="50">
        <v>0</v>
      </c>
      <c r="Q434" s="46" t="s">
        <v>102</v>
      </c>
      <c r="R434" s="46" t="s">
        <v>102</v>
      </c>
      <c r="S434" s="46" t="s">
        <v>102</v>
      </c>
      <c r="T434" s="46" t="s">
        <v>187</v>
      </c>
      <c r="U434" s="51">
        <v>4</v>
      </c>
    </row>
    <row r="435" spans="2:21" ht="14.5" outlineLevel="3">
      <c r="B435" s="44" t="s">
        <v>1832</v>
      </c>
      <c r="C435" s="45" t="s">
        <v>1833</v>
      </c>
      <c r="D435" s="46" t="s">
        <v>458</v>
      </c>
      <c r="E435" s="47" t="s">
        <v>1315</v>
      </c>
      <c r="F435" s="46" t="s">
        <v>1834</v>
      </c>
      <c r="G435" s="47" t="s">
        <v>1835</v>
      </c>
      <c r="H435" s="48">
        <v>1705730.74</v>
      </c>
      <c r="I435" s="48">
        <v>2</v>
      </c>
      <c r="J435" s="47" t="s">
        <v>115</v>
      </c>
      <c r="K435" s="49">
        <v>2</v>
      </c>
      <c r="L435" s="49" t="s">
        <v>116</v>
      </c>
      <c r="M435" s="46" t="s">
        <v>117</v>
      </c>
      <c r="N435" s="50">
        <v>0</v>
      </c>
      <c r="O435" s="50">
        <v>0</v>
      </c>
      <c r="P435" s="50">
        <v>0</v>
      </c>
      <c r="Q435" s="46" t="s">
        <v>102</v>
      </c>
      <c r="R435" s="46" t="s">
        <v>102</v>
      </c>
      <c r="S435" s="46" t="s">
        <v>102</v>
      </c>
      <c r="T435" s="46" t="s">
        <v>259</v>
      </c>
      <c r="U435" s="51">
        <v>4</v>
      </c>
    </row>
    <row r="436" spans="2:21" ht="14.5" outlineLevel="3">
      <c r="B436" s="44" t="s">
        <v>1836</v>
      </c>
      <c r="C436" s="45" t="s">
        <v>1837</v>
      </c>
      <c r="D436" s="46" t="s">
        <v>469</v>
      </c>
      <c r="E436" s="47" t="s">
        <v>1315</v>
      </c>
      <c r="F436" s="46" t="s">
        <v>1838</v>
      </c>
      <c r="G436" s="47" t="s">
        <v>1839</v>
      </c>
      <c r="H436" s="48">
        <v>1709623.77</v>
      </c>
      <c r="I436" s="48">
        <v>3</v>
      </c>
      <c r="J436" s="47" t="s">
        <v>115</v>
      </c>
      <c r="K436" s="49">
        <v>2</v>
      </c>
      <c r="L436" s="49" t="s">
        <v>116</v>
      </c>
      <c r="M436" s="46" t="s">
        <v>117</v>
      </c>
      <c r="N436" s="50">
        <v>0</v>
      </c>
      <c r="O436" s="50">
        <v>0</v>
      </c>
      <c r="P436" s="50">
        <v>0</v>
      </c>
      <c r="Q436" s="46" t="s">
        <v>102</v>
      </c>
      <c r="R436" s="46" t="s">
        <v>102</v>
      </c>
      <c r="S436" s="46" t="s">
        <v>102</v>
      </c>
      <c r="T436" s="46" t="s">
        <v>192</v>
      </c>
      <c r="U436" s="51">
        <v>4</v>
      </c>
    </row>
    <row r="437" spans="2:21" ht="14.5" outlineLevel="3">
      <c r="B437" s="44" t="s">
        <v>1840</v>
      </c>
      <c r="C437" s="45" t="s">
        <v>1841</v>
      </c>
      <c r="D437" s="46" t="s">
        <v>469</v>
      </c>
      <c r="E437" s="47" t="s">
        <v>1315</v>
      </c>
      <c r="F437" s="46" t="s">
        <v>1842</v>
      </c>
      <c r="G437" s="47" t="s">
        <v>1843</v>
      </c>
      <c r="H437" s="48">
        <v>454342.98</v>
      </c>
      <c r="I437" s="48">
        <v>2</v>
      </c>
      <c r="J437" s="47" t="s">
        <v>115</v>
      </c>
      <c r="K437" s="49">
        <v>2</v>
      </c>
      <c r="L437" s="49" t="s">
        <v>116</v>
      </c>
      <c r="M437" s="46" t="s">
        <v>117</v>
      </c>
      <c r="N437" s="50">
        <v>0</v>
      </c>
      <c r="O437" s="50">
        <v>0</v>
      </c>
      <c r="P437" s="50">
        <v>0</v>
      </c>
      <c r="Q437" s="46" t="s">
        <v>102</v>
      </c>
      <c r="R437" s="46" t="s">
        <v>102</v>
      </c>
      <c r="S437" s="46" t="s">
        <v>102</v>
      </c>
      <c r="T437" s="46" t="s">
        <v>615</v>
      </c>
      <c r="U437" s="51">
        <v>4</v>
      </c>
    </row>
    <row r="438" spans="2:21" ht="14.5" outlineLevel="3">
      <c r="B438" s="44" t="s">
        <v>1844</v>
      </c>
      <c r="C438" s="45" t="s">
        <v>1845</v>
      </c>
      <c r="D438" s="46" t="s">
        <v>469</v>
      </c>
      <c r="E438" s="47" t="s">
        <v>1315</v>
      </c>
      <c r="F438" s="46" t="s">
        <v>1846</v>
      </c>
      <c r="G438" s="47" t="s">
        <v>1847</v>
      </c>
      <c r="H438" s="48">
        <v>384996.2</v>
      </c>
      <c r="I438" s="48">
        <v>3</v>
      </c>
      <c r="J438" s="47" t="s">
        <v>115</v>
      </c>
      <c r="K438" s="49">
        <v>2</v>
      </c>
      <c r="L438" s="49" t="s">
        <v>116</v>
      </c>
      <c r="M438" s="46" t="s">
        <v>117</v>
      </c>
      <c r="N438" s="50">
        <v>0</v>
      </c>
      <c r="O438" s="50">
        <v>0</v>
      </c>
      <c r="P438" s="50">
        <v>0</v>
      </c>
      <c r="Q438" s="46" t="s">
        <v>102</v>
      </c>
      <c r="R438" s="46" t="s">
        <v>102</v>
      </c>
      <c r="S438" s="46" t="s">
        <v>102</v>
      </c>
      <c r="T438" s="46" t="s">
        <v>268</v>
      </c>
      <c r="U438" s="51">
        <v>4</v>
      </c>
    </row>
    <row r="439" spans="2:21" ht="14.5" outlineLevel="3">
      <c r="B439" s="44" t="s">
        <v>1848</v>
      </c>
      <c r="C439" s="45" t="s">
        <v>1849</v>
      </c>
      <c r="D439" s="46" t="s">
        <v>469</v>
      </c>
      <c r="E439" s="47" t="s">
        <v>1315</v>
      </c>
      <c r="F439" s="46" t="s">
        <v>1850</v>
      </c>
      <c r="G439" s="47" t="s">
        <v>1851</v>
      </c>
      <c r="H439" s="48">
        <v>3058391.39</v>
      </c>
      <c r="I439" s="48">
        <v>1</v>
      </c>
      <c r="J439" s="47" t="s">
        <v>115</v>
      </c>
      <c r="K439" s="49">
        <v>2</v>
      </c>
      <c r="L439" s="49" t="s">
        <v>116</v>
      </c>
      <c r="M439" s="46" t="s">
        <v>117</v>
      </c>
      <c r="N439" s="50">
        <v>0</v>
      </c>
      <c r="O439" s="50">
        <v>0</v>
      </c>
      <c r="P439" s="50">
        <v>0</v>
      </c>
      <c r="Q439" s="46" t="s">
        <v>102</v>
      </c>
      <c r="R439" s="46" t="s">
        <v>102</v>
      </c>
      <c r="S439" s="46" t="s">
        <v>102</v>
      </c>
      <c r="T439" s="46" t="s">
        <v>273</v>
      </c>
      <c r="U439" s="51">
        <v>4</v>
      </c>
    </row>
    <row r="440" spans="2:21" ht="14.5" outlineLevel="3">
      <c r="B440" s="44" t="s">
        <v>1852</v>
      </c>
      <c r="C440" s="45" t="s">
        <v>1853</v>
      </c>
      <c r="D440" s="46" t="s">
        <v>469</v>
      </c>
      <c r="E440" s="47" t="s">
        <v>1315</v>
      </c>
      <c r="F440" s="46" t="s">
        <v>1854</v>
      </c>
      <c r="G440" s="47" t="s">
        <v>1855</v>
      </c>
      <c r="H440" s="48">
        <v>217658.82</v>
      </c>
      <c r="I440" s="48">
        <v>2</v>
      </c>
      <c r="J440" s="47" t="s">
        <v>115</v>
      </c>
      <c r="K440" s="49">
        <v>2</v>
      </c>
      <c r="L440" s="49" t="s">
        <v>116</v>
      </c>
      <c r="M440" s="46" t="s">
        <v>117</v>
      </c>
      <c r="N440" s="50">
        <v>0</v>
      </c>
      <c r="O440" s="50">
        <v>0</v>
      </c>
      <c r="P440" s="50">
        <v>0</v>
      </c>
      <c r="Q440" s="46" t="s">
        <v>102</v>
      </c>
      <c r="R440" s="46" t="s">
        <v>102</v>
      </c>
      <c r="S440" s="46" t="s">
        <v>102</v>
      </c>
      <c r="T440" s="46" t="s">
        <v>198</v>
      </c>
      <c r="U440" s="51">
        <v>4</v>
      </c>
    </row>
    <row r="441" spans="2:21" ht="14.5" outlineLevel="3">
      <c r="B441" s="44" t="s">
        <v>1856</v>
      </c>
      <c r="C441" s="45" t="s">
        <v>1857</v>
      </c>
      <c r="D441" s="46" t="s">
        <v>392</v>
      </c>
      <c r="E441" s="47" t="s">
        <v>1315</v>
      </c>
      <c r="F441" s="46" t="s">
        <v>1858</v>
      </c>
      <c r="G441" s="47" t="s">
        <v>1859</v>
      </c>
      <c r="H441" s="48">
        <v>93887.85</v>
      </c>
      <c r="I441" s="48">
        <v>1</v>
      </c>
      <c r="J441" s="47" t="s">
        <v>115</v>
      </c>
      <c r="K441" s="49">
        <v>2</v>
      </c>
      <c r="L441" s="49" t="s">
        <v>116</v>
      </c>
      <c r="M441" s="46" t="s">
        <v>117</v>
      </c>
      <c r="N441" s="50">
        <v>0</v>
      </c>
      <c r="O441" s="50">
        <v>0</v>
      </c>
      <c r="P441" s="50">
        <v>0</v>
      </c>
      <c r="Q441" s="46" t="s">
        <v>102</v>
      </c>
      <c r="R441" s="46" t="s">
        <v>102</v>
      </c>
      <c r="S441" s="46" t="s">
        <v>102</v>
      </c>
      <c r="T441" s="46" t="s">
        <v>283</v>
      </c>
      <c r="U441" s="51">
        <v>4</v>
      </c>
    </row>
    <row r="442" spans="2:21" ht="14.5" outlineLevel="3">
      <c r="B442" s="44" t="s">
        <v>1860</v>
      </c>
      <c r="C442" s="45" t="s">
        <v>1861</v>
      </c>
      <c r="D442" s="46" t="s">
        <v>469</v>
      </c>
      <c r="E442" s="47" t="s">
        <v>1315</v>
      </c>
      <c r="F442" s="46" t="s">
        <v>1862</v>
      </c>
      <c r="G442" s="47" t="s">
        <v>1863</v>
      </c>
      <c r="H442" s="48">
        <v>1012030.61</v>
      </c>
      <c r="I442" s="48">
        <v>3</v>
      </c>
      <c r="J442" s="47" t="s">
        <v>115</v>
      </c>
      <c r="K442" s="49">
        <v>2</v>
      </c>
      <c r="L442" s="49" t="s">
        <v>116</v>
      </c>
      <c r="M442" s="46" t="s">
        <v>117</v>
      </c>
      <c r="N442" s="50">
        <v>0</v>
      </c>
      <c r="O442" s="50">
        <v>0</v>
      </c>
      <c r="P442" s="50">
        <v>0</v>
      </c>
      <c r="Q442" s="46" t="s">
        <v>102</v>
      </c>
      <c r="R442" s="46" t="s">
        <v>102</v>
      </c>
      <c r="S442" s="46" t="s">
        <v>102</v>
      </c>
      <c r="T442" s="46" t="s">
        <v>288</v>
      </c>
      <c r="U442" s="51">
        <v>4</v>
      </c>
    </row>
    <row r="443" spans="2:21" ht="14.5" outlineLevel="3">
      <c r="B443" s="44" t="s">
        <v>1864</v>
      </c>
      <c r="C443" s="45" t="s">
        <v>1865</v>
      </c>
      <c r="D443" s="46" t="s">
        <v>469</v>
      </c>
      <c r="E443" s="47" t="s">
        <v>1315</v>
      </c>
      <c r="F443" s="46" t="s">
        <v>1866</v>
      </c>
      <c r="G443" s="47" t="s">
        <v>1867</v>
      </c>
      <c r="H443" s="48">
        <v>684562.65</v>
      </c>
      <c r="I443" s="48">
        <v>3</v>
      </c>
      <c r="J443" s="47" t="s">
        <v>115</v>
      </c>
      <c r="K443" s="49">
        <v>2</v>
      </c>
      <c r="L443" s="49" t="s">
        <v>116</v>
      </c>
      <c r="M443" s="46" t="s">
        <v>117</v>
      </c>
      <c r="N443" s="50">
        <v>0</v>
      </c>
      <c r="O443" s="50">
        <v>0</v>
      </c>
      <c r="P443" s="50">
        <v>0</v>
      </c>
      <c r="Q443" s="46" t="s">
        <v>102</v>
      </c>
      <c r="R443" s="46" t="s">
        <v>102</v>
      </c>
      <c r="S443" s="46" t="s">
        <v>102</v>
      </c>
      <c r="T443" s="46" t="s">
        <v>203</v>
      </c>
      <c r="U443" s="51">
        <v>4</v>
      </c>
    </row>
    <row r="444" spans="2:21" ht="14.5" outlineLevel="3">
      <c r="B444" s="44" t="s">
        <v>1868</v>
      </c>
      <c r="C444" s="45" t="s">
        <v>1869</v>
      </c>
      <c r="D444" s="46" t="s">
        <v>469</v>
      </c>
      <c r="E444" s="47" t="s">
        <v>1315</v>
      </c>
      <c r="F444" s="46" t="s">
        <v>1870</v>
      </c>
      <c r="G444" s="47" t="s">
        <v>1871</v>
      </c>
      <c r="H444" s="48">
        <v>459321.86</v>
      </c>
      <c r="I444" s="48">
        <v>3</v>
      </c>
      <c r="J444" s="47" t="s">
        <v>115</v>
      </c>
      <c r="K444" s="49">
        <v>2</v>
      </c>
      <c r="L444" s="49" t="s">
        <v>116</v>
      </c>
      <c r="M444" s="46" t="s">
        <v>117</v>
      </c>
      <c r="N444" s="50">
        <v>0</v>
      </c>
      <c r="O444" s="50">
        <v>0</v>
      </c>
      <c r="P444" s="50">
        <v>0</v>
      </c>
      <c r="Q444" s="46" t="s">
        <v>102</v>
      </c>
      <c r="R444" s="46" t="s">
        <v>102</v>
      </c>
      <c r="S444" s="46" t="s">
        <v>102</v>
      </c>
      <c r="T444" s="46" t="s">
        <v>298</v>
      </c>
      <c r="U444" s="51">
        <v>4</v>
      </c>
    </row>
    <row r="445" spans="2:21" ht="14.5" outlineLevel="3">
      <c r="B445" s="44" t="s">
        <v>1872</v>
      </c>
      <c r="C445" s="45" t="s">
        <v>1873</v>
      </c>
      <c r="D445" s="46" t="s">
        <v>469</v>
      </c>
      <c r="E445" s="47" t="s">
        <v>1315</v>
      </c>
      <c r="F445" s="46" t="s">
        <v>1874</v>
      </c>
      <c r="G445" s="47" t="s">
        <v>1875</v>
      </c>
      <c r="H445" s="48">
        <v>250169.74</v>
      </c>
      <c r="I445" s="48">
        <v>3</v>
      </c>
      <c r="J445" s="47" t="s">
        <v>115</v>
      </c>
      <c r="K445" s="49">
        <v>2</v>
      </c>
      <c r="L445" s="49" t="s">
        <v>116</v>
      </c>
      <c r="M445" s="46" t="s">
        <v>117</v>
      </c>
      <c r="N445" s="50">
        <v>0</v>
      </c>
      <c r="O445" s="50">
        <v>0</v>
      </c>
      <c r="P445" s="50">
        <v>0</v>
      </c>
      <c r="Q445" s="46" t="s">
        <v>102</v>
      </c>
      <c r="R445" s="46" t="s">
        <v>102</v>
      </c>
      <c r="S445" s="46" t="s">
        <v>102</v>
      </c>
      <c r="T445" s="46" t="s">
        <v>418</v>
      </c>
      <c r="U445" s="51">
        <v>4</v>
      </c>
    </row>
    <row r="446" spans="2:21" ht="14.5" outlineLevel="3">
      <c r="B446" s="44" t="s">
        <v>1876</v>
      </c>
      <c r="C446" s="45" t="s">
        <v>1877</v>
      </c>
      <c r="D446" s="46" t="s">
        <v>469</v>
      </c>
      <c r="E446" s="47" t="s">
        <v>1315</v>
      </c>
      <c r="F446" s="46" t="s">
        <v>1878</v>
      </c>
      <c r="G446" s="47" t="s">
        <v>1879</v>
      </c>
      <c r="H446" s="48">
        <v>266258.37</v>
      </c>
      <c r="I446" s="48">
        <v>3</v>
      </c>
      <c r="J446" s="47" t="s">
        <v>115</v>
      </c>
      <c r="K446" s="49">
        <v>2</v>
      </c>
      <c r="L446" s="49" t="s">
        <v>116</v>
      </c>
      <c r="M446" s="46" t="s">
        <v>117</v>
      </c>
      <c r="N446" s="50">
        <v>0</v>
      </c>
      <c r="O446" s="50">
        <v>0</v>
      </c>
      <c r="P446" s="50">
        <v>0</v>
      </c>
      <c r="Q446" s="46" t="s">
        <v>102</v>
      </c>
      <c r="R446" s="46" t="s">
        <v>102</v>
      </c>
      <c r="S446" s="46" t="s">
        <v>102</v>
      </c>
      <c r="T446" s="46" t="s">
        <v>208</v>
      </c>
      <c r="U446" s="51">
        <v>4</v>
      </c>
    </row>
    <row r="447" spans="2:21" ht="14.5" outlineLevel="3">
      <c r="B447" s="44" t="s">
        <v>1880</v>
      </c>
      <c r="C447" s="45" t="s">
        <v>1881</v>
      </c>
      <c r="D447" s="46" t="s">
        <v>469</v>
      </c>
      <c r="E447" s="47" t="s">
        <v>1315</v>
      </c>
      <c r="F447" s="46" t="s">
        <v>1882</v>
      </c>
      <c r="G447" s="47" t="s">
        <v>1883</v>
      </c>
      <c r="H447" s="48">
        <v>1398878.74</v>
      </c>
      <c r="I447" s="48">
        <v>3</v>
      </c>
      <c r="J447" s="47" t="s">
        <v>115</v>
      </c>
      <c r="K447" s="49">
        <v>2</v>
      </c>
      <c r="L447" s="49" t="s">
        <v>116</v>
      </c>
      <c r="M447" s="46" t="s">
        <v>117</v>
      </c>
      <c r="N447" s="50">
        <v>0</v>
      </c>
      <c r="O447" s="50">
        <v>0</v>
      </c>
      <c r="P447" s="50">
        <v>0</v>
      </c>
      <c r="Q447" s="46" t="s">
        <v>102</v>
      </c>
      <c r="R447" s="46" t="s">
        <v>102</v>
      </c>
      <c r="S447" s="46" t="s">
        <v>102</v>
      </c>
      <c r="T447" s="46" t="s">
        <v>303</v>
      </c>
      <c r="U447" s="51">
        <v>4</v>
      </c>
    </row>
    <row r="448" spans="2:21" ht="14.5" outlineLevel="3">
      <c r="B448" s="44" t="s">
        <v>1884</v>
      </c>
      <c r="C448" s="45" t="s">
        <v>1885</v>
      </c>
      <c r="D448" s="46" t="s">
        <v>469</v>
      </c>
      <c r="E448" s="47" t="s">
        <v>1315</v>
      </c>
      <c r="F448" s="46" t="s">
        <v>1886</v>
      </c>
      <c r="G448" s="47" t="s">
        <v>1887</v>
      </c>
      <c r="H448" s="48">
        <v>588030.9</v>
      </c>
      <c r="I448" s="48">
        <v>3</v>
      </c>
      <c r="J448" s="47" t="s">
        <v>115</v>
      </c>
      <c r="K448" s="49">
        <v>2</v>
      </c>
      <c r="L448" s="49" t="s">
        <v>116</v>
      </c>
      <c r="M448" s="46" t="s">
        <v>117</v>
      </c>
      <c r="N448" s="50">
        <v>0</v>
      </c>
      <c r="O448" s="50">
        <v>0</v>
      </c>
      <c r="P448" s="50">
        <v>0</v>
      </c>
      <c r="Q448" s="46" t="s">
        <v>102</v>
      </c>
      <c r="R448" s="46" t="s">
        <v>102</v>
      </c>
      <c r="S448" s="46" t="s">
        <v>102</v>
      </c>
      <c r="T448" s="46" t="s">
        <v>213</v>
      </c>
      <c r="U448" s="51">
        <v>4</v>
      </c>
    </row>
    <row r="449" spans="2:21" ht="14.5" outlineLevel="3">
      <c r="B449" s="44" t="s">
        <v>1888</v>
      </c>
      <c r="C449" s="45" t="s">
        <v>1889</v>
      </c>
      <c r="D449" s="46" t="s">
        <v>469</v>
      </c>
      <c r="E449" s="47" t="s">
        <v>1315</v>
      </c>
      <c r="F449" s="46" t="s">
        <v>1890</v>
      </c>
      <c r="G449" s="47" t="s">
        <v>1891</v>
      </c>
      <c r="H449" s="48">
        <v>81239.12</v>
      </c>
      <c r="I449" s="48">
        <v>3</v>
      </c>
      <c r="J449" s="47" t="s">
        <v>115</v>
      </c>
      <c r="K449" s="49">
        <v>2</v>
      </c>
      <c r="L449" s="49" t="s">
        <v>116</v>
      </c>
      <c r="M449" s="46" t="s">
        <v>117</v>
      </c>
      <c r="N449" s="50">
        <v>0</v>
      </c>
      <c r="O449" s="50">
        <v>0</v>
      </c>
      <c r="P449" s="50">
        <v>0</v>
      </c>
      <c r="Q449" s="46" t="s">
        <v>102</v>
      </c>
      <c r="R449" s="46" t="s">
        <v>102</v>
      </c>
      <c r="S449" s="46" t="s">
        <v>102</v>
      </c>
      <c r="T449" s="46" t="s">
        <v>658</v>
      </c>
      <c r="U449" s="51">
        <v>4</v>
      </c>
    </row>
    <row r="450" spans="2:21" ht="14.5" outlineLevel="3">
      <c r="B450" s="44" t="s">
        <v>1892</v>
      </c>
      <c r="C450" s="45" t="s">
        <v>1893</v>
      </c>
      <c r="D450" s="46" t="s">
        <v>392</v>
      </c>
      <c r="E450" s="47" t="s">
        <v>1315</v>
      </c>
      <c r="F450" s="46" t="s">
        <v>1894</v>
      </c>
      <c r="G450" s="47" t="s">
        <v>1895</v>
      </c>
      <c r="H450" s="48">
        <v>50848.34</v>
      </c>
      <c r="I450" s="48">
        <v>1</v>
      </c>
      <c r="J450" s="47" t="s">
        <v>115</v>
      </c>
      <c r="K450" s="49">
        <v>2</v>
      </c>
      <c r="L450" s="49" t="s">
        <v>116</v>
      </c>
      <c r="M450" s="46" t="s">
        <v>117</v>
      </c>
      <c r="N450" s="50">
        <v>0</v>
      </c>
      <c r="O450" s="50">
        <v>0</v>
      </c>
      <c r="P450" s="50">
        <v>0</v>
      </c>
      <c r="Q450" s="46" t="s">
        <v>102</v>
      </c>
      <c r="R450" s="46" t="s">
        <v>102</v>
      </c>
      <c r="S450" s="46" t="s">
        <v>102</v>
      </c>
      <c r="T450" s="46" t="s">
        <v>663</v>
      </c>
      <c r="U450" s="51">
        <v>4</v>
      </c>
    </row>
    <row r="451" spans="2:21" ht="14.5" outlineLevel="2">
      <c r="B451" s="36" t="s">
        <v>1896</v>
      </c>
      <c r="C451" s="37" t="s">
        <v>1897</v>
      </c>
      <c r="D451" s="38" t="s">
        <v>102</v>
      </c>
      <c r="E451" s="39" t="s">
        <v>102</v>
      </c>
      <c r="F451" s="38" t="s">
        <v>102</v>
      </c>
      <c r="G451" s="39" t="s">
        <v>102</v>
      </c>
      <c r="H451" s="40">
        <v>0</v>
      </c>
      <c r="I451" s="40">
        <v>0</v>
      </c>
      <c r="J451" s="39" t="s">
        <v>102</v>
      </c>
      <c r="K451" s="41">
        <v>0</v>
      </c>
      <c r="L451" s="41" t="s">
        <v>102</v>
      </c>
      <c r="M451" s="38" t="s">
        <v>102</v>
      </c>
      <c r="N451" s="42">
        <v>0</v>
      </c>
      <c r="O451" s="42">
        <v>0</v>
      </c>
      <c r="P451" s="42">
        <v>0</v>
      </c>
      <c r="Q451" s="38" t="s">
        <v>102</v>
      </c>
      <c r="R451" s="38" t="s">
        <v>102</v>
      </c>
      <c r="S451" s="38" t="s">
        <v>1898</v>
      </c>
      <c r="T451" s="38" t="s">
        <v>102</v>
      </c>
      <c r="U451" s="43">
        <v>3</v>
      </c>
    </row>
    <row r="452" spans="2:21" ht="14.5" outlineLevel="3">
      <c r="B452" s="44" t="s">
        <v>1899</v>
      </c>
      <c r="C452" s="45" t="s">
        <v>1900</v>
      </c>
      <c r="D452" s="46" t="s">
        <v>469</v>
      </c>
      <c r="E452" s="47" t="s">
        <v>1315</v>
      </c>
      <c r="F452" s="46" t="s">
        <v>1901</v>
      </c>
      <c r="G452" s="47" t="s">
        <v>1902</v>
      </c>
      <c r="H452" s="48">
        <v>1437884.46</v>
      </c>
      <c r="I452" s="48">
        <v>2</v>
      </c>
      <c r="J452" s="47" t="s">
        <v>115</v>
      </c>
      <c r="K452" s="49">
        <v>2</v>
      </c>
      <c r="L452" s="49" t="s">
        <v>116</v>
      </c>
      <c r="M452" s="46" t="s">
        <v>117</v>
      </c>
      <c r="N452" s="50">
        <v>0</v>
      </c>
      <c r="O452" s="50">
        <v>0</v>
      </c>
      <c r="P452" s="50">
        <v>0</v>
      </c>
      <c r="Q452" s="46" t="s">
        <v>102</v>
      </c>
      <c r="R452" s="46" t="s">
        <v>102</v>
      </c>
      <c r="S452" s="46" t="s">
        <v>102</v>
      </c>
      <c r="T452" s="46" t="s">
        <v>118</v>
      </c>
      <c r="U452" s="51">
        <v>4</v>
      </c>
    </row>
    <row r="453" spans="2:21" ht="14.5" outlineLevel="3">
      <c r="B453" s="44" t="s">
        <v>1903</v>
      </c>
      <c r="C453" s="45" t="s">
        <v>1904</v>
      </c>
      <c r="D453" s="46" t="s">
        <v>469</v>
      </c>
      <c r="E453" s="47" t="s">
        <v>1315</v>
      </c>
      <c r="F453" s="46" t="s">
        <v>1905</v>
      </c>
      <c r="G453" s="47" t="s">
        <v>1906</v>
      </c>
      <c r="H453" s="48">
        <v>1222172.27</v>
      </c>
      <c r="I453" s="48">
        <v>2</v>
      </c>
      <c r="J453" s="47" t="s">
        <v>115</v>
      </c>
      <c r="K453" s="49">
        <v>2</v>
      </c>
      <c r="L453" s="49" t="s">
        <v>116</v>
      </c>
      <c r="M453" s="46" t="s">
        <v>117</v>
      </c>
      <c r="N453" s="50">
        <v>0</v>
      </c>
      <c r="O453" s="50">
        <v>0</v>
      </c>
      <c r="P453" s="50">
        <v>0</v>
      </c>
      <c r="Q453" s="46" t="s">
        <v>102</v>
      </c>
      <c r="R453" s="46" t="s">
        <v>102</v>
      </c>
      <c r="S453" s="46" t="s">
        <v>102</v>
      </c>
      <c r="T453" s="46" t="s">
        <v>123</v>
      </c>
      <c r="U453" s="51">
        <v>4</v>
      </c>
    </row>
    <row r="454" spans="2:21" ht="14.5" outlineLevel="3">
      <c r="B454" s="44" t="s">
        <v>1907</v>
      </c>
      <c r="C454" s="45" t="s">
        <v>1908</v>
      </c>
      <c r="D454" s="46" t="s">
        <v>392</v>
      </c>
      <c r="E454" s="47" t="s">
        <v>1315</v>
      </c>
      <c r="F454" s="46" t="s">
        <v>1909</v>
      </c>
      <c r="G454" s="47" t="s">
        <v>1910</v>
      </c>
      <c r="H454" s="48">
        <v>1368638.39</v>
      </c>
      <c r="I454" s="48">
        <v>1</v>
      </c>
      <c r="J454" s="47" t="s">
        <v>115</v>
      </c>
      <c r="K454" s="49">
        <v>2</v>
      </c>
      <c r="L454" s="49" t="s">
        <v>116</v>
      </c>
      <c r="M454" s="46" t="s">
        <v>117</v>
      </c>
      <c r="N454" s="50">
        <v>0</v>
      </c>
      <c r="O454" s="50">
        <v>0</v>
      </c>
      <c r="P454" s="50">
        <v>0</v>
      </c>
      <c r="Q454" s="46" t="s">
        <v>102</v>
      </c>
      <c r="R454" s="46" t="s">
        <v>102</v>
      </c>
      <c r="S454" s="46" t="s">
        <v>102</v>
      </c>
      <c r="T454" s="46" t="s">
        <v>128</v>
      </c>
      <c r="U454" s="51">
        <v>4</v>
      </c>
    </row>
    <row r="455" spans="2:21" ht="14.5" outlineLevel="2">
      <c r="B455" s="36" t="s">
        <v>1911</v>
      </c>
      <c r="C455" s="37" t="s">
        <v>1912</v>
      </c>
      <c r="D455" s="38" t="s">
        <v>102</v>
      </c>
      <c r="E455" s="39" t="s">
        <v>102</v>
      </c>
      <c r="F455" s="38" t="s">
        <v>102</v>
      </c>
      <c r="G455" s="39" t="s">
        <v>102</v>
      </c>
      <c r="H455" s="40">
        <v>0</v>
      </c>
      <c r="I455" s="40">
        <v>0</v>
      </c>
      <c r="J455" s="39" t="s">
        <v>102</v>
      </c>
      <c r="K455" s="41">
        <v>0</v>
      </c>
      <c r="L455" s="41" t="s">
        <v>102</v>
      </c>
      <c r="M455" s="38" t="s">
        <v>102</v>
      </c>
      <c r="N455" s="42">
        <v>0</v>
      </c>
      <c r="O455" s="42">
        <v>0</v>
      </c>
      <c r="P455" s="42">
        <v>0</v>
      </c>
      <c r="Q455" s="38" t="s">
        <v>102</v>
      </c>
      <c r="R455" s="38" t="s">
        <v>102</v>
      </c>
      <c r="S455" s="38" t="s">
        <v>1913</v>
      </c>
      <c r="T455" s="38" t="s">
        <v>102</v>
      </c>
      <c r="U455" s="43">
        <v>3</v>
      </c>
    </row>
    <row r="456" spans="2:21" ht="14.5" outlineLevel="3">
      <c r="B456" s="44" t="s">
        <v>1914</v>
      </c>
      <c r="C456" s="45" t="s">
        <v>1915</v>
      </c>
      <c r="D456" s="46" t="s">
        <v>179</v>
      </c>
      <c r="E456" s="47" t="s">
        <v>1315</v>
      </c>
      <c r="F456" s="46" t="s">
        <v>1916</v>
      </c>
      <c r="G456" s="47" t="s">
        <v>1917</v>
      </c>
      <c r="H456" s="48">
        <v>59.03</v>
      </c>
      <c r="I456" s="48">
        <v>245000</v>
      </c>
      <c r="J456" s="47" t="s">
        <v>115</v>
      </c>
      <c r="K456" s="49">
        <v>2</v>
      </c>
      <c r="L456" s="49" t="s">
        <v>116</v>
      </c>
      <c r="M456" s="46" t="s">
        <v>117</v>
      </c>
      <c r="N456" s="50">
        <v>0</v>
      </c>
      <c r="O456" s="50">
        <v>0</v>
      </c>
      <c r="P456" s="50">
        <v>0</v>
      </c>
      <c r="Q456" s="46" t="s">
        <v>102</v>
      </c>
      <c r="R456" s="46" t="s">
        <v>102</v>
      </c>
      <c r="S456" s="46" t="s">
        <v>102</v>
      </c>
      <c r="T456" s="46" t="s">
        <v>118</v>
      </c>
      <c r="U456" s="51">
        <v>4</v>
      </c>
    </row>
    <row r="457" spans="2:21" ht="14.5" outlineLevel="3">
      <c r="B457" s="44" t="s">
        <v>1918</v>
      </c>
      <c r="C457" s="45" t="s">
        <v>1919</v>
      </c>
      <c r="D457" s="46" t="s">
        <v>179</v>
      </c>
      <c r="E457" s="47" t="s">
        <v>1315</v>
      </c>
      <c r="F457" s="46" t="s">
        <v>1920</v>
      </c>
      <c r="G457" s="47" t="s">
        <v>1921</v>
      </c>
      <c r="H457" s="48">
        <v>33.119999999999997</v>
      </c>
      <c r="I457" s="48">
        <v>245000</v>
      </c>
      <c r="J457" s="47" t="s">
        <v>115</v>
      </c>
      <c r="K457" s="49">
        <v>2</v>
      </c>
      <c r="L457" s="49" t="s">
        <v>116</v>
      </c>
      <c r="M457" s="46" t="s">
        <v>117</v>
      </c>
      <c r="N457" s="50">
        <v>0</v>
      </c>
      <c r="O457" s="50">
        <v>0</v>
      </c>
      <c r="P457" s="50">
        <v>0</v>
      </c>
      <c r="Q457" s="46" t="s">
        <v>102</v>
      </c>
      <c r="R457" s="46" t="s">
        <v>102</v>
      </c>
      <c r="S457" s="46" t="s">
        <v>102</v>
      </c>
      <c r="T457" s="46" t="s">
        <v>123</v>
      </c>
      <c r="U457" s="51">
        <v>4</v>
      </c>
    </row>
    <row r="458" spans="2:21" ht="14.5" outlineLevel="3">
      <c r="B458" s="44" t="s">
        <v>1922</v>
      </c>
      <c r="C458" s="45" t="s">
        <v>1923</v>
      </c>
      <c r="D458" s="46" t="s">
        <v>469</v>
      </c>
      <c r="E458" s="47" t="s">
        <v>1315</v>
      </c>
      <c r="F458" s="46" t="s">
        <v>1924</v>
      </c>
      <c r="G458" s="47" t="s">
        <v>1925</v>
      </c>
      <c r="H458" s="48">
        <v>2632.65</v>
      </c>
      <c r="I458" s="48">
        <v>345</v>
      </c>
      <c r="J458" s="47" t="s">
        <v>115</v>
      </c>
      <c r="K458" s="49">
        <v>2</v>
      </c>
      <c r="L458" s="49" t="s">
        <v>116</v>
      </c>
      <c r="M458" s="46" t="s">
        <v>117</v>
      </c>
      <c r="N458" s="50">
        <v>0</v>
      </c>
      <c r="O458" s="50">
        <v>0</v>
      </c>
      <c r="P458" s="50">
        <v>0</v>
      </c>
      <c r="Q458" s="46" t="s">
        <v>102</v>
      </c>
      <c r="R458" s="46" t="s">
        <v>102</v>
      </c>
      <c r="S458" s="46" t="s">
        <v>102</v>
      </c>
      <c r="T458" s="46" t="s">
        <v>128</v>
      </c>
      <c r="U458" s="51">
        <v>4</v>
      </c>
    </row>
    <row r="459" spans="2:21" ht="14.5" outlineLevel="3">
      <c r="B459" s="44" t="s">
        <v>1926</v>
      </c>
      <c r="C459" s="45" t="s">
        <v>1927</v>
      </c>
      <c r="D459" s="46" t="s">
        <v>469</v>
      </c>
      <c r="E459" s="47" t="s">
        <v>1315</v>
      </c>
      <c r="F459" s="46" t="s">
        <v>1928</v>
      </c>
      <c r="G459" s="47" t="s">
        <v>1929</v>
      </c>
      <c r="H459" s="48">
        <v>2123.1</v>
      </c>
      <c r="I459" s="48">
        <v>280</v>
      </c>
      <c r="J459" s="47" t="s">
        <v>115</v>
      </c>
      <c r="K459" s="49">
        <v>2</v>
      </c>
      <c r="L459" s="49" t="s">
        <v>116</v>
      </c>
      <c r="M459" s="46" t="s">
        <v>117</v>
      </c>
      <c r="N459" s="50">
        <v>0</v>
      </c>
      <c r="O459" s="50">
        <v>0</v>
      </c>
      <c r="P459" s="50">
        <v>0</v>
      </c>
      <c r="Q459" s="46" t="s">
        <v>102</v>
      </c>
      <c r="R459" s="46" t="s">
        <v>102</v>
      </c>
      <c r="S459" s="46" t="s">
        <v>102</v>
      </c>
      <c r="T459" s="46" t="s">
        <v>133</v>
      </c>
      <c r="U459" s="51">
        <v>4</v>
      </c>
    </row>
    <row r="460" spans="2:21" ht="14.5" outlineLevel="3">
      <c r="B460" s="44" t="s">
        <v>1930</v>
      </c>
      <c r="C460" s="45" t="s">
        <v>1931</v>
      </c>
      <c r="D460" s="46" t="s">
        <v>179</v>
      </c>
      <c r="E460" s="47" t="s">
        <v>1315</v>
      </c>
      <c r="F460" s="46" t="s">
        <v>1932</v>
      </c>
      <c r="G460" s="47" t="s">
        <v>1933</v>
      </c>
      <c r="H460" s="48">
        <v>340.54</v>
      </c>
      <c r="I460" s="48">
        <v>3400</v>
      </c>
      <c r="J460" s="47" t="s">
        <v>115</v>
      </c>
      <c r="K460" s="49">
        <v>2</v>
      </c>
      <c r="L460" s="49" t="s">
        <v>116</v>
      </c>
      <c r="M460" s="46" t="s">
        <v>117</v>
      </c>
      <c r="N460" s="50">
        <v>0</v>
      </c>
      <c r="O460" s="50">
        <v>0</v>
      </c>
      <c r="P460" s="50">
        <v>0</v>
      </c>
      <c r="Q460" s="46" t="s">
        <v>102</v>
      </c>
      <c r="R460" s="46" t="s">
        <v>102</v>
      </c>
      <c r="S460" s="46" t="s">
        <v>102</v>
      </c>
      <c r="T460" s="46" t="s">
        <v>138</v>
      </c>
      <c r="U460" s="51">
        <v>4</v>
      </c>
    </row>
    <row r="461" spans="2:21" ht="14.5" outlineLevel="3">
      <c r="B461" s="44" t="s">
        <v>1934</v>
      </c>
      <c r="C461" s="45" t="s">
        <v>1935</v>
      </c>
      <c r="D461" s="46" t="s">
        <v>179</v>
      </c>
      <c r="E461" s="47" t="s">
        <v>1315</v>
      </c>
      <c r="F461" s="46" t="s">
        <v>1936</v>
      </c>
      <c r="G461" s="47" t="s">
        <v>1937</v>
      </c>
      <c r="H461" s="48">
        <v>127.38</v>
      </c>
      <c r="I461" s="48">
        <v>13000</v>
      </c>
      <c r="J461" s="47" t="s">
        <v>115</v>
      </c>
      <c r="K461" s="49">
        <v>2</v>
      </c>
      <c r="L461" s="49" t="s">
        <v>116</v>
      </c>
      <c r="M461" s="46" t="s">
        <v>117</v>
      </c>
      <c r="N461" s="50">
        <v>0</v>
      </c>
      <c r="O461" s="50">
        <v>0</v>
      </c>
      <c r="P461" s="50">
        <v>0</v>
      </c>
      <c r="Q461" s="46" t="s">
        <v>102</v>
      </c>
      <c r="R461" s="46" t="s">
        <v>102</v>
      </c>
      <c r="S461" s="46" t="s">
        <v>102</v>
      </c>
      <c r="T461" s="46" t="s">
        <v>143</v>
      </c>
      <c r="U461" s="51">
        <v>4</v>
      </c>
    </row>
    <row r="462" spans="2:21" ht="14.5" outlineLevel="3">
      <c r="B462" s="44" t="s">
        <v>1938</v>
      </c>
      <c r="C462" s="45" t="s">
        <v>1939</v>
      </c>
      <c r="D462" s="46" t="s">
        <v>392</v>
      </c>
      <c r="E462" s="47" t="s">
        <v>1315</v>
      </c>
      <c r="F462" s="46" t="s">
        <v>1940</v>
      </c>
      <c r="G462" s="47" t="s">
        <v>1941</v>
      </c>
      <c r="H462" s="48">
        <v>594.47</v>
      </c>
      <c r="I462" s="48">
        <v>1</v>
      </c>
      <c r="J462" s="47" t="s">
        <v>115</v>
      </c>
      <c r="K462" s="49">
        <v>2</v>
      </c>
      <c r="L462" s="49" t="s">
        <v>116</v>
      </c>
      <c r="M462" s="46" t="s">
        <v>117</v>
      </c>
      <c r="N462" s="50">
        <v>0</v>
      </c>
      <c r="O462" s="50">
        <v>0</v>
      </c>
      <c r="P462" s="50">
        <v>0</v>
      </c>
      <c r="Q462" s="46" t="s">
        <v>102</v>
      </c>
      <c r="R462" s="46" t="s">
        <v>102</v>
      </c>
      <c r="S462" s="46" t="s">
        <v>102</v>
      </c>
      <c r="T462" s="46" t="s">
        <v>176</v>
      </c>
      <c r="U462" s="51">
        <v>4</v>
      </c>
    </row>
    <row r="463" spans="2:21" ht="14.5" outlineLevel="3">
      <c r="B463" s="44" t="s">
        <v>1942</v>
      </c>
      <c r="C463" s="45" t="s">
        <v>1943</v>
      </c>
      <c r="D463" s="46" t="s">
        <v>392</v>
      </c>
      <c r="E463" s="47" t="s">
        <v>1315</v>
      </c>
      <c r="F463" s="46" t="s">
        <v>1944</v>
      </c>
      <c r="G463" s="47" t="s">
        <v>1945</v>
      </c>
      <c r="H463" s="48">
        <v>12946.35</v>
      </c>
      <c r="I463" s="48">
        <v>1</v>
      </c>
      <c r="J463" s="47" t="s">
        <v>115</v>
      </c>
      <c r="K463" s="49">
        <v>2</v>
      </c>
      <c r="L463" s="49" t="s">
        <v>116</v>
      </c>
      <c r="M463" s="46" t="s">
        <v>117</v>
      </c>
      <c r="N463" s="50">
        <v>0</v>
      </c>
      <c r="O463" s="50">
        <v>0</v>
      </c>
      <c r="P463" s="50">
        <v>0</v>
      </c>
      <c r="Q463" s="46" t="s">
        <v>102</v>
      </c>
      <c r="R463" s="46" t="s">
        <v>102</v>
      </c>
      <c r="S463" s="46" t="s">
        <v>102</v>
      </c>
      <c r="T463" s="46" t="s">
        <v>182</v>
      </c>
      <c r="U463" s="51">
        <v>4</v>
      </c>
    </row>
    <row r="464" spans="2:21" ht="14.5" outlineLevel="3">
      <c r="B464" s="44" t="s">
        <v>1946</v>
      </c>
      <c r="C464" s="45" t="s">
        <v>1947</v>
      </c>
      <c r="D464" s="46" t="s">
        <v>179</v>
      </c>
      <c r="E464" s="47" t="s">
        <v>1315</v>
      </c>
      <c r="F464" s="46" t="s">
        <v>1948</v>
      </c>
      <c r="G464" s="47" t="s">
        <v>1949</v>
      </c>
      <c r="H464" s="48">
        <v>126.91</v>
      </c>
      <c r="I464" s="48">
        <v>256179</v>
      </c>
      <c r="J464" s="47" t="s">
        <v>115</v>
      </c>
      <c r="K464" s="49">
        <v>2</v>
      </c>
      <c r="L464" s="49" t="s">
        <v>116</v>
      </c>
      <c r="M464" s="46" t="s">
        <v>117</v>
      </c>
      <c r="N464" s="50">
        <v>0</v>
      </c>
      <c r="O464" s="50">
        <v>0</v>
      </c>
      <c r="P464" s="50">
        <v>0</v>
      </c>
      <c r="Q464" s="46" t="s">
        <v>102</v>
      </c>
      <c r="R464" s="46" t="s">
        <v>102</v>
      </c>
      <c r="S464" s="46" t="s">
        <v>102</v>
      </c>
      <c r="T464" s="46" t="s">
        <v>192</v>
      </c>
      <c r="U464" s="51">
        <v>4</v>
      </c>
    </row>
    <row r="465" spans="2:21" ht="14.5" outlineLevel="3">
      <c r="B465" s="44" t="s">
        <v>1950</v>
      </c>
      <c r="C465" s="45" t="s">
        <v>1951</v>
      </c>
      <c r="D465" s="46" t="s">
        <v>179</v>
      </c>
      <c r="E465" s="47" t="s">
        <v>1315</v>
      </c>
      <c r="F465" s="46" t="s">
        <v>1952</v>
      </c>
      <c r="G465" s="47" t="s">
        <v>1953</v>
      </c>
      <c r="H465" s="48">
        <v>126.91</v>
      </c>
      <c r="I465" s="48">
        <v>331000</v>
      </c>
      <c r="J465" s="47" t="s">
        <v>115</v>
      </c>
      <c r="K465" s="49">
        <v>2</v>
      </c>
      <c r="L465" s="49" t="s">
        <v>116</v>
      </c>
      <c r="M465" s="46" t="s">
        <v>117</v>
      </c>
      <c r="N465" s="50">
        <v>0</v>
      </c>
      <c r="O465" s="50">
        <v>0</v>
      </c>
      <c r="P465" s="50">
        <v>0</v>
      </c>
      <c r="Q465" s="46" t="s">
        <v>102</v>
      </c>
      <c r="R465" s="46" t="s">
        <v>102</v>
      </c>
      <c r="S465" s="46" t="s">
        <v>102</v>
      </c>
      <c r="T465" s="46" t="s">
        <v>615</v>
      </c>
      <c r="U465" s="51">
        <v>4</v>
      </c>
    </row>
    <row r="466" spans="2:21" ht="14.5" outlineLevel="3">
      <c r="B466" s="44" t="s">
        <v>1954</v>
      </c>
      <c r="C466" s="45" t="s">
        <v>1955</v>
      </c>
      <c r="D466" s="46" t="s">
        <v>179</v>
      </c>
      <c r="E466" s="47" t="s">
        <v>1315</v>
      </c>
      <c r="F466" s="46" t="s">
        <v>1956</v>
      </c>
      <c r="G466" s="47" t="s">
        <v>1957</v>
      </c>
      <c r="H466" s="48">
        <v>126.91</v>
      </c>
      <c r="I466" s="48">
        <v>240000</v>
      </c>
      <c r="J466" s="47" t="s">
        <v>115</v>
      </c>
      <c r="K466" s="49">
        <v>2</v>
      </c>
      <c r="L466" s="49" t="s">
        <v>116</v>
      </c>
      <c r="M466" s="46" t="s">
        <v>117</v>
      </c>
      <c r="N466" s="50">
        <v>0</v>
      </c>
      <c r="O466" s="50">
        <v>0</v>
      </c>
      <c r="P466" s="50">
        <v>0</v>
      </c>
      <c r="Q466" s="46" t="s">
        <v>102</v>
      </c>
      <c r="R466" s="46" t="s">
        <v>102</v>
      </c>
      <c r="S466" s="46" t="s">
        <v>102</v>
      </c>
      <c r="T466" s="46" t="s">
        <v>268</v>
      </c>
      <c r="U466" s="51">
        <v>4</v>
      </c>
    </row>
    <row r="467" spans="2:21" ht="14.5" outlineLevel="3">
      <c r="B467" s="44" t="s">
        <v>1958</v>
      </c>
      <c r="C467" s="45" t="s">
        <v>1959</v>
      </c>
      <c r="D467" s="46" t="s">
        <v>179</v>
      </c>
      <c r="E467" s="47" t="s">
        <v>1315</v>
      </c>
      <c r="F467" s="46" t="s">
        <v>1960</v>
      </c>
      <c r="G467" s="47" t="s">
        <v>1961</v>
      </c>
      <c r="H467" s="48">
        <v>164.78</v>
      </c>
      <c r="I467" s="48">
        <v>60000</v>
      </c>
      <c r="J467" s="47" t="s">
        <v>115</v>
      </c>
      <c r="K467" s="49">
        <v>2</v>
      </c>
      <c r="L467" s="49" t="s">
        <v>116</v>
      </c>
      <c r="M467" s="46" t="s">
        <v>117</v>
      </c>
      <c r="N467" s="50">
        <v>0</v>
      </c>
      <c r="O467" s="50">
        <v>0</v>
      </c>
      <c r="P467" s="50">
        <v>0</v>
      </c>
      <c r="Q467" s="46" t="s">
        <v>102</v>
      </c>
      <c r="R467" s="46" t="s">
        <v>102</v>
      </c>
      <c r="S467" s="46" t="s">
        <v>102</v>
      </c>
      <c r="T467" s="46" t="s">
        <v>273</v>
      </c>
      <c r="U467" s="51">
        <v>4</v>
      </c>
    </row>
    <row r="468" spans="2:21" ht="14.5" outlineLevel="3">
      <c r="B468" s="44" t="s">
        <v>1962</v>
      </c>
      <c r="C468" s="45" t="s">
        <v>1963</v>
      </c>
      <c r="D468" s="46" t="s">
        <v>179</v>
      </c>
      <c r="E468" s="47" t="s">
        <v>1315</v>
      </c>
      <c r="F468" s="46" t="s">
        <v>1964</v>
      </c>
      <c r="G468" s="47" t="s">
        <v>1965</v>
      </c>
      <c r="H468" s="48">
        <v>108.45</v>
      </c>
      <c r="I468" s="48">
        <v>60000</v>
      </c>
      <c r="J468" s="47" t="s">
        <v>115</v>
      </c>
      <c r="K468" s="49">
        <v>2</v>
      </c>
      <c r="L468" s="49" t="s">
        <v>116</v>
      </c>
      <c r="M468" s="46" t="s">
        <v>117</v>
      </c>
      <c r="N468" s="50">
        <v>0</v>
      </c>
      <c r="O468" s="50">
        <v>0</v>
      </c>
      <c r="P468" s="50">
        <v>0</v>
      </c>
      <c r="Q468" s="46" t="s">
        <v>102</v>
      </c>
      <c r="R468" s="46" t="s">
        <v>102</v>
      </c>
      <c r="S468" s="46" t="s">
        <v>102</v>
      </c>
      <c r="T468" s="46" t="s">
        <v>198</v>
      </c>
      <c r="U468" s="51">
        <v>4</v>
      </c>
    </row>
    <row r="469" spans="2:21" ht="14.5" outlineLevel="3">
      <c r="B469" s="44" t="s">
        <v>1966</v>
      </c>
      <c r="C469" s="45" t="s">
        <v>1967</v>
      </c>
      <c r="D469" s="46" t="s">
        <v>179</v>
      </c>
      <c r="E469" s="47" t="s">
        <v>1315</v>
      </c>
      <c r="F469" s="46" t="s">
        <v>1968</v>
      </c>
      <c r="G469" s="47" t="s">
        <v>1969</v>
      </c>
      <c r="H469" s="48">
        <v>77</v>
      </c>
      <c r="I469" s="48">
        <v>50000</v>
      </c>
      <c r="J469" s="47" t="s">
        <v>115</v>
      </c>
      <c r="K469" s="49">
        <v>2</v>
      </c>
      <c r="L469" s="49" t="s">
        <v>116</v>
      </c>
      <c r="M469" s="46" t="s">
        <v>117</v>
      </c>
      <c r="N469" s="50">
        <v>0</v>
      </c>
      <c r="O469" s="50">
        <v>0</v>
      </c>
      <c r="P469" s="50">
        <v>0</v>
      </c>
      <c r="Q469" s="46" t="s">
        <v>102</v>
      </c>
      <c r="R469" s="46" t="s">
        <v>102</v>
      </c>
      <c r="S469" s="46" t="s">
        <v>102</v>
      </c>
      <c r="T469" s="46" t="s">
        <v>283</v>
      </c>
      <c r="U469" s="51">
        <v>4</v>
      </c>
    </row>
    <row r="470" spans="2:21" ht="14.5" outlineLevel="3">
      <c r="B470" s="44" t="s">
        <v>1970</v>
      </c>
      <c r="C470" s="45" t="s">
        <v>1971</v>
      </c>
      <c r="D470" s="46" t="s">
        <v>179</v>
      </c>
      <c r="E470" s="47" t="s">
        <v>1315</v>
      </c>
      <c r="F470" s="46" t="s">
        <v>1972</v>
      </c>
      <c r="G470" s="47" t="s">
        <v>1973</v>
      </c>
      <c r="H470" s="48">
        <v>36.39</v>
      </c>
      <c r="I470" s="48">
        <v>10000</v>
      </c>
      <c r="J470" s="47" t="s">
        <v>115</v>
      </c>
      <c r="K470" s="49">
        <v>2</v>
      </c>
      <c r="L470" s="49" t="s">
        <v>116</v>
      </c>
      <c r="M470" s="46" t="s">
        <v>117</v>
      </c>
      <c r="N470" s="50">
        <v>0</v>
      </c>
      <c r="O470" s="50">
        <v>0</v>
      </c>
      <c r="P470" s="50">
        <v>0</v>
      </c>
      <c r="Q470" s="46" t="s">
        <v>102</v>
      </c>
      <c r="R470" s="46" t="s">
        <v>102</v>
      </c>
      <c r="S470" s="46" t="s">
        <v>102</v>
      </c>
      <c r="T470" s="46" t="s">
        <v>288</v>
      </c>
      <c r="U470" s="51">
        <v>4</v>
      </c>
    </row>
    <row r="471" spans="2:21" ht="14.5" outlineLevel="3">
      <c r="B471" s="44" t="s">
        <v>1974</v>
      </c>
      <c r="C471" s="45" t="s">
        <v>1975</v>
      </c>
      <c r="D471" s="46" t="s">
        <v>392</v>
      </c>
      <c r="E471" s="47" t="s">
        <v>1315</v>
      </c>
      <c r="F471" s="46" t="s">
        <v>1976</v>
      </c>
      <c r="G471" s="47" t="s">
        <v>1977</v>
      </c>
      <c r="H471" s="48">
        <v>1104.01</v>
      </c>
      <c r="I471" s="48">
        <v>1</v>
      </c>
      <c r="J471" s="47" t="s">
        <v>115</v>
      </c>
      <c r="K471" s="49">
        <v>2</v>
      </c>
      <c r="L471" s="49" t="s">
        <v>116</v>
      </c>
      <c r="M471" s="46" t="s">
        <v>117</v>
      </c>
      <c r="N471" s="50">
        <v>0</v>
      </c>
      <c r="O471" s="50">
        <v>0</v>
      </c>
      <c r="P471" s="50">
        <v>0</v>
      </c>
      <c r="Q471" s="46" t="s">
        <v>102</v>
      </c>
      <c r="R471" s="46" t="s">
        <v>102</v>
      </c>
      <c r="S471" s="46" t="s">
        <v>102</v>
      </c>
      <c r="T471" s="46" t="s">
        <v>203</v>
      </c>
      <c r="U471" s="51">
        <v>4</v>
      </c>
    </row>
    <row r="472" spans="2:21" ht="14.5" outlineLevel="3">
      <c r="B472" s="44" t="s">
        <v>1978</v>
      </c>
      <c r="C472" s="45" t="s">
        <v>1979</v>
      </c>
      <c r="D472" s="46" t="s">
        <v>392</v>
      </c>
      <c r="E472" s="47" t="s">
        <v>1315</v>
      </c>
      <c r="F472" s="46" t="s">
        <v>1980</v>
      </c>
      <c r="G472" s="47" t="s">
        <v>1981</v>
      </c>
      <c r="H472" s="48">
        <v>382.15</v>
      </c>
      <c r="I472" s="48">
        <v>1</v>
      </c>
      <c r="J472" s="47" t="s">
        <v>115</v>
      </c>
      <c r="K472" s="49">
        <v>2</v>
      </c>
      <c r="L472" s="49" t="s">
        <v>116</v>
      </c>
      <c r="M472" s="46" t="s">
        <v>117</v>
      </c>
      <c r="N472" s="50">
        <v>0</v>
      </c>
      <c r="O472" s="50">
        <v>0</v>
      </c>
      <c r="P472" s="50">
        <v>0</v>
      </c>
      <c r="Q472" s="46" t="s">
        <v>102</v>
      </c>
      <c r="R472" s="46" t="s">
        <v>102</v>
      </c>
      <c r="S472" s="46" t="s">
        <v>102</v>
      </c>
      <c r="T472" s="46" t="s">
        <v>298</v>
      </c>
      <c r="U472" s="51">
        <v>4</v>
      </c>
    </row>
    <row r="473" spans="2:21" ht="14.5" outlineLevel="3">
      <c r="B473" s="44" t="s">
        <v>1982</v>
      </c>
      <c r="C473" s="45" t="s">
        <v>1983</v>
      </c>
      <c r="D473" s="46" t="s">
        <v>392</v>
      </c>
      <c r="E473" s="47" t="s">
        <v>1315</v>
      </c>
      <c r="F473" s="46" t="s">
        <v>1984</v>
      </c>
      <c r="G473" s="47" t="s">
        <v>1985</v>
      </c>
      <c r="H473" s="48">
        <v>764.32</v>
      </c>
      <c r="I473" s="48">
        <v>1</v>
      </c>
      <c r="J473" s="47" t="s">
        <v>115</v>
      </c>
      <c r="K473" s="49">
        <v>2</v>
      </c>
      <c r="L473" s="49" t="s">
        <v>116</v>
      </c>
      <c r="M473" s="46" t="s">
        <v>117</v>
      </c>
      <c r="N473" s="50">
        <v>0</v>
      </c>
      <c r="O473" s="50">
        <v>0</v>
      </c>
      <c r="P473" s="50">
        <v>0</v>
      </c>
      <c r="Q473" s="46" t="s">
        <v>102</v>
      </c>
      <c r="R473" s="46" t="s">
        <v>102</v>
      </c>
      <c r="S473" s="46" t="s">
        <v>102</v>
      </c>
      <c r="T473" s="46" t="s">
        <v>418</v>
      </c>
      <c r="U473" s="51">
        <v>4</v>
      </c>
    </row>
    <row r="474" spans="2:21" ht="14.5" outlineLevel="3">
      <c r="B474" s="44" t="s">
        <v>1986</v>
      </c>
      <c r="C474" s="45" t="s">
        <v>1987</v>
      </c>
      <c r="D474" s="46" t="s">
        <v>392</v>
      </c>
      <c r="E474" s="47" t="s">
        <v>1315</v>
      </c>
      <c r="F474" s="46" t="s">
        <v>1988</v>
      </c>
      <c r="G474" s="47" t="s">
        <v>1989</v>
      </c>
      <c r="H474" s="48">
        <v>297.24</v>
      </c>
      <c r="I474" s="48">
        <v>1</v>
      </c>
      <c r="J474" s="47" t="s">
        <v>115</v>
      </c>
      <c r="K474" s="49">
        <v>2</v>
      </c>
      <c r="L474" s="49" t="s">
        <v>116</v>
      </c>
      <c r="M474" s="46" t="s">
        <v>117</v>
      </c>
      <c r="N474" s="50">
        <v>0</v>
      </c>
      <c r="O474" s="50">
        <v>0</v>
      </c>
      <c r="P474" s="50">
        <v>0</v>
      </c>
      <c r="Q474" s="46" t="s">
        <v>102</v>
      </c>
      <c r="R474" s="46" t="s">
        <v>102</v>
      </c>
      <c r="S474" s="46" t="s">
        <v>102</v>
      </c>
      <c r="T474" s="46" t="s">
        <v>208</v>
      </c>
      <c r="U474" s="51">
        <v>4</v>
      </c>
    </row>
    <row r="475" spans="2:21" ht="14.5" outlineLevel="3">
      <c r="B475" s="44" t="s">
        <v>1990</v>
      </c>
      <c r="C475" s="45" t="s">
        <v>1991</v>
      </c>
      <c r="D475" s="46" t="s">
        <v>392</v>
      </c>
      <c r="E475" s="47" t="s">
        <v>1315</v>
      </c>
      <c r="F475" s="46" t="s">
        <v>1992</v>
      </c>
      <c r="G475" s="47" t="s">
        <v>1993</v>
      </c>
      <c r="H475" s="48">
        <v>616123.05000000005</v>
      </c>
      <c r="I475" s="48">
        <v>1</v>
      </c>
      <c r="J475" s="47" t="s">
        <v>115</v>
      </c>
      <c r="K475" s="49">
        <v>2</v>
      </c>
      <c r="L475" s="49" t="s">
        <v>116</v>
      </c>
      <c r="M475" s="46" t="s">
        <v>117</v>
      </c>
      <c r="N475" s="50">
        <v>0</v>
      </c>
      <c r="O475" s="50">
        <v>0</v>
      </c>
      <c r="P475" s="50">
        <v>0</v>
      </c>
      <c r="Q475" s="46" t="s">
        <v>102</v>
      </c>
      <c r="R475" s="46" t="s">
        <v>102</v>
      </c>
      <c r="S475" s="46" t="s">
        <v>102</v>
      </c>
      <c r="T475" s="46" t="s">
        <v>303</v>
      </c>
      <c r="U475" s="51">
        <v>4</v>
      </c>
    </row>
    <row r="476" spans="2:21" ht="14.5" outlineLevel="3">
      <c r="B476" s="44" t="s">
        <v>1994</v>
      </c>
      <c r="C476" s="45" t="s">
        <v>1995</v>
      </c>
      <c r="D476" s="46" t="s">
        <v>392</v>
      </c>
      <c r="E476" s="47" t="s">
        <v>1315</v>
      </c>
      <c r="F476" s="46" t="s">
        <v>1996</v>
      </c>
      <c r="G476" s="47" t="s">
        <v>1997</v>
      </c>
      <c r="H476" s="48">
        <v>44839.83</v>
      </c>
      <c r="I476" s="48">
        <v>1</v>
      </c>
      <c r="J476" s="47" t="s">
        <v>115</v>
      </c>
      <c r="K476" s="49">
        <v>2</v>
      </c>
      <c r="L476" s="49" t="s">
        <v>116</v>
      </c>
      <c r="M476" s="46" t="s">
        <v>117</v>
      </c>
      <c r="N476" s="50">
        <v>0</v>
      </c>
      <c r="O476" s="50">
        <v>0</v>
      </c>
      <c r="P476" s="50">
        <v>0</v>
      </c>
      <c r="Q476" s="46" t="s">
        <v>102</v>
      </c>
      <c r="R476" s="46" t="s">
        <v>102</v>
      </c>
      <c r="S476" s="46" t="s">
        <v>102</v>
      </c>
      <c r="T476" s="46" t="s">
        <v>213</v>
      </c>
      <c r="U476" s="51">
        <v>4</v>
      </c>
    </row>
    <row r="477" spans="2:21" ht="14.5" outlineLevel="3">
      <c r="B477" s="44" t="s">
        <v>1998</v>
      </c>
      <c r="C477" s="45" t="s">
        <v>1999</v>
      </c>
      <c r="D477" s="46" t="s">
        <v>179</v>
      </c>
      <c r="E477" s="47" t="s">
        <v>1315</v>
      </c>
      <c r="F477" s="46" t="s">
        <v>2000</v>
      </c>
      <c r="G477" s="47" t="s">
        <v>2001</v>
      </c>
      <c r="H477" s="48">
        <v>40.950000000000003</v>
      </c>
      <c r="I477" s="48">
        <v>350000</v>
      </c>
      <c r="J477" s="47" t="s">
        <v>115</v>
      </c>
      <c r="K477" s="49">
        <v>2</v>
      </c>
      <c r="L477" s="49" t="s">
        <v>116</v>
      </c>
      <c r="M477" s="46" t="s">
        <v>117</v>
      </c>
      <c r="N477" s="50">
        <v>0</v>
      </c>
      <c r="O477" s="50">
        <v>0</v>
      </c>
      <c r="P477" s="50">
        <v>0</v>
      </c>
      <c r="Q477" s="46" t="s">
        <v>102</v>
      </c>
      <c r="R477" s="46" t="s">
        <v>102</v>
      </c>
      <c r="S477" s="46" t="s">
        <v>102</v>
      </c>
      <c r="T477" s="46" t="s">
        <v>691</v>
      </c>
      <c r="U477" s="51">
        <v>4</v>
      </c>
    </row>
    <row r="478" spans="2:21" ht="14.5" outlineLevel="3">
      <c r="B478" s="44" t="s">
        <v>2002</v>
      </c>
      <c r="C478" s="45" t="s">
        <v>2003</v>
      </c>
      <c r="D478" s="46" t="s">
        <v>179</v>
      </c>
      <c r="E478" s="47" t="s">
        <v>1315</v>
      </c>
      <c r="F478" s="46" t="s">
        <v>2004</v>
      </c>
      <c r="G478" s="47" t="s">
        <v>2005</v>
      </c>
      <c r="H478" s="48">
        <v>17.07</v>
      </c>
      <c r="I478" s="48">
        <v>225000</v>
      </c>
      <c r="J478" s="47" t="s">
        <v>115</v>
      </c>
      <c r="K478" s="49">
        <v>2</v>
      </c>
      <c r="L478" s="49" t="s">
        <v>116</v>
      </c>
      <c r="M478" s="46" t="s">
        <v>117</v>
      </c>
      <c r="N478" s="50">
        <v>0</v>
      </c>
      <c r="O478" s="50">
        <v>0</v>
      </c>
      <c r="P478" s="50">
        <v>0</v>
      </c>
      <c r="Q478" s="46" t="s">
        <v>102</v>
      </c>
      <c r="R478" s="46" t="s">
        <v>102</v>
      </c>
      <c r="S478" s="46" t="s">
        <v>102</v>
      </c>
      <c r="T478" s="46" t="s">
        <v>695</v>
      </c>
      <c r="U478" s="51">
        <v>4</v>
      </c>
    </row>
    <row r="479" spans="2:21" ht="14.5" outlineLevel="3">
      <c r="B479" s="44" t="s">
        <v>2006</v>
      </c>
      <c r="C479" s="45" t="s">
        <v>2007</v>
      </c>
      <c r="D479" s="46" t="s">
        <v>392</v>
      </c>
      <c r="E479" s="47" t="s">
        <v>1315</v>
      </c>
      <c r="F479" s="46" t="s">
        <v>2008</v>
      </c>
      <c r="G479" s="47" t="s">
        <v>2009</v>
      </c>
      <c r="H479" s="48">
        <v>11143.71</v>
      </c>
      <c r="I479" s="48">
        <v>1</v>
      </c>
      <c r="J479" s="47" t="s">
        <v>115</v>
      </c>
      <c r="K479" s="49">
        <v>2</v>
      </c>
      <c r="L479" s="49" t="s">
        <v>116</v>
      </c>
      <c r="M479" s="46" t="s">
        <v>117</v>
      </c>
      <c r="N479" s="50">
        <v>0</v>
      </c>
      <c r="O479" s="50">
        <v>0</v>
      </c>
      <c r="P479" s="50">
        <v>0</v>
      </c>
      <c r="Q479" s="46" t="s">
        <v>102</v>
      </c>
      <c r="R479" s="46" t="s">
        <v>102</v>
      </c>
      <c r="S479" s="46" t="s">
        <v>102</v>
      </c>
      <c r="T479" s="46" t="s">
        <v>228</v>
      </c>
      <c r="U479" s="51">
        <v>4</v>
      </c>
    </row>
    <row r="480" spans="2:21" ht="14.5" outlineLevel="3">
      <c r="B480" s="44" t="s">
        <v>2010</v>
      </c>
      <c r="C480" s="45" t="s">
        <v>2011</v>
      </c>
      <c r="D480" s="46" t="s">
        <v>392</v>
      </c>
      <c r="E480" s="47" t="s">
        <v>1315</v>
      </c>
      <c r="F480" s="46" t="s">
        <v>2012</v>
      </c>
      <c r="G480" s="47" t="s">
        <v>2013</v>
      </c>
      <c r="H480" s="48">
        <v>1416.44</v>
      </c>
      <c r="I480" s="48">
        <v>1</v>
      </c>
      <c r="J480" s="47" t="s">
        <v>115</v>
      </c>
      <c r="K480" s="49">
        <v>2</v>
      </c>
      <c r="L480" s="49" t="s">
        <v>116</v>
      </c>
      <c r="M480" s="46" t="s">
        <v>117</v>
      </c>
      <c r="N480" s="50">
        <v>0</v>
      </c>
      <c r="O480" s="50">
        <v>0</v>
      </c>
      <c r="P480" s="50">
        <v>0</v>
      </c>
      <c r="Q480" s="46" t="s">
        <v>102</v>
      </c>
      <c r="R480" s="46" t="s">
        <v>102</v>
      </c>
      <c r="S480" s="46" t="s">
        <v>102</v>
      </c>
      <c r="T480" s="46" t="s">
        <v>233</v>
      </c>
      <c r="U480" s="51">
        <v>4</v>
      </c>
    </row>
    <row r="481" spans="2:21" ht="14.5" outlineLevel="2">
      <c r="B481" s="36" t="s">
        <v>2014</v>
      </c>
      <c r="C481" s="37" t="s">
        <v>2015</v>
      </c>
      <c r="D481" s="38" t="s">
        <v>102</v>
      </c>
      <c r="E481" s="39" t="s">
        <v>102</v>
      </c>
      <c r="F481" s="38" t="s">
        <v>102</v>
      </c>
      <c r="G481" s="39" t="s">
        <v>102</v>
      </c>
      <c r="H481" s="40">
        <v>0</v>
      </c>
      <c r="I481" s="40">
        <v>0</v>
      </c>
      <c r="J481" s="39" t="s">
        <v>102</v>
      </c>
      <c r="K481" s="41">
        <v>0</v>
      </c>
      <c r="L481" s="41" t="s">
        <v>102</v>
      </c>
      <c r="M481" s="38" t="s">
        <v>102</v>
      </c>
      <c r="N481" s="42">
        <v>0</v>
      </c>
      <c r="O481" s="42">
        <v>0</v>
      </c>
      <c r="P481" s="42">
        <v>0</v>
      </c>
      <c r="Q481" s="38" t="s">
        <v>102</v>
      </c>
      <c r="R481" s="38" t="s">
        <v>102</v>
      </c>
      <c r="S481" s="38" t="s">
        <v>2016</v>
      </c>
      <c r="T481" s="38" t="s">
        <v>102</v>
      </c>
      <c r="U481" s="43">
        <v>3</v>
      </c>
    </row>
    <row r="482" spans="2:21" ht="14.5" outlineLevel="3">
      <c r="B482" s="44" t="s">
        <v>2017</v>
      </c>
      <c r="C482" s="45" t="s">
        <v>2018</v>
      </c>
      <c r="D482" s="46" t="s">
        <v>458</v>
      </c>
      <c r="E482" s="47" t="s">
        <v>1315</v>
      </c>
      <c r="F482" s="46" t="s">
        <v>2019</v>
      </c>
      <c r="G482" s="47" t="s">
        <v>2020</v>
      </c>
      <c r="H482" s="48">
        <v>65551.08</v>
      </c>
      <c r="I482" s="48">
        <v>9</v>
      </c>
      <c r="J482" s="47" t="s">
        <v>115</v>
      </c>
      <c r="K482" s="49">
        <v>2</v>
      </c>
      <c r="L482" s="49" t="s">
        <v>116</v>
      </c>
      <c r="M482" s="46" t="s">
        <v>117</v>
      </c>
      <c r="N482" s="50">
        <v>0</v>
      </c>
      <c r="O482" s="50">
        <v>0</v>
      </c>
      <c r="P482" s="50">
        <v>0</v>
      </c>
      <c r="Q482" s="46" t="s">
        <v>102</v>
      </c>
      <c r="R482" s="46" t="s">
        <v>102</v>
      </c>
      <c r="S482" s="46" t="s">
        <v>102</v>
      </c>
      <c r="T482" s="46" t="s">
        <v>118</v>
      </c>
      <c r="U482" s="51">
        <v>4</v>
      </c>
    </row>
    <row r="483" spans="2:21" ht="14.5" outlineLevel="3">
      <c r="B483" s="44" t="s">
        <v>2021</v>
      </c>
      <c r="C483" s="45" t="s">
        <v>2022</v>
      </c>
      <c r="D483" s="46" t="s">
        <v>458</v>
      </c>
      <c r="E483" s="47" t="s">
        <v>1315</v>
      </c>
      <c r="F483" s="46" t="s">
        <v>2023</v>
      </c>
      <c r="G483" s="47" t="s">
        <v>2024</v>
      </c>
      <c r="H483" s="48">
        <v>65551.08</v>
      </c>
      <c r="I483" s="48">
        <v>26</v>
      </c>
      <c r="J483" s="47" t="s">
        <v>115</v>
      </c>
      <c r="K483" s="49">
        <v>2</v>
      </c>
      <c r="L483" s="49" t="s">
        <v>116</v>
      </c>
      <c r="M483" s="46" t="s">
        <v>117</v>
      </c>
      <c r="N483" s="50">
        <v>0</v>
      </c>
      <c r="O483" s="50">
        <v>0</v>
      </c>
      <c r="P483" s="50">
        <v>0</v>
      </c>
      <c r="Q483" s="46" t="s">
        <v>102</v>
      </c>
      <c r="R483" s="46" t="s">
        <v>102</v>
      </c>
      <c r="S483" s="46" t="s">
        <v>102</v>
      </c>
      <c r="T483" s="46" t="s">
        <v>123</v>
      </c>
      <c r="U483" s="51">
        <v>4</v>
      </c>
    </row>
    <row r="484" spans="2:21" ht="14.5" outlineLevel="3">
      <c r="B484" s="44" t="s">
        <v>2025</v>
      </c>
      <c r="C484" s="45" t="s">
        <v>2026</v>
      </c>
      <c r="D484" s="46" t="s">
        <v>458</v>
      </c>
      <c r="E484" s="47" t="s">
        <v>1315</v>
      </c>
      <c r="F484" s="46" t="s">
        <v>2027</v>
      </c>
      <c r="G484" s="47" t="s">
        <v>2028</v>
      </c>
      <c r="H484" s="48">
        <v>14532.18</v>
      </c>
      <c r="I484" s="48">
        <v>67</v>
      </c>
      <c r="J484" s="47" t="s">
        <v>115</v>
      </c>
      <c r="K484" s="49">
        <v>2</v>
      </c>
      <c r="L484" s="49" t="s">
        <v>116</v>
      </c>
      <c r="M484" s="46" t="s">
        <v>117</v>
      </c>
      <c r="N484" s="50">
        <v>0</v>
      </c>
      <c r="O484" s="50">
        <v>0</v>
      </c>
      <c r="P484" s="50">
        <v>0</v>
      </c>
      <c r="Q484" s="46" t="s">
        <v>102</v>
      </c>
      <c r="R484" s="46" t="s">
        <v>102</v>
      </c>
      <c r="S484" s="46" t="s">
        <v>102</v>
      </c>
      <c r="T484" s="46" t="s">
        <v>128</v>
      </c>
      <c r="U484" s="51">
        <v>4</v>
      </c>
    </row>
    <row r="485" spans="2:21" ht="14.5" outlineLevel="3">
      <c r="B485" s="44" t="s">
        <v>2029</v>
      </c>
      <c r="C485" s="45" t="s">
        <v>2030</v>
      </c>
      <c r="D485" s="46" t="s">
        <v>458</v>
      </c>
      <c r="E485" s="47" t="s">
        <v>1315</v>
      </c>
      <c r="F485" s="46" t="s">
        <v>2031</v>
      </c>
      <c r="G485" s="47" t="s">
        <v>2032</v>
      </c>
      <c r="H485" s="48">
        <v>14532.18</v>
      </c>
      <c r="I485" s="48">
        <v>9</v>
      </c>
      <c r="J485" s="47" t="s">
        <v>115</v>
      </c>
      <c r="K485" s="49">
        <v>2</v>
      </c>
      <c r="L485" s="49" t="s">
        <v>116</v>
      </c>
      <c r="M485" s="46" t="s">
        <v>117</v>
      </c>
      <c r="N485" s="50">
        <v>0</v>
      </c>
      <c r="O485" s="50">
        <v>0</v>
      </c>
      <c r="P485" s="50">
        <v>0</v>
      </c>
      <c r="Q485" s="46" t="s">
        <v>102</v>
      </c>
      <c r="R485" s="46" t="s">
        <v>102</v>
      </c>
      <c r="S485" s="46" t="s">
        <v>102</v>
      </c>
      <c r="T485" s="46" t="s">
        <v>133</v>
      </c>
      <c r="U485" s="51">
        <v>4</v>
      </c>
    </row>
    <row r="486" spans="2:21" ht="14.5" outlineLevel="3">
      <c r="B486" s="44" t="s">
        <v>2033</v>
      </c>
      <c r="C486" s="45" t="s">
        <v>2034</v>
      </c>
      <c r="D486" s="46" t="s">
        <v>458</v>
      </c>
      <c r="E486" s="47" t="s">
        <v>1315</v>
      </c>
      <c r="F486" s="46" t="s">
        <v>2035</v>
      </c>
      <c r="G486" s="47" t="s">
        <v>2036</v>
      </c>
      <c r="H486" s="48">
        <v>248656.57</v>
      </c>
      <c r="I486" s="48">
        <v>2</v>
      </c>
      <c r="J486" s="47" t="s">
        <v>115</v>
      </c>
      <c r="K486" s="49">
        <v>2</v>
      </c>
      <c r="L486" s="49" t="s">
        <v>116</v>
      </c>
      <c r="M486" s="46" t="s">
        <v>117</v>
      </c>
      <c r="N486" s="50">
        <v>0</v>
      </c>
      <c r="O486" s="50">
        <v>0</v>
      </c>
      <c r="P486" s="50">
        <v>0</v>
      </c>
      <c r="Q486" s="46" t="s">
        <v>102</v>
      </c>
      <c r="R486" s="46" t="s">
        <v>102</v>
      </c>
      <c r="S486" s="46" t="s">
        <v>102</v>
      </c>
      <c r="T486" s="46" t="s">
        <v>138</v>
      </c>
      <c r="U486" s="51">
        <v>4</v>
      </c>
    </row>
    <row r="487" spans="2:21" ht="14.5" outlineLevel="3">
      <c r="B487" s="44" t="s">
        <v>2037</v>
      </c>
      <c r="C487" s="45" t="s">
        <v>2038</v>
      </c>
      <c r="D487" s="46" t="s">
        <v>458</v>
      </c>
      <c r="E487" s="47" t="s">
        <v>1315</v>
      </c>
      <c r="F487" s="46" t="s">
        <v>2039</v>
      </c>
      <c r="G487" s="47" t="s">
        <v>2040</v>
      </c>
      <c r="H487" s="48">
        <v>17813.64</v>
      </c>
      <c r="I487" s="48">
        <v>45</v>
      </c>
      <c r="J487" s="47" t="s">
        <v>115</v>
      </c>
      <c r="K487" s="49">
        <v>2</v>
      </c>
      <c r="L487" s="49" t="s">
        <v>116</v>
      </c>
      <c r="M487" s="46" t="s">
        <v>117</v>
      </c>
      <c r="N487" s="50">
        <v>0</v>
      </c>
      <c r="O487" s="50">
        <v>0</v>
      </c>
      <c r="P487" s="50">
        <v>0</v>
      </c>
      <c r="Q487" s="46" t="s">
        <v>102</v>
      </c>
      <c r="R487" s="46" t="s">
        <v>102</v>
      </c>
      <c r="S487" s="46" t="s">
        <v>102</v>
      </c>
      <c r="T487" s="46" t="s">
        <v>143</v>
      </c>
      <c r="U487" s="51">
        <v>4</v>
      </c>
    </row>
    <row r="488" spans="2:21" ht="14.5" outlineLevel="3">
      <c r="B488" s="44" t="s">
        <v>2041</v>
      </c>
      <c r="C488" s="45" t="s">
        <v>2042</v>
      </c>
      <c r="D488" s="46" t="s">
        <v>458</v>
      </c>
      <c r="E488" s="47" t="s">
        <v>1315</v>
      </c>
      <c r="F488" s="46" t="s">
        <v>2043</v>
      </c>
      <c r="G488" s="47" t="s">
        <v>2044</v>
      </c>
      <c r="H488" s="48">
        <v>17813.64</v>
      </c>
      <c r="I488" s="48">
        <v>442</v>
      </c>
      <c r="J488" s="47" t="s">
        <v>115</v>
      </c>
      <c r="K488" s="49">
        <v>2</v>
      </c>
      <c r="L488" s="49" t="s">
        <v>116</v>
      </c>
      <c r="M488" s="46" t="s">
        <v>117</v>
      </c>
      <c r="N488" s="50">
        <v>0</v>
      </c>
      <c r="O488" s="50">
        <v>0</v>
      </c>
      <c r="P488" s="50">
        <v>0</v>
      </c>
      <c r="Q488" s="46" t="s">
        <v>102</v>
      </c>
      <c r="R488" s="46" t="s">
        <v>102</v>
      </c>
      <c r="S488" s="46" t="s">
        <v>102</v>
      </c>
      <c r="T488" s="46" t="s">
        <v>176</v>
      </c>
      <c r="U488" s="51">
        <v>4</v>
      </c>
    </row>
    <row r="489" spans="2:21" ht="14.5" outlineLevel="3">
      <c r="B489" s="44" t="s">
        <v>2045</v>
      </c>
      <c r="C489" s="45" t="s">
        <v>2046</v>
      </c>
      <c r="D489" s="46" t="s">
        <v>458</v>
      </c>
      <c r="E489" s="47" t="s">
        <v>1315</v>
      </c>
      <c r="F489" s="46" t="s">
        <v>2047</v>
      </c>
      <c r="G489" s="47" t="s">
        <v>2048</v>
      </c>
      <c r="H489" s="48">
        <v>95318.61</v>
      </c>
      <c r="I489" s="48">
        <v>1</v>
      </c>
      <c r="J489" s="47" t="s">
        <v>115</v>
      </c>
      <c r="K489" s="49">
        <v>2</v>
      </c>
      <c r="L489" s="49" t="s">
        <v>116</v>
      </c>
      <c r="M489" s="46" t="s">
        <v>117</v>
      </c>
      <c r="N489" s="50">
        <v>0</v>
      </c>
      <c r="O489" s="50">
        <v>0</v>
      </c>
      <c r="P489" s="50">
        <v>0</v>
      </c>
      <c r="Q489" s="46" t="s">
        <v>102</v>
      </c>
      <c r="R489" s="46" t="s">
        <v>102</v>
      </c>
      <c r="S489" s="46" t="s">
        <v>102</v>
      </c>
      <c r="T489" s="46" t="s">
        <v>182</v>
      </c>
      <c r="U489" s="51">
        <v>4</v>
      </c>
    </row>
    <row r="490" spans="2:21" ht="14.5" outlineLevel="3">
      <c r="B490" s="44" t="s">
        <v>2049</v>
      </c>
      <c r="C490" s="45" t="s">
        <v>2050</v>
      </c>
      <c r="D490" s="46" t="s">
        <v>458</v>
      </c>
      <c r="E490" s="47" t="s">
        <v>1315</v>
      </c>
      <c r="F490" s="46" t="s">
        <v>2051</v>
      </c>
      <c r="G490" s="47" t="s">
        <v>2052</v>
      </c>
      <c r="H490" s="48">
        <v>10921.22</v>
      </c>
      <c r="I490" s="48">
        <v>487</v>
      </c>
      <c r="J490" s="47" t="s">
        <v>115</v>
      </c>
      <c r="K490" s="49">
        <v>2</v>
      </c>
      <c r="L490" s="49" t="s">
        <v>116</v>
      </c>
      <c r="M490" s="46" t="s">
        <v>117</v>
      </c>
      <c r="N490" s="50">
        <v>0</v>
      </c>
      <c r="O490" s="50">
        <v>0</v>
      </c>
      <c r="P490" s="50">
        <v>0</v>
      </c>
      <c r="Q490" s="46" t="s">
        <v>102</v>
      </c>
      <c r="R490" s="46" t="s">
        <v>102</v>
      </c>
      <c r="S490" s="46" t="s">
        <v>102</v>
      </c>
      <c r="T490" s="46" t="s">
        <v>187</v>
      </c>
      <c r="U490" s="51">
        <v>4</v>
      </c>
    </row>
    <row r="491" spans="2:21" ht="14.5" outlineLevel="3">
      <c r="B491" s="44" t="s">
        <v>2053</v>
      </c>
      <c r="C491" s="45" t="s">
        <v>2054</v>
      </c>
      <c r="D491" s="46" t="s">
        <v>469</v>
      </c>
      <c r="E491" s="47" t="s">
        <v>1315</v>
      </c>
      <c r="F491" s="46" t="s">
        <v>2055</v>
      </c>
      <c r="G491" s="47" t="s">
        <v>2056</v>
      </c>
      <c r="H491" s="48">
        <v>381102.55</v>
      </c>
      <c r="I491" s="48">
        <v>1</v>
      </c>
      <c r="J491" s="47" t="s">
        <v>115</v>
      </c>
      <c r="K491" s="49">
        <v>2</v>
      </c>
      <c r="L491" s="49" t="s">
        <v>116</v>
      </c>
      <c r="M491" s="46" t="s">
        <v>117</v>
      </c>
      <c r="N491" s="50">
        <v>0</v>
      </c>
      <c r="O491" s="50">
        <v>0</v>
      </c>
      <c r="P491" s="50">
        <v>0</v>
      </c>
      <c r="Q491" s="46" t="s">
        <v>102</v>
      </c>
      <c r="R491" s="46" t="s">
        <v>102</v>
      </c>
      <c r="S491" s="46" t="s">
        <v>102</v>
      </c>
      <c r="T491" s="46" t="s">
        <v>259</v>
      </c>
      <c r="U491" s="51">
        <v>4</v>
      </c>
    </row>
    <row r="492" spans="2:21" ht="14.5" outlineLevel="3">
      <c r="B492" s="44" t="s">
        <v>2057</v>
      </c>
      <c r="C492" s="45" t="s">
        <v>2058</v>
      </c>
      <c r="D492" s="46" t="s">
        <v>392</v>
      </c>
      <c r="E492" s="47" t="s">
        <v>1315</v>
      </c>
      <c r="F492" s="46" t="s">
        <v>2059</v>
      </c>
      <c r="G492" s="47" t="s">
        <v>2060</v>
      </c>
      <c r="H492" s="48">
        <v>4246.1899999999996</v>
      </c>
      <c r="I492" s="48">
        <v>1</v>
      </c>
      <c r="J492" s="47" t="s">
        <v>115</v>
      </c>
      <c r="K492" s="49">
        <v>2</v>
      </c>
      <c r="L492" s="49" t="s">
        <v>116</v>
      </c>
      <c r="M492" s="46" t="s">
        <v>117</v>
      </c>
      <c r="N492" s="50">
        <v>0</v>
      </c>
      <c r="O492" s="50">
        <v>0</v>
      </c>
      <c r="P492" s="50">
        <v>0</v>
      </c>
      <c r="Q492" s="46" t="s">
        <v>102</v>
      </c>
      <c r="R492" s="46" t="s">
        <v>102</v>
      </c>
      <c r="S492" s="46" t="s">
        <v>102</v>
      </c>
      <c r="T492" s="46" t="s">
        <v>192</v>
      </c>
      <c r="U492" s="51">
        <v>4</v>
      </c>
    </row>
    <row r="493" spans="2:21" ht="14.5" outlineLevel="2">
      <c r="B493" s="36" t="s">
        <v>2061</v>
      </c>
      <c r="C493" s="37" t="s">
        <v>2062</v>
      </c>
      <c r="D493" s="38" t="s">
        <v>102</v>
      </c>
      <c r="E493" s="39" t="s">
        <v>102</v>
      </c>
      <c r="F493" s="38" t="s">
        <v>102</v>
      </c>
      <c r="G493" s="39" t="s">
        <v>102</v>
      </c>
      <c r="H493" s="40">
        <v>0</v>
      </c>
      <c r="I493" s="40">
        <v>0</v>
      </c>
      <c r="J493" s="39" t="s">
        <v>102</v>
      </c>
      <c r="K493" s="41">
        <v>0</v>
      </c>
      <c r="L493" s="41" t="s">
        <v>102</v>
      </c>
      <c r="M493" s="38" t="s">
        <v>102</v>
      </c>
      <c r="N493" s="42">
        <v>0</v>
      </c>
      <c r="O493" s="42">
        <v>0</v>
      </c>
      <c r="P493" s="42">
        <v>0</v>
      </c>
      <c r="Q493" s="38" t="s">
        <v>102</v>
      </c>
      <c r="R493" s="38" t="s">
        <v>102</v>
      </c>
      <c r="S493" s="38" t="s">
        <v>2063</v>
      </c>
      <c r="T493" s="38" t="s">
        <v>102</v>
      </c>
      <c r="U493" s="43">
        <v>3</v>
      </c>
    </row>
    <row r="494" spans="2:21" ht="14.5" outlineLevel="3">
      <c r="B494" s="44" t="s">
        <v>2064</v>
      </c>
      <c r="C494" s="45" t="s">
        <v>2065</v>
      </c>
      <c r="D494" s="46" t="s">
        <v>458</v>
      </c>
      <c r="E494" s="47" t="s">
        <v>1315</v>
      </c>
      <c r="F494" s="46" t="s">
        <v>2066</v>
      </c>
      <c r="G494" s="47" t="s">
        <v>2067</v>
      </c>
      <c r="H494" s="48">
        <v>85218.05</v>
      </c>
      <c r="I494" s="48">
        <v>1</v>
      </c>
      <c r="J494" s="47" t="s">
        <v>115</v>
      </c>
      <c r="K494" s="49">
        <v>2</v>
      </c>
      <c r="L494" s="49" t="s">
        <v>116</v>
      </c>
      <c r="M494" s="46" t="s">
        <v>117</v>
      </c>
      <c r="N494" s="50">
        <v>0</v>
      </c>
      <c r="O494" s="50">
        <v>0</v>
      </c>
      <c r="P494" s="50">
        <v>0</v>
      </c>
      <c r="Q494" s="46" t="s">
        <v>102</v>
      </c>
      <c r="R494" s="46" t="s">
        <v>102</v>
      </c>
      <c r="S494" s="46" t="s">
        <v>102</v>
      </c>
      <c r="T494" s="46" t="s">
        <v>118</v>
      </c>
      <c r="U494" s="51">
        <v>4</v>
      </c>
    </row>
    <row r="495" spans="2:21" ht="14.5" outlineLevel="3">
      <c r="B495" s="44" t="s">
        <v>2068</v>
      </c>
      <c r="C495" s="45" t="s">
        <v>2069</v>
      </c>
      <c r="D495" s="46" t="s">
        <v>458</v>
      </c>
      <c r="E495" s="47" t="s">
        <v>1315</v>
      </c>
      <c r="F495" s="46" t="s">
        <v>2070</v>
      </c>
      <c r="G495" s="47" t="s">
        <v>2071</v>
      </c>
      <c r="H495" s="48">
        <v>3588.75</v>
      </c>
      <c r="I495" s="48">
        <v>5</v>
      </c>
      <c r="J495" s="47" t="s">
        <v>115</v>
      </c>
      <c r="K495" s="49">
        <v>2</v>
      </c>
      <c r="L495" s="49" t="s">
        <v>116</v>
      </c>
      <c r="M495" s="46" t="s">
        <v>117</v>
      </c>
      <c r="N495" s="50">
        <v>0</v>
      </c>
      <c r="O495" s="50">
        <v>0</v>
      </c>
      <c r="P495" s="50">
        <v>0</v>
      </c>
      <c r="Q495" s="46" t="s">
        <v>102</v>
      </c>
      <c r="R495" s="46" t="s">
        <v>102</v>
      </c>
      <c r="S495" s="46" t="s">
        <v>102</v>
      </c>
      <c r="T495" s="46" t="s">
        <v>123</v>
      </c>
      <c r="U495" s="51">
        <v>4</v>
      </c>
    </row>
    <row r="496" spans="2:21" ht="14.5" outlineLevel="3">
      <c r="B496" s="44" t="s">
        <v>2072</v>
      </c>
      <c r="C496" s="45" t="s">
        <v>2073</v>
      </c>
      <c r="D496" s="46" t="s">
        <v>458</v>
      </c>
      <c r="E496" s="47" t="s">
        <v>1315</v>
      </c>
      <c r="F496" s="46" t="s">
        <v>2074</v>
      </c>
      <c r="G496" s="47" t="s">
        <v>2075</v>
      </c>
      <c r="H496" s="48">
        <v>1307.3399999999999</v>
      </c>
      <c r="I496" s="48">
        <v>90</v>
      </c>
      <c r="J496" s="47" t="s">
        <v>115</v>
      </c>
      <c r="K496" s="49">
        <v>2</v>
      </c>
      <c r="L496" s="49" t="s">
        <v>116</v>
      </c>
      <c r="M496" s="46" t="s">
        <v>117</v>
      </c>
      <c r="N496" s="50">
        <v>0</v>
      </c>
      <c r="O496" s="50">
        <v>0</v>
      </c>
      <c r="P496" s="50">
        <v>0</v>
      </c>
      <c r="Q496" s="46" t="s">
        <v>102</v>
      </c>
      <c r="R496" s="46" t="s">
        <v>102</v>
      </c>
      <c r="S496" s="46" t="s">
        <v>102</v>
      </c>
      <c r="T496" s="46" t="s">
        <v>128</v>
      </c>
      <c r="U496" s="51">
        <v>4</v>
      </c>
    </row>
    <row r="497" spans="2:21" ht="14.5" outlineLevel="3">
      <c r="B497" s="44" t="s">
        <v>2076</v>
      </c>
      <c r="C497" s="45" t="s">
        <v>2077</v>
      </c>
      <c r="D497" s="46" t="s">
        <v>458</v>
      </c>
      <c r="E497" s="47" t="s">
        <v>1315</v>
      </c>
      <c r="F497" s="46" t="s">
        <v>2078</v>
      </c>
      <c r="G497" s="47" t="s">
        <v>2079</v>
      </c>
      <c r="H497" s="48">
        <v>2182.4</v>
      </c>
      <c r="I497" s="48">
        <v>50</v>
      </c>
      <c r="J497" s="47" t="s">
        <v>115</v>
      </c>
      <c r="K497" s="49">
        <v>2</v>
      </c>
      <c r="L497" s="49" t="s">
        <v>116</v>
      </c>
      <c r="M497" s="46" t="s">
        <v>117</v>
      </c>
      <c r="N497" s="50">
        <v>0</v>
      </c>
      <c r="O497" s="50">
        <v>0</v>
      </c>
      <c r="P497" s="50">
        <v>0</v>
      </c>
      <c r="Q497" s="46" t="s">
        <v>102</v>
      </c>
      <c r="R497" s="46" t="s">
        <v>102</v>
      </c>
      <c r="S497" s="46" t="s">
        <v>102</v>
      </c>
      <c r="T497" s="46" t="s">
        <v>133</v>
      </c>
      <c r="U497" s="51">
        <v>4</v>
      </c>
    </row>
    <row r="498" spans="2:21" ht="14.5" outlineLevel="3">
      <c r="B498" s="44" t="s">
        <v>2080</v>
      </c>
      <c r="C498" s="45" t="s">
        <v>2081</v>
      </c>
      <c r="D498" s="46" t="s">
        <v>458</v>
      </c>
      <c r="E498" s="47" t="s">
        <v>1315</v>
      </c>
      <c r="F498" s="46" t="s">
        <v>2082</v>
      </c>
      <c r="G498" s="47" t="s">
        <v>2083</v>
      </c>
      <c r="H498" s="48">
        <v>7338.99</v>
      </c>
      <c r="I498" s="48">
        <v>10</v>
      </c>
      <c r="J498" s="47" t="s">
        <v>115</v>
      </c>
      <c r="K498" s="49">
        <v>2</v>
      </c>
      <c r="L498" s="49" t="s">
        <v>116</v>
      </c>
      <c r="M498" s="46" t="s">
        <v>117</v>
      </c>
      <c r="N498" s="50">
        <v>0</v>
      </c>
      <c r="O498" s="50">
        <v>0</v>
      </c>
      <c r="P498" s="50">
        <v>0</v>
      </c>
      <c r="Q498" s="46" t="s">
        <v>102</v>
      </c>
      <c r="R498" s="46" t="s">
        <v>102</v>
      </c>
      <c r="S498" s="46" t="s">
        <v>102</v>
      </c>
      <c r="T498" s="46" t="s">
        <v>138</v>
      </c>
      <c r="U498" s="51">
        <v>4</v>
      </c>
    </row>
    <row r="499" spans="2:21" ht="14.5" outlineLevel="3">
      <c r="B499" s="44" t="s">
        <v>2084</v>
      </c>
      <c r="C499" s="45" t="s">
        <v>2085</v>
      </c>
      <c r="D499" s="46" t="s">
        <v>458</v>
      </c>
      <c r="E499" s="47" t="s">
        <v>1315</v>
      </c>
      <c r="F499" s="46" t="s">
        <v>2086</v>
      </c>
      <c r="G499" s="47" t="s">
        <v>2087</v>
      </c>
      <c r="H499" s="48">
        <v>6531.67</v>
      </c>
      <c r="I499" s="48">
        <v>95</v>
      </c>
      <c r="J499" s="47" t="s">
        <v>115</v>
      </c>
      <c r="K499" s="49">
        <v>2</v>
      </c>
      <c r="L499" s="49" t="s">
        <v>116</v>
      </c>
      <c r="M499" s="46" t="s">
        <v>117</v>
      </c>
      <c r="N499" s="50">
        <v>0</v>
      </c>
      <c r="O499" s="50">
        <v>0</v>
      </c>
      <c r="P499" s="50">
        <v>0</v>
      </c>
      <c r="Q499" s="46" t="s">
        <v>102</v>
      </c>
      <c r="R499" s="46" t="s">
        <v>102</v>
      </c>
      <c r="S499" s="46" t="s">
        <v>102</v>
      </c>
      <c r="T499" s="46" t="s">
        <v>143</v>
      </c>
      <c r="U499" s="51">
        <v>4</v>
      </c>
    </row>
    <row r="500" spans="2:21" ht="14.5" outlineLevel="3">
      <c r="B500" s="44" t="s">
        <v>2088</v>
      </c>
      <c r="C500" s="45" t="s">
        <v>2089</v>
      </c>
      <c r="D500" s="46" t="s">
        <v>458</v>
      </c>
      <c r="E500" s="47" t="s">
        <v>1315</v>
      </c>
      <c r="F500" s="46" t="s">
        <v>2090</v>
      </c>
      <c r="G500" s="47" t="s">
        <v>2091</v>
      </c>
      <c r="H500" s="48">
        <v>56533</v>
      </c>
      <c r="I500" s="48">
        <v>2</v>
      </c>
      <c r="J500" s="47" t="s">
        <v>115</v>
      </c>
      <c r="K500" s="49">
        <v>2</v>
      </c>
      <c r="L500" s="49" t="s">
        <v>116</v>
      </c>
      <c r="M500" s="46" t="s">
        <v>117</v>
      </c>
      <c r="N500" s="50">
        <v>0</v>
      </c>
      <c r="O500" s="50">
        <v>0</v>
      </c>
      <c r="P500" s="50">
        <v>0</v>
      </c>
      <c r="Q500" s="46" t="s">
        <v>102</v>
      </c>
      <c r="R500" s="46" t="s">
        <v>102</v>
      </c>
      <c r="S500" s="46" t="s">
        <v>102</v>
      </c>
      <c r="T500" s="46" t="s">
        <v>176</v>
      </c>
      <c r="U500" s="51">
        <v>4</v>
      </c>
    </row>
    <row r="501" spans="2:21" ht="14.5" outlineLevel="3">
      <c r="B501" s="44" t="s">
        <v>2092</v>
      </c>
      <c r="C501" s="45" t="s">
        <v>2093</v>
      </c>
      <c r="D501" s="46" t="s">
        <v>469</v>
      </c>
      <c r="E501" s="47" t="s">
        <v>1315</v>
      </c>
      <c r="F501" s="46" t="s">
        <v>2094</v>
      </c>
      <c r="G501" s="47" t="s">
        <v>2095</v>
      </c>
      <c r="H501" s="48">
        <v>39679.14</v>
      </c>
      <c r="I501" s="48">
        <v>1</v>
      </c>
      <c r="J501" s="47" t="s">
        <v>115</v>
      </c>
      <c r="K501" s="49">
        <v>2</v>
      </c>
      <c r="L501" s="49" t="s">
        <v>116</v>
      </c>
      <c r="M501" s="46" t="s">
        <v>117</v>
      </c>
      <c r="N501" s="50">
        <v>0</v>
      </c>
      <c r="O501" s="50">
        <v>0</v>
      </c>
      <c r="P501" s="50">
        <v>0</v>
      </c>
      <c r="Q501" s="46" t="s">
        <v>102</v>
      </c>
      <c r="R501" s="46" t="s">
        <v>102</v>
      </c>
      <c r="S501" s="46" t="s">
        <v>102</v>
      </c>
      <c r="T501" s="46" t="s">
        <v>182</v>
      </c>
      <c r="U501" s="51">
        <v>4</v>
      </c>
    </row>
    <row r="502" spans="2:21" ht="14.5" outlineLevel="3">
      <c r="B502" s="44" t="s">
        <v>2096</v>
      </c>
      <c r="C502" s="45" t="s">
        <v>2097</v>
      </c>
      <c r="D502" s="46" t="s">
        <v>392</v>
      </c>
      <c r="E502" s="47" t="s">
        <v>1315</v>
      </c>
      <c r="F502" s="46" t="s">
        <v>2098</v>
      </c>
      <c r="G502" s="47" t="s">
        <v>2099</v>
      </c>
      <c r="H502" s="48">
        <v>2343.9</v>
      </c>
      <c r="I502" s="48">
        <v>1</v>
      </c>
      <c r="J502" s="47" t="s">
        <v>115</v>
      </c>
      <c r="K502" s="49">
        <v>2</v>
      </c>
      <c r="L502" s="49" t="s">
        <v>116</v>
      </c>
      <c r="M502" s="46" t="s">
        <v>117</v>
      </c>
      <c r="N502" s="50">
        <v>0</v>
      </c>
      <c r="O502" s="50">
        <v>0</v>
      </c>
      <c r="P502" s="50">
        <v>0</v>
      </c>
      <c r="Q502" s="46" t="s">
        <v>102</v>
      </c>
      <c r="R502" s="46" t="s">
        <v>102</v>
      </c>
      <c r="S502" s="46" t="s">
        <v>102</v>
      </c>
      <c r="T502" s="46" t="s">
        <v>187</v>
      </c>
      <c r="U502" s="51">
        <v>4</v>
      </c>
    </row>
    <row r="503" spans="2:21" ht="14.5" outlineLevel="2">
      <c r="B503" s="36" t="s">
        <v>2100</v>
      </c>
      <c r="C503" s="37" t="s">
        <v>2101</v>
      </c>
      <c r="D503" s="38" t="s">
        <v>102</v>
      </c>
      <c r="E503" s="39" t="s">
        <v>102</v>
      </c>
      <c r="F503" s="38" t="s">
        <v>102</v>
      </c>
      <c r="G503" s="39" t="s">
        <v>102</v>
      </c>
      <c r="H503" s="40">
        <v>0</v>
      </c>
      <c r="I503" s="40">
        <v>0</v>
      </c>
      <c r="J503" s="39" t="s">
        <v>102</v>
      </c>
      <c r="K503" s="41">
        <v>0</v>
      </c>
      <c r="L503" s="41" t="s">
        <v>102</v>
      </c>
      <c r="M503" s="38" t="s">
        <v>102</v>
      </c>
      <c r="N503" s="42">
        <v>0</v>
      </c>
      <c r="O503" s="42">
        <v>0</v>
      </c>
      <c r="P503" s="42">
        <v>0</v>
      </c>
      <c r="Q503" s="38" t="s">
        <v>102</v>
      </c>
      <c r="R503" s="38" t="s">
        <v>102</v>
      </c>
      <c r="S503" s="38" t="s">
        <v>2102</v>
      </c>
      <c r="T503" s="38" t="s">
        <v>102</v>
      </c>
      <c r="U503" s="43">
        <v>3</v>
      </c>
    </row>
    <row r="504" spans="2:21" ht="14.5" outlineLevel="3">
      <c r="B504" s="44" t="s">
        <v>2103</v>
      </c>
      <c r="C504" s="45" t="s">
        <v>2104</v>
      </c>
      <c r="D504" s="46" t="s">
        <v>469</v>
      </c>
      <c r="E504" s="47" t="s">
        <v>1315</v>
      </c>
      <c r="F504" s="46" t="s">
        <v>2105</v>
      </c>
      <c r="G504" s="47" t="s">
        <v>2106</v>
      </c>
      <c r="H504" s="48">
        <v>411823.28</v>
      </c>
      <c r="I504" s="48">
        <v>2</v>
      </c>
      <c r="J504" s="47" t="s">
        <v>115</v>
      </c>
      <c r="K504" s="49">
        <v>2</v>
      </c>
      <c r="L504" s="49" t="s">
        <v>116</v>
      </c>
      <c r="M504" s="46" t="s">
        <v>117</v>
      </c>
      <c r="N504" s="50">
        <v>0</v>
      </c>
      <c r="O504" s="50">
        <v>0</v>
      </c>
      <c r="P504" s="50">
        <v>0</v>
      </c>
      <c r="Q504" s="46" t="s">
        <v>102</v>
      </c>
      <c r="R504" s="46" t="s">
        <v>102</v>
      </c>
      <c r="S504" s="46" t="s">
        <v>102</v>
      </c>
      <c r="T504" s="46" t="s">
        <v>192</v>
      </c>
      <c r="U504" s="51">
        <v>4</v>
      </c>
    </row>
    <row r="505" spans="2:21" ht="14.5" outlineLevel="3">
      <c r="B505" s="44" t="s">
        <v>2107</v>
      </c>
      <c r="C505" s="45" t="s">
        <v>2108</v>
      </c>
      <c r="D505" s="46" t="s">
        <v>458</v>
      </c>
      <c r="E505" s="47" t="s">
        <v>1315</v>
      </c>
      <c r="F505" s="46" t="s">
        <v>2109</v>
      </c>
      <c r="G505" s="47" t="s">
        <v>2110</v>
      </c>
      <c r="H505" s="48">
        <v>1039129.11</v>
      </c>
      <c r="I505" s="48">
        <v>2</v>
      </c>
      <c r="J505" s="47" t="s">
        <v>115</v>
      </c>
      <c r="K505" s="49">
        <v>2</v>
      </c>
      <c r="L505" s="49" t="s">
        <v>116</v>
      </c>
      <c r="M505" s="46" t="s">
        <v>117</v>
      </c>
      <c r="N505" s="50">
        <v>0</v>
      </c>
      <c r="O505" s="50">
        <v>0</v>
      </c>
      <c r="P505" s="50">
        <v>0</v>
      </c>
      <c r="Q505" s="46" t="s">
        <v>102</v>
      </c>
      <c r="R505" s="46" t="s">
        <v>102</v>
      </c>
      <c r="S505" s="46" t="s">
        <v>102</v>
      </c>
      <c r="T505" s="46" t="s">
        <v>208</v>
      </c>
      <c r="U505" s="51">
        <v>4</v>
      </c>
    </row>
    <row r="506" spans="2:21" ht="14.5" outlineLevel="3">
      <c r="B506" s="44" t="s">
        <v>2111</v>
      </c>
      <c r="C506" s="45" t="s">
        <v>2112</v>
      </c>
      <c r="D506" s="46" t="s">
        <v>458</v>
      </c>
      <c r="E506" s="47" t="s">
        <v>1315</v>
      </c>
      <c r="F506" s="46" t="s">
        <v>2113</v>
      </c>
      <c r="G506" s="47" t="s">
        <v>2112</v>
      </c>
      <c r="H506" s="48">
        <v>1039129.11</v>
      </c>
      <c r="I506" s="48">
        <v>2</v>
      </c>
      <c r="J506" s="47" t="s">
        <v>115</v>
      </c>
      <c r="K506" s="49">
        <v>2</v>
      </c>
      <c r="L506" s="49" t="s">
        <v>116</v>
      </c>
      <c r="M506" s="46" t="s">
        <v>117</v>
      </c>
      <c r="N506" s="50">
        <v>0</v>
      </c>
      <c r="O506" s="50">
        <v>0</v>
      </c>
      <c r="P506" s="50">
        <v>0</v>
      </c>
      <c r="Q506" s="46" t="s">
        <v>102</v>
      </c>
      <c r="R506" s="46" t="s">
        <v>102</v>
      </c>
      <c r="S506" s="46" t="s">
        <v>102</v>
      </c>
      <c r="T506" s="46" t="s">
        <v>303</v>
      </c>
      <c r="U506" s="51">
        <v>4</v>
      </c>
    </row>
    <row r="507" spans="2:21" ht="14.5" outlineLevel="3">
      <c r="B507" s="44" t="s">
        <v>2114</v>
      </c>
      <c r="C507" s="45" t="s">
        <v>2115</v>
      </c>
      <c r="D507" s="46" t="s">
        <v>392</v>
      </c>
      <c r="E507" s="47" t="s">
        <v>1315</v>
      </c>
      <c r="F507" s="46" t="s">
        <v>2116</v>
      </c>
      <c r="G507" s="47" t="s">
        <v>2117</v>
      </c>
      <c r="H507" s="48">
        <v>10338162.720000001</v>
      </c>
      <c r="I507" s="48">
        <v>1</v>
      </c>
      <c r="J507" s="47" t="s">
        <v>115</v>
      </c>
      <c r="K507" s="49">
        <v>2</v>
      </c>
      <c r="L507" s="49" t="s">
        <v>116</v>
      </c>
      <c r="M507" s="46" t="s">
        <v>117</v>
      </c>
      <c r="N507" s="50">
        <v>0</v>
      </c>
      <c r="O507" s="50">
        <v>0</v>
      </c>
      <c r="P507" s="50">
        <v>0</v>
      </c>
      <c r="Q507" s="46" t="s">
        <v>102</v>
      </c>
      <c r="R507" s="46" t="s">
        <v>102</v>
      </c>
      <c r="S507" s="46" t="s">
        <v>102</v>
      </c>
      <c r="T507" s="46" t="s">
        <v>213</v>
      </c>
      <c r="U507" s="51">
        <v>4</v>
      </c>
    </row>
    <row r="508" spans="2:21" ht="14.5" outlineLevel="3">
      <c r="B508" s="44" t="s">
        <v>2118</v>
      </c>
      <c r="C508" s="45" t="s">
        <v>2119</v>
      </c>
      <c r="D508" s="46" t="s">
        <v>392</v>
      </c>
      <c r="E508" s="47" t="s">
        <v>1315</v>
      </c>
      <c r="F508" s="46" t="s">
        <v>2120</v>
      </c>
      <c r="G508" s="47" t="s">
        <v>2121</v>
      </c>
      <c r="H508" s="48">
        <v>4687800.51</v>
      </c>
      <c r="I508" s="48">
        <v>1</v>
      </c>
      <c r="J508" s="47" t="s">
        <v>115</v>
      </c>
      <c r="K508" s="49">
        <v>2</v>
      </c>
      <c r="L508" s="49" t="s">
        <v>116</v>
      </c>
      <c r="M508" s="46" t="s">
        <v>117</v>
      </c>
      <c r="N508" s="50">
        <v>0</v>
      </c>
      <c r="O508" s="50">
        <v>0</v>
      </c>
      <c r="P508" s="50">
        <v>0</v>
      </c>
      <c r="Q508" s="46" t="s">
        <v>102</v>
      </c>
      <c r="R508" s="46" t="s">
        <v>102</v>
      </c>
      <c r="S508" s="46" t="s">
        <v>102</v>
      </c>
      <c r="T508" s="46" t="s">
        <v>658</v>
      </c>
      <c r="U508" s="51">
        <v>4</v>
      </c>
    </row>
    <row r="509" spans="2:21" ht="14.5" outlineLevel="3">
      <c r="B509" s="44" t="s">
        <v>2122</v>
      </c>
      <c r="C509" s="45" t="s">
        <v>2123</v>
      </c>
      <c r="D509" s="46" t="s">
        <v>392</v>
      </c>
      <c r="E509" s="47" t="s">
        <v>1315</v>
      </c>
      <c r="F509" s="46" t="s">
        <v>2124</v>
      </c>
      <c r="G509" s="47" t="s">
        <v>2125</v>
      </c>
      <c r="H509" s="48">
        <v>1207577.4099999999</v>
      </c>
      <c r="I509" s="48">
        <v>1</v>
      </c>
      <c r="J509" s="47" t="s">
        <v>115</v>
      </c>
      <c r="K509" s="49">
        <v>2</v>
      </c>
      <c r="L509" s="49" t="s">
        <v>116</v>
      </c>
      <c r="M509" s="46" t="s">
        <v>117</v>
      </c>
      <c r="N509" s="50">
        <v>0</v>
      </c>
      <c r="O509" s="50">
        <v>0</v>
      </c>
      <c r="P509" s="50">
        <v>0</v>
      </c>
      <c r="Q509" s="46" t="s">
        <v>102</v>
      </c>
      <c r="R509" s="46" t="s">
        <v>102</v>
      </c>
      <c r="S509" s="46" t="s">
        <v>102</v>
      </c>
      <c r="T509" s="46" t="s">
        <v>663</v>
      </c>
      <c r="U509" s="51">
        <v>4</v>
      </c>
    </row>
    <row r="510" spans="2:21" ht="14.5" outlineLevel="3">
      <c r="B510" s="44" t="s">
        <v>2126</v>
      </c>
      <c r="C510" s="45" t="s">
        <v>2127</v>
      </c>
      <c r="D510" s="46" t="s">
        <v>392</v>
      </c>
      <c r="E510" s="47" t="s">
        <v>1315</v>
      </c>
      <c r="F510" s="46" t="s">
        <v>2128</v>
      </c>
      <c r="G510" s="47" t="s">
        <v>2129</v>
      </c>
      <c r="H510" s="48">
        <v>6596047.8300000001</v>
      </c>
      <c r="I510" s="48">
        <v>1</v>
      </c>
      <c r="J510" s="47" t="s">
        <v>115</v>
      </c>
      <c r="K510" s="49">
        <v>2</v>
      </c>
      <c r="L510" s="49" t="s">
        <v>116</v>
      </c>
      <c r="M510" s="46" t="s">
        <v>117</v>
      </c>
      <c r="N510" s="50">
        <v>0</v>
      </c>
      <c r="O510" s="50">
        <v>0</v>
      </c>
      <c r="P510" s="50">
        <v>0</v>
      </c>
      <c r="Q510" s="46" t="s">
        <v>102</v>
      </c>
      <c r="R510" s="46" t="s">
        <v>102</v>
      </c>
      <c r="S510" s="46" t="s">
        <v>102</v>
      </c>
      <c r="T510" s="46" t="s">
        <v>668</v>
      </c>
      <c r="U510" s="51">
        <v>4</v>
      </c>
    </row>
    <row r="511" spans="2:21" ht="14.5" outlineLevel="3">
      <c r="B511" s="44" t="s">
        <v>2130</v>
      </c>
      <c r="C511" s="45" t="s">
        <v>2131</v>
      </c>
      <c r="D511" s="46" t="s">
        <v>392</v>
      </c>
      <c r="E511" s="47" t="s">
        <v>1315</v>
      </c>
      <c r="F511" s="46" t="s">
        <v>2132</v>
      </c>
      <c r="G511" s="47" t="s">
        <v>2133</v>
      </c>
      <c r="H511" s="48">
        <v>1836367.71</v>
      </c>
      <c r="I511" s="48">
        <v>1</v>
      </c>
      <c r="J511" s="47" t="s">
        <v>115</v>
      </c>
      <c r="K511" s="49">
        <v>2</v>
      </c>
      <c r="L511" s="49" t="s">
        <v>116</v>
      </c>
      <c r="M511" s="46" t="s">
        <v>117</v>
      </c>
      <c r="N511" s="50">
        <v>0</v>
      </c>
      <c r="O511" s="50">
        <v>0</v>
      </c>
      <c r="P511" s="50">
        <v>0</v>
      </c>
      <c r="Q511" s="46" t="s">
        <v>102</v>
      </c>
      <c r="R511" s="46" t="s">
        <v>102</v>
      </c>
      <c r="S511" s="46" t="s">
        <v>102</v>
      </c>
      <c r="T511" s="46" t="s">
        <v>673</v>
      </c>
      <c r="U511" s="51">
        <v>4</v>
      </c>
    </row>
    <row r="512" spans="2:21" ht="14.5" outlineLevel="3">
      <c r="B512" s="44" t="s">
        <v>2134</v>
      </c>
      <c r="C512" s="45" t="s">
        <v>2135</v>
      </c>
      <c r="D512" s="46" t="s">
        <v>392</v>
      </c>
      <c r="E512" s="47" t="s">
        <v>1315</v>
      </c>
      <c r="F512" s="46" t="s">
        <v>2136</v>
      </c>
      <c r="G512" s="47" t="s">
        <v>2137</v>
      </c>
      <c r="H512" s="48">
        <v>12313119.560000001</v>
      </c>
      <c r="I512" s="48">
        <v>1</v>
      </c>
      <c r="J512" s="47" t="s">
        <v>115</v>
      </c>
      <c r="K512" s="49">
        <v>2</v>
      </c>
      <c r="L512" s="49" t="s">
        <v>116</v>
      </c>
      <c r="M512" s="46" t="s">
        <v>117</v>
      </c>
      <c r="N512" s="50">
        <v>0</v>
      </c>
      <c r="O512" s="50">
        <v>0</v>
      </c>
      <c r="P512" s="50">
        <v>0</v>
      </c>
      <c r="Q512" s="46" t="s">
        <v>102</v>
      </c>
      <c r="R512" s="46" t="s">
        <v>102</v>
      </c>
      <c r="S512" s="46" t="s">
        <v>102</v>
      </c>
      <c r="T512" s="46" t="s">
        <v>678</v>
      </c>
      <c r="U512" s="51">
        <v>4</v>
      </c>
    </row>
    <row r="513" spans="2:21" ht="14.5" outlineLevel="3">
      <c r="B513" s="44" t="s">
        <v>2138</v>
      </c>
      <c r="C513" s="45" t="s">
        <v>2139</v>
      </c>
      <c r="D513" s="46" t="s">
        <v>392</v>
      </c>
      <c r="E513" s="47" t="s">
        <v>1315</v>
      </c>
      <c r="F513" s="46" t="s">
        <v>2140</v>
      </c>
      <c r="G513" s="47" t="s">
        <v>2141</v>
      </c>
      <c r="H513" s="48">
        <v>1191013.8500000001</v>
      </c>
      <c r="I513" s="48">
        <v>1</v>
      </c>
      <c r="J513" s="47" t="s">
        <v>115</v>
      </c>
      <c r="K513" s="49">
        <v>2</v>
      </c>
      <c r="L513" s="49" t="s">
        <v>116</v>
      </c>
      <c r="M513" s="46" t="s">
        <v>117</v>
      </c>
      <c r="N513" s="50">
        <v>0</v>
      </c>
      <c r="O513" s="50">
        <v>0</v>
      </c>
      <c r="P513" s="50">
        <v>0</v>
      </c>
      <c r="Q513" s="46" t="s">
        <v>102</v>
      </c>
      <c r="R513" s="46" t="s">
        <v>102</v>
      </c>
      <c r="S513" s="46" t="s">
        <v>102</v>
      </c>
      <c r="T513" s="46" t="s">
        <v>218</v>
      </c>
      <c r="U513" s="51">
        <v>4</v>
      </c>
    </row>
    <row r="514" spans="2:21" ht="14.5" outlineLevel="3">
      <c r="B514" s="44" t="s">
        <v>2142</v>
      </c>
      <c r="C514" s="45" t="s">
        <v>2143</v>
      </c>
      <c r="D514" s="46" t="s">
        <v>469</v>
      </c>
      <c r="E514" s="47" t="s">
        <v>1315</v>
      </c>
      <c r="F514" s="46" t="s">
        <v>2144</v>
      </c>
      <c r="G514" s="47" t="s">
        <v>2145</v>
      </c>
      <c r="H514" s="48">
        <v>1250080.1299999999</v>
      </c>
      <c r="I514" s="48">
        <v>1</v>
      </c>
      <c r="J514" s="47" t="s">
        <v>115</v>
      </c>
      <c r="K514" s="49">
        <v>2</v>
      </c>
      <c r="L514" s="49" t="s">
        <v>116</v>
      </c>
      <c r="M514" s="46" t="s">
        <v>117</v>
      </c>
      <c r="N514" s="50">
        <v>0</v>
      </c>
      <c r="O514" s="50">
        <v>0</v>
      </c>
      <c r="P514" s="50">
        <v>0</v>
      </c>
      <c r="Q514" s="46" t="s">
        <v>102</v>
      </c>
      <c r="R514" s="46" t="s">
        <v>102</v>
      </c>
      <c r="S514" s="46" t="s">
        <v>102</v>
      </c>
      <c r="T514" s="46" t="s">
        <v>223</v>
      </c>
      <c r="U514" s="51">
        <v>4</v>
      </c>
    </row>
    <row r="515" spans="2:21" ht="14.5" outlineLevel="3">
      <c r="B515" s="44" t="s">
        <v>2146</v>
      </c>
      <c r="C515" s="45" t="s">
        <v>2147</v>
      </c>
      <c r="D515" s="46" t="s">
        <v>392</v>
      </c>
      <c r="E515" s="47" t="s">
        <v>1315</v>
      </c>
      <c r="F515" s="46" t="s">
        <v>2148</v>
      </c>
      <c r="G515" s="47" t="s">
        <v>2149</v>
      </c>
      <c r="H515" s="48">
        <v>93756.01</v>
      </c>
      <c r="I515" s="48">
        <v>1</v>
      </c>
      <c r="J515" s="47" t="s">
        <v>115</v>
      </c>
      <c r="K515" s="49">
        <v>2</v>
      </c>
      <c r="L515" s="49" t="s">
        <v>116</v>
      </c>
      <c r="M515" s="46" t="s">
        <v>117</v>
      </c>
      <c r="N515" s="50">
        <v>0</v>
      </c>
      <c r="O515" s="50">
        <v>0</v>
      </c>
      <c r="P515" s="50">
        <v>0</v>
      </c>
      <c r="Q515" s="46" t="s">
        <v>102</v>
      </c>
      <c r="R515" s="46" t="s">
        <v>102</v>
      </c>
      <c r="S515" s="46" t="s">
        <v>102</v>
      </c>
      <c r="T515" s="46" t="s">
        <v>691</v>
      </c>
      <c r="U515" s="51">
        <v>4</v>
      </c>
    </row>
    <row r="516" spans="2:21" ht="14.5" outlineLevel="3">
      <c r="B516" s="44" t="s">
        <v>2150</v>
      </c>
      <c r="C516" s="45" t="s">
        <v>2151</v>
      </c>
      <c r="D516" s="46" t="s">
        <v>469</v>
      </c>
      <c r="E516" s="47" t="s">
        <v>1315</v>
      </c>
      <c r="F516" s="46" t="s">
        <v>2152</v>
      </c>
      <c r="G516" s="47" t="s">
        <v>2153</v>
      </c>
      <c r="H516" s="48">
        <v>1112556.6000000001</v>
      </c>
      <c r="I516" s="48">
        <v>1</v>
      </c>
      <c r="J516" s="47" t="s">
        <v>115</v>
      </c>
      <c r="K516" s="49">
        <v>2</v>
      </c>
      <c r="L516" s="49" t="s">
        <v>116</v>
      </c>
      <c r="M516" s="46" t="s">
        <v>117</v>
      </c>
      <c r="N516" s="50">
        <v>0</v>
      </c>
      <c r="O516" s="50">
        <v>0</v>
      </c>
      <c r="P516" s="50">
        <v>0</v>
      </c>
      <c r="Q516" s="46" t="s">
        <v>102</v>
      </c>
      <c r="R516" s="46" t="s">
        <v>102</v>
      </c>
      <c r="S516" s="46" t="s">
        <v>102</v>
      </c>
      <c r="T516" s="46" t="s">
        <v>736</v>
      </c>
      <c r="U516" s="51">
        <v>4</v>
      </c>
    </row>
    <row r="517" spans="2:21" ht="14.5" outlineLevel="3">
      <c r="B517" s="44" t="s">
        <v>2154</v>
      </c>
      <c r="C517" s="45" t="s">
        <v>2155</v>
      </c>
      <c r="D517" s="46" t="s">
        <v>469</v>
      </c>
      <c r="E517" s="47" t="s">
        <v>1315</v>
      </c>
      <c r="F517" s="46" t="s">
        <v>2156</v>
      </c>
      <c r="G517" s="47" t="s">
        <v>2157</v>
      </c>
      <c r="H517" s="48">
        <v>154590.32999999999</v>
      </c>
      <c r="I517" s="48">
        <v>2</v>
      </c>
      <c r="J517" s="47" t="s">
        <v>115</v>
      </c>
      <c r="K517" s="49">
        <v>2</v>
      </c>
      <c r="L517" s="49" t="s">
        <v>116</v>
      </c>
      <c r="M517" s="46" t="s">
        <v>117</v>
      </c>
      <c r="N517" s="50">
        <v>0</v>
      </c>
      <c r="O517" s="50">
        <v>0</v>
      </c>
      <c r="P517" s="50">
        <v>0</v>
      </c>
      <c r="Q517" s="46" t="s">
        <v>102</v>
      </c>
      <c r="R517" s="46" t="s">
        <v>102</v>
      </c>
      <c r="S517" s="46" t="s">
        <v>102</v>
      </c>
      <c r="T517" s="46" t="s">
        <v>741</v>
      </c>
      <c r="U517" s="51">
        <v>4</v>
      </c>
    </row>
    <row r="518" spans="2:21" ht="14.5" outlineLevel="3">
      <c r="B518" s="44" t="s">
        <v>2158</v>
      </c>
      <c r="C518" s="45" t="s">
        <v>2159</v>
      </c>
      <c r="D518" s="46" t="s">
        <v>458</v>
      </c>
      <c r="E518" s="47" t="s">
        <v>1315</v>
      </c>
      <c r="F518" s="46" t="s">
        <v>2160</v>
      </c>
      <c r="G518" s="47" t="s">
        <v>2161</v>
      </c>
      <c r="H518" s="48">
        <v>2578.29</v>
      </c>
      <c r="I518" s="48">
        <v>70</v>
      </c>
      <c r="J518" s="47" t="s">
        <v>115</v>
      </c>
      <c r="K518" s="49">
        <v>2</v>
      </c>
      <c r="L518" s="49" t="s">
        <v>116</v>
      </c>
      <c r="M518" s="46" t="s">
        <v>117</v>
      </c>
      <c r="N518" s="50">
        <v>0</v>
      </c>
      <c r="O518" s="50">
        <v>0</v>
      </c>
      <c r="P518" s="50">
        <v>0</v>
      </c>
      <c r="Q518" s="46" t="s">
        <v>102</v>
      </c>
      <c r="R518" s="46" t="s">
        <v>102</v>
      </c>
      <c r="S518" s="46" t="s">
        <v>102</v>
      </c>
      <c r="T518" s="46" t="s">
        <v>243</v>
      </c>
      <c r="U518" s="51">
        <v>4</v>
      </c>
    </row>
    <row r="519" spans="2:21" ht="14.5" outlineLevel="3">
      <c r="B519" s="44" t="s">
        <v>2162</v>
      </c>
      <c r="C519" s="45" t="s">
        <v>2163</v>
      </c>
      <c r="D519" s="46" t="s">
        <v>458</v>
      </c>
      <c r="E519" s="47" t="s">
        <v>1315</v>
      </c>
      <c r="F519" s="46" t="s">
        <v>2164</v>
      </c>
      <c r="G519" s="47" t="s">
        <v>2163</v>
      </c>
      <c r="H519" s="48">
        <v>26315.32</v>
      </c>
      <c r="I519" s="48">
        <v>10</v>
      </c>
      <c r="J519" s="47" t="s">
        <v>115</v>
      </c>
      <c r="K519" s="49">
        <v>2</v>
      </c>
      <c r="L519" s="49" t="s">
        <v>116</v>
      </c>
      <c r="M519" s="46" t="s">
        <v>117</v>
      </c>
      <c r="N519" s="50">
        <v>0</v>
      </c>
      <c r="O519" s="50">
        <v>0</v>
      </c>
      <c r="P519" s="50">
        <v>0</v>
      </c>
      <c r="Q519" s="46" t="s">
        <v>102</v>
      </c>
      <c r="R519" s="46" t="s">
        <v>102</v>
      </c>
      <c r="S519" s="46" t="s">
        <v>102</v>
      </c>
      <c r="T519" s="46" t="s">
        <v>750</v>
      </c>
      <c r="U519" s="51">
        <v>4</v>
      </c>
    </row>
    <row r="520" spans="2:21" ht="14.5" outlineLevel="3">
      <c r="B520" s="44" t="s">
        <v>2165</v>
      </c>
      <c r="C520" s="45" t="s">
        <v>2166</v>
      </c>
      <c r="D520" s="46" t="s">
        <v>458</v>
      </c>
      <c r="E520" s="47" t="s">
        <v>1315</v>
      </c>
      <c r="F520" s="46" t="s">
        <v>2167</v>
      </c>
      <c r="G520" s="47" t="s">
        <v>2166</v>
      </c>
      <c r="H520" s="48">
        <v>29132.25</v>
      </c>
      <c r="I520" s="48">
        <v>10</v>
      </c>
      <c r="J520" s="47" t="s">
        <v>115</v>
      </c>
      <c r="K520" s="49">
        <v>2</v>
      </c>
      <c r="L520" s="49" t="s">
        <v>116</v>
      </c>
      <c r="M520" s="46" t="s">
        <v>117</v>
      </c>
      <c r="N520" s="50">
        <v>0</v>
      </c>
      <c r="O520" s="50">
        <v>0</v>
      </c>
      <c r="P520" s="50">
        <v>0</v>
      </c>
      <c r="Q520" s="46" t="s">
        <v>102</v>
      </c>
      <c r="R520" s="46" t="s">
        <v>102</v>
      </c>
      <c r="S520" s="46" t="s">
        <v>102</v>
      </c>
      <c r="T520" s="46" t="s">
        <v>755</v>
      </c>
      <c r="U520" s="51">
        <v>4</v>
      </c>
    </row>
    <row r="521" spans="2:21" ht="14.5" outlineLevel="3">
      <c r="B521" s="44" t="s">
        <v>2168</v>
      </c>
      <c r="C521" s="45" t="s">
        <v>2169</v>
      </c>
      <c r="D521" s="46" t="s">
        <v>458</v>
      </c>
      <c r="E521" s="47" t="s">
        <v>1315</v>
      </c>
      <c r="F521" s="46" t="s">
        <v>2170</v>
      </c>
      <c r="G521" s="47" t="s">
        <v>2169</v>
      </c>
      <c r="H521" s="48">
        <v>19130.5</v>
      </c>
      <c r="I521" s="48">
        <v>50</v>
      </c>
      <c r="J521" s="47" t="s">
        <v>115</v>
      </c>
      <c r="K521" s="49">
        <v>2</v>
      </c>
      <c r="L521" s="49" t="s">
        <v>116</v>
      </c>
      <c r="M521" s="46" t="s">
        <v>117</v>
      </c>
      <c r="N521" s="50">
        <v>0</v>
      </c>
      <c r="O521" s="50">
        <v>0</v>
      </c>
      <c r="P521" s="50">
        <v>0</v>
      </c>
      <c r="Q521" s="46" t="s">
        <v>102</v>
      </c>
      <c r="R521" s="46" t="s">
        <v>102</v>
      </c>
      <c r="S521" s="46" t="s">
        <v>102</v>
      </c>
      <c r="T521" s="46" t="s">
        <v>760</v>
      </c>
      <c r="U521" s="51">
        <v>4</v>
      </c>
    </row>
    <row r="522" spans="2:21" ht="14.5" outlineLevel="3">
      <c r="B522" s="44" t="s">
        <v>2171</v>
      </c>
      <c r="C522" s="45" t="s">
        <v>2172</v>
      </c>
      <c r="D522" s="46" t="s">
        <v>458</v>
      </c>
      <c r="E522" s="47" t="s">
        <v>1315</v>
      </c>
      <c r="F522" s="46" t="s">
        <v>2173</v>
      </c>
      <c r="G522" s="47" t="s">
        <v>2174</v>
      </c>
      <c r="H522" s="48">
        <v>474061.47</v>
      </c>
      <c r="I522" s="48">
        <v>3</v>
      </c>
      <c r="J522" s="47" t="s">
        <v>115</v>
      </c>
      <c r="K522" s="49">
        <v>2</v>
      </c>
      <c r="L522" s="49" t="s">
        <v>116</v>
      </c>
      <c r="M522" s="46" t="s">
        <v>117</v>
      </c>
      <c r="N522" s="50">
        <v>0</v>
      </c>
      <c r="O522" s="50">
        <v>0</v>
      </c>
      <c r="P522" s="50">
        <v>0</v>
      </c>
      <c r="Q522" s="46" t="s">
        <v>102</v>
      </c>
      <c r="R522" s="46" t="s">
        <v>102</v>
      </c>
      <c r="S522" s="46" t="s">
        <v>102</v>
      </c>
      <c r="T522" s="46" t="s">
        <v>765</v>
      </c>
      <c r="U522" s="51">
        <v>4</v>
      </c>
    </row>
    <row r="523" spans="2:21" ht="14.5" outlineLevel="3">
      <c r="B523" s="44" t="s">
        <v>2175</v>
      </c>
      <c r="C523" s="45" t="s">
        <v>2176</v>
      </c>
      <c r="D523" s="46" t="s">
        <v>392</v>
      </c>
      <c r="E523" s="47" t="s">
        <v>1315</v>
      </c>
      <c r="F523" s="46" t="s">
        <v>2177</v>
      </c>
      <c r="G523" s="47" t="s">
        <v>2178</v>
      </c>
      <c r="H523" s="48">
        <v>331491.90999999997</v>
      </c>
      <c r="I523" s="48">
        <v>1</v>
      </c>
      <c r="J523" s="47" t="s">
        <v>115</v>
      </c>
      <c r="K523" s="49">
        <v>2</v>
      </c>
      <c r="L523" s="49" t="s">
        <v>116</v>
      </c>
      <c r="M523" s="46" t="s">
        <v>117</v>
      </c>
      <c r="N523" s="50">
        <v>0</v>
      </c>
      <c r="O523" s="50">
        <v>0</v>
      </c>
      <c r="P523" s="50">
        <v>0</v>
      </c>
      <c r="Q523" s="46" t="s">
        <v>102</v>
      </c>
      <c r="R523" s="46" t="s">
        <v>102</v>
      </c>
      <c r="S523" s="46" t="s">
        <v>102</v>
      </c>
      <c r="T523" s="46" t="s">
        <v>770</v>
      </c>
      <c r="U523" s="51">
        <v>4</v>
      </c>
    </row>
    <row r="524" spans="2:21" ht="14.5" outlineLevel="3">
      <c r="B524" s="44" t="s">
        <v>2179</v>
      </c>
      <c r="C524" s="45" t="s">
        <v>2180</v>
      </c>
      <c r="D524" s="46" t="s">
        <v>392</v>
      </c>
      <c r="E524" s="47" t="s">
        <v>1315</v>
      </c>
      <c r="F524" s="46" t="s">
        <v>2181</v>
      </c>
      <c r="G524" s="47" t="s">
        <v>2182</v>
      </c>
      <c r="H524" s="48">
        <v>437528.05</v>
      </c>
      <c r="I524" s="48">
        <v>1</v>
      </c>
      <c r="J524" s="47" t="s">
        <v>115</v>
      </c>
      <c r="K524" s="49">
        <v>2</v>
      </c>
      <c r="L524" s="49" t="s">
        <v>116</v>
      </c>
      <c r="M524" s="46" t="s">
        <v>117</v>
      </c>
      <c r="N524" s="50">
        <v>0</v>
      </c>
      <c r="O524" s="50">
        <v>0</v>
      </c>
      <c r="P524" s="50">
        <v>0</v>
      </c>
      <c r="Q524" s="46" t="s">
        <v>102</v>
      </c>
      <c r="R524" s="46" t="s">
        <v>102</v>
      </c>
      <c r="S524" s="46" t="s">
        <v>102</v>
      </c>
      <c r="T524" s="46" t="s">
        <v>778</v>
      </c>
      <c r="U524" s="51">
        <v>4</v>
      </c>
    </row>
    <row r="525" spans="2:21" ht="14.5" outlineLevel="2">
      <c r="B525" s="36" t="s">
        <v>2183</v>
      </c>
      <c r="C525" s="37" t="s">
        <v>2184</v>
      </c>
      <c r="D525" s="38" t="s">
        <v>102</v>
      </c>
      <c r="E525" s="39" t="s">
        <v>102</v>
      </c>
      <c r="F525" s="38" t="s">
        <v>102</v>
      </c>
      <c r="G525" s="39" t="s">
        <v>102</v>
      </c>
      <c r="H525" s="40">
        <v>0</v>
      </c>
      <c r="I525" s="40">
        <v>0</v>
      </c>
      <c r="J525" s="39" t="s">
        <v>102</v>
      </c>
      <c r="K525" s="41">
        <v>0</v>
      </c>
      <c r="L525" s="41" t="s">
        <v>102</v>
      </c>
      <c r="M525" s="38" t="s">
        <v>102</v>
      </c>
      <c r="N525" s="42">
        <v>0</v>
      </c>
      <c r="O525" s="42">
        <v>0</v>
      </c>
      <c r="P525" s="42">
        <v>0</v>
      </c>
      <c r="Q525" s="38" t="s">
        <v>102</v>
      </c>
      <c r="R525" s="38" t="s">
        <v>102</v>
      </c>
      <c r="S525" s="38" t="s">
        <v>2185</v>
      </c>
      <c r="T525" s="38" t="s">
        <v>102</v>
      </c>
      <c r="U525" s="43">
        <v>3</v>
      </c>
    </row>
    <row r="526" spans="2:21" ht="14.5" outlineLevel="3">
      <c r="B526" s="44" t="s">
        <v>2186</v>
      </c>
      <c r="C526" s="45" t="s">
        <v>2187</v>
      </c>
      <c r="D526" s="46" t="s">
        <v>392</v>
      </c>
      <c r="E526" s="47" t="s">
        <v>1315</v>
      </c>
      <c r="F526" s="46" t="s">
        <v>2188</v>
      </c>
      <c r="G526" s="47" t="s">
        <v>2189</v>
      </c>
      <c r="H526" s="48">
        <v>810433.44</v>
      </c>
      <c r="I526" s="48">
        <v>1</v>
      </c>
      <c r="J526" s="47" t="s">
        <v>115</v>
      </c>
      <c r="K526" s="49">
        <v>2</v>
      </c>
      <c r="L526" s="49" t="s">
        <v>116</v>
      </c>
      <c r="M526" s="46" t="s">
        <v>117</v>
      </c>
      <c r="N526" s="50">
        <v>0</v>
      </c>
      <c r="O526" s="50">
        <v>0</v>
      </c>
      <c r="P526" s="50">
        <v>0</v>
      </c>
      <c r="Q526" s="46" t="s">
        <v>102</v>
      </c>
      <c r="R526" s="46" t="s">
        <v>102</v>
      </c>
      <c r="S526" s="46" t="s">
        <v>102</v>
      </c>
      <c r="T526" s="46" t="s">
        <v>118</v>
      </c>
      <c r="U526" s="51">
        <v>4</v>
      </c>
    </row>
    <row r="527" spans="2:21" ht="14.5" outlineLevel="3">
      <c r="B527" s="44" t="s">
        <v>2190</v>
      </c>
      <c r="C527" s="45" t="s">
        <v>2191</v>
      </c>
      <c r="D527" s="46" t="s">
        <v>392</v>
      </c>
      <c r="E527" s="47" t="s">
        <v>1315</v>
      </c>
      <c r="F527" s="46" t="s">
        <v>2192</v>
      </c>
      <c r="G527" s="47" t="s">
        <v>2193</v>
      </c>
      <c r="H527" s="48">
        <v>6279168.8200000003</v>
      </c>
      <c r="I527" s="48">
        <v>1</v>
      </c>
      <c r="J527" s="47" t="s">
        <v>115</v>
      </c>
      <c r="K527" s="49">
        <v>2</v>
      </c>
      <c r="L527" s="49" t="s">
        <v>116</v>
      </c>
      <c r="M527" s="46" t="s">
        <v>117</v>
      </c>
      <c r="N527" s="50">
        <v>0</v>
      </c>
      <c r="O527" s="50">
        <v>0</v>
      </c>
      <c r="P527" s="50">
        <v>0</v>
      </c>
      <c r="Q527" s="46" t="s">
        <v>102</v>
      </c>
      <c r="R527" s="46" t="s">
        <v>102</v>
      </c>
      <c r="S527" s="46" t="s">
        <v>102</v>
      </c>
      <c r="T527" s="46" t="s">
        <v>123</v>
      </c>
      <c r="U527" s="51">
        <v>4</v>
      </c>
    </row>
    <row r="528" spans="2:21" ht="14.5" outlineLevel="3">
      <c r="B528" s="44" t="s">
        <v>2194</v>
      </c>
      <c r="C528" s="45" t="s">
        <v>2195</v>
      </c>
      <c r="D528" s="46" t="s">
        <v>469</v>
      </c>
      <c r="E528" s="47" t="s">
        <v>1315</v>
      </c>
      <c r="F528" s="46" t="s">
        <v>2196</v>
      </c>
      <c r="G528" s="47" t="s">
        <v>2197</v>
      </c>
      <c r="H528" s="48">
        <v>2344115.27</v>
      </c>
      <c r="I528" s="48">
        <v>1</v>
      </c>
      <c r="J528" s="47" t="s">
        <v>115</v>
      </c>
      <c r="K528" s="49">
        <v>2</v>
      </c>
      <c r="L528" s="49" t="s">
        <v>116</v>
      </c>
      <c r="M528" s="46" t="s">
        <v>117</v>
      </c>
      <c r="N528" s="50">
        <v>0</v>
      </c>
      <c r="O528" s="50">
        <v>0</v>
      </c>
      <c r="P528" s="50">
        <v>0</v>
      </c>
      <c r="Q528" s="46" t="s">
        <v>102</v>
      </c>
      <c r="R528" s="46" t="s">
        <v>102</v>
      </c>
      <c r="S528" s="46" t="s">
        <v>102</v>
      </c>
      <c r="T528" s="46" t="s">
        <v>128</v>
      </c>
      <c r="U528" s="51">
        <v>4</v>
      </c>
    </row>
    <row r="529" spans="2:21" ht="14.5" outlineLevel="3">
      <c r="B529" s="44" t="s">
        <v>2198</v>
      </c>
      <c r="C529" s="45" t="s">
        <v>2199</v>
      </c>
      <c r="D529" s="46" t="s">
        <v>469</v>
      </c>
      <c r="E529" s="47" t="s">
        <v>1315</v>
      </c>
      <c r="F529" s="46" t="s">
        <v>2200</v>
      </c>
      <c r="G529" s="47" t="s">
        <v>2201</v>
      </c>
      <c r="H529" s="48">
        <v>1563486.32</v>
      </c>
      <c r="I529" s="48">
        <v>1</v>
      </c>
      <c r="J529" s="47" t="s">
        <v>115</v>
      </c>
      <c r="K529" s="49">
        <v>2</v>
      </c>
      <c r="L529" s="49" t="s">
        <v>116</v>
      </c>
      <c r="M529" s="46" t="s">
        <v>117</v>
      </c>
      <c r="N529" s="50">
        <v>0</v>
      </c>
      <c r="O529" s="50">
        <v>0</v>
      </c>
      <c r="P529" s="50">
        <v>0</v>
      </c>
      <c r="Q529" s="46" t="s">
        <v>102</v>
      </c>
      <c r="R529" s="46" t="s">
        <v>102</v>
      </c>
      <c r="S529" s="46" t="s">
        <v>102</v>
      </c>
      <c r="T529" s="46" t="s">
        <v>133</v>
      </c>
      <c r="U529" s="51">
        <v>4</v>
      </c>
    </row>
    <row r="530" spans="2:21" ht="14.5" outlineLevel="3">
      <c r="B530" s="44" t="s">
        <v>2202</v>
      </c>
      <c r="C530" s="45" t="s">
        <v>2203</v>
      </c>
      <c r="D530" s="46" t="s">
        <v>469</v>
      </c>
      <c r="E530" s="47" t="s">
        <v>1315</v>
      </c>
      <c r="F530" s="46" t="s">
        <v>2204</v>
      </c>
      <c r="G530" s="47" t="s">
        <v>2205</v>
      </c>
      <c r="H530" s="48">
        <v>5479259.7800000003</v>
      </c>
      <c r="I530" s="48">
        <v>1</v>
      </c>
      <c r="J530" s="47" t="s">
        <v>115</v>
      </c>
      <c r="K530" s="49">
        <v>2</v>
      </c>
      <c r="L530" s="49" t="s">
        <v>116</v>
      </c>
      <c r="M530" s="46" t="s">
        <v>117</v>
      </c>
      <c r="N530" s="50">
        <v>0</v>
      </c>
      <c r="O530" s="50">
        <v>0</v>
      </c>
      <c r="P530" s="50">
        <v>0</v>
      </c>
      <c r="Q530" s="46" t="s">
        <v>102</v>
      </c>
      <c r="R530" s="46" t="s">
        <v>102</v>
      </c>
      <c r="S530" s="46" t="s">
        <v>102</v>
      </c>
      <c r="T530" s="46" t="s">
        <v>138</v>
      </c>
      <c r="U530" s="51">
        <v>4</v>
      </c>
    </row>
    <row r="531" spans="2:21" ht="14.5" outlineLevel="3">
      <c r="B531" s="44" t="s">
        <v>2206</v>
      </c>
      <c r="C531" s="45" t="s">
        <v>1335</v>
      </c>
      <c r="D531" s="46" t="s">
        <v>458</v>
      </c>
      <c r="E531" s="47" t="s">
        <v>1315</v>
      </c>
      <c r="F531" s="46" t="s">
        <v>2207</v>
      </c>
      <c r="G531" s="47" t="s">
        <v>1337</v>
      </c>
      <c r="H531" s="48">
        <v>362362.57</v>
      </c>
      <c r="I531" s="48">
        <v>10</v>
      </c>
      <c r="J531" s="47" t="s">
        <v>115</v>
      </c>
      <c r="K531" s="49">
        <v>2</v>
      </c>
      <c r="L531" s="49" t="s">
        <v>116</v>
      </c>
      <c r="M531" s="46" t="s">
        <v>117</v>
      </c>
      <c r="N531" s="50">
        <v>0</v>
      </c>
      <c r="O531" s="50">
        <v>0</v>
      </c>
      <c r="P531" s="50">
        <v>0</v>
      </c>
      <c r="Q531" s="46" t="s">
        <v>102</v>
      </c>
      <c r="R531" s="46" t="s">
        <v>102</v>
      </c>
      <c r="S531" s="46" t="s">
        <v>102</v>
      </c>
      <c r="T531" s="46" t="s">
        <v>143</v>
      </c>
      <c r="U531" s="51">
        <v>4</v>
      </c>
    </row>
    <row r="532" spans="2:21" ht="14.5" outlineLevel="3">
      <c r="B532" s="44" t="s">
        <v>2208</v>
      </c>
      <c r="C532" s="45" t="s">
        <v>1339</v>
      </c>
      <c r="D532" s="46" t="s">
        <v>469</v>
      </c>
      <c r="E532" s="47" t="s">
        <v>1315</v>
      </c>
      <c r="F532" s="46" t="s">
        <v>2209</v>
      </c>
      <c r="G532" s="47" t="s">
        <v>1341</v>
      </c>
      <c r="H532" s="48">
        <v>42601.11</v>
      </c>
      <c r="I532" s="48">
        <v>1</v>
      </c>
      <c r="J532" s="47" t="s">
        <v>115</v>
      </c>
      <c r="K532" s="49">
        <v>2</v>
      </c>
      <c r="L532" s="49" t="s">
        <v>116</v>
      </c>
      <c r="M532" s="46" t="s">
        <v>117</v>
      </c>
      <c r="N532" s="50">
        <v>0</v>
      </c>
      <c r="O532" s="50">
        <v>0</v>
      </c>
      <c r="P532" s="50">
        <v>0</v>
      </c>
      <c r="Q532" s="46" t="s">
        <v>102</v>
      </c>
      <c r="R532" s="46" t="s">
        <v>102</v>
      </c>
      <c r="S532" s="46" t="s">
        <v>102</v>
      </c>
      <c r="T532" s="46" t="s">
        <v>176</v>
      </c>
      <c r="U532" s="51">
        <v>4</v>
      </c>
    </row>
    <row r="533" spans="2:21" ht="14.5" outlineLevel="3">
      <c r="B533" s="44" t="s">
        <v>2210</v>
      </c>
      <c r="C533" s="45" t="s">
        <v>2211</v>
      </c>
      <c r="D533" s="46" t="s">
        <v>458</v>
      </c>
      <c r="E533" s="47" t="s">
        <v>1315</v>
      </c>
      <c r="F533" s="46" t="s">
        <v>2212</v>
      </c>
      <c r="G533" s="47" t="s">
        <v>2213</v>
      </c>
      <c r="H533" s="48">
        <v>37958.699999999997</v>
      </c>
      <c r="I533" s="48">
        <v>1</v>
      </c>
      <c r="J533" s="47" t="s">
        <v>115</v>
      </c>
      <c r="K533" s="49">
        <v>2</v>
      </c>
      <c r="L533" s="49" t="s">
        <v>116</v>
      </c>
      <c r="M533" s="46" t="s">
        <v>117</v>
      </c>
      <c r="N533" s="50">
        <v>0</v>
      </c>
      <c r="O533" s="50">
        <v>0</v>
      </c>
      <c r="P533" s="50">
        <v>0</v>
      </c>
      <c r="Q533" s="46" t="s">
        <v>102</v>
      </c>
      <c r="R533" s="46" t="s">
        <v>102</v>
      </c>
      <c r="S533" s="46" t="s">
        <v>102</v>
      </c>
      <c r="T533" s="46" t="s">
        <v>182</v>
      </c>
      <c r="U533" s="51">
        <v>4</v>
      </c>
    </row>
    <row r="534" spans="2:21" ht="14.5" outlineLevel="3">
      <c r="B534" s="44" t="s">
        <v>2214</v>
      </c>
      <c r="C534" s="45" t="s">
        <v>2215</v>
      </c>
      <c r="D534" s="46" t="s">
        <v>458</v>
      </c>
      <c r="E534" s="47" t="s">
        <v>1315</v>
      </c>
      <c r="F534" s="46" t="s">
        <v>2216</v>
      </c>
      <c r="G534" s="47" t="s">
        <v>2217</v>
      </c>
      <c r="H534" s="48">
        <v>14958.55</v>
      </c>
      <c r="I534" s="48">
        <v>321</v>
      </c>
      <c r="J534" s="47" t="s">
        <v>115</v>
      </c>
      <c r="K534" s="49">
        <v>2</v>
      </c>
      <c r="L534" s="49" t="s">
        <v>116</v>
      </c>
      <c r="M534" s="46" t="s">
        <v>117</v>
      </c>
      <c r="N534" s="50">
        <v>0</v>
      </c>
      <c r="O534" s="50">
        <v>0</v>
      </c>
      <c r="P534" s="50">
        <v>0</v>
      </c>
      <c r="Q534" s="46" t="s">
        <v>102</v>
      </c>
      <c r="R534" s="46" t="s">
        <v>102</v>
      </c>
      <c r="S534" s="46" t="s">
        <v>102</v>
      </c>
      <c r="T534" s="46" t="s">
        <v>187</v>
      </c>
      <c r="U534" s="51">
        <v>4</v>
      </c>
    </row>
    <row r="535" spans="2:21" ht="14.5" outlineLevel="3">
      <c r="B535" s="44" t="s">
        <v>2218</v>
      </c>
      <c r="C535" s="45" t="s">
        <v>2219</v>
      </c>
      <c r="D535" s="46" t="s">
        <v>458</v>
      </c>
      <c r="E535" s="47" t="s">
        <v>1315</v>
      </c>
      <c r="F535" s="46" t="s">
        <v>2220</v>
      </c>
      <c r="G535" s="47" t="s">
        <v>2221</v>
      </c>
      <c r="H535" s="48">
        <v>49897.4</v>
      </c>
      <c r="I535" s="48">
        <v>17</v>
      </c>
      <c r="J535" s="47" t="s">
        <v>115</v>
      </c>
      <c r="K535" s="49">
        <v>2</v>
      </c>
      <c r="L535" s="49" t="s">
        <v>116</v>
      </c>
      <c r="M535" s="46" t="s">
        <v>117</v>
      </c>
      <c r="N535" s="50">
        <v>0</v>
      </c>
      <c r="O535" s="50">
        <v>0</v>
      </c>
      <c r="P535" s="50">
        <v>0</v>
      </c>
      <c r="Q535" s="46" t="s">
        <v>102</v>
      </c>
      <c r="R535" s="46" t="s">
        <v>102</v>
      </c>
      <c r="S535" s="46" t="s">
        <v>102</v>
      </c>
      <c r="T535" s="46" t="s">
        <v>259</v>
      </c>
      <c r="U535" s="51">
        <v>4</v>
      </c>
    </row>
    <row r="536" spans="2:21" ht="14.5" outlineLevel="3">
      <c r="B536" s="44" t="s">
        <v>2222</v>
      </c>
      <c r="C536" s="45" t="s">
        <v>2223</v>
      </c>
      <c r="D536" s="46" t="s">
        <v>458</v>
      </c>
      <c r="E536" s="47" t="s">
        <v>1315</v>
      </c>
      <c r="F536" s="46" t="s">
        <v>2224</v>
      </c>
      <c r="G536" s="47" t="s">
        <v>2225</v>
      </c>
      <c r="H536" s="48">
        <v>2176.58</v>
      </c>
      <c r="I536" s="48">
        <v>321</v>
      </c>
      <c r="J536" s="47" t="s">
        <v>115</v>
      </c>
      <c r="K536" s="49">
        <v>2</v>
      </c>
      <c r="L536" s="49" t="s">
        <v>116</v>
      </c>
      <c r="M536" s="46" t="s">
        <v>117</v>
      </c>
      <c r="N536" s="50">
        <v>0</v>
      </c>
      <c r="O536" s="50">
        <v>0</v>
      </c>
      <c r="P536" s="50">
        <v>0</v>
      </c>
      <c r="Q536" s="46" t="s">
        <v>102</v>
      </c>
      <c r="R536" s="46" t="s">
        <v>102</v>
      </c>
      <c r="S536" s="46" t="s">
        <v>102</v>
      </c>
      <c r="T536" s="46" t="s">
        <v>192</v>
      </c>
      <c r="U536" s="51">
        <v>4</v>
      </c>
    </row>
    <row r="537" spans="2:21" ht="14.5" outlineLevel="3">
      <c r="B537" s="44" t="s">
        <v>2226</v>
      </c>
      <c r="C537" s="45" t="s">
        <v>2227</v>
      </c>
      <c r="D537" s="46" t="s">
        <v>458</v>
      </c>
      <c r="E537" s="47" t="s">
        <v>1315</v>
      </c>
      <c r="F537" s="46" t="s">
        <v>2228</v>
      </c>
      <c r="G537" s="47" t="s">
        <v>2229</v>
      </c>
      <c r="H537" s="48">
        <v>10243.25</v>
      </c>
      <c r="I537" s="48">
        <v>221</v>
      </c>
      <c r="J537" s="47" t="s">
        <v>115</v>
      </c>
      <c r="K537" s="49">
        <v>2</v>
      </c>
      <c r="L537" s="49" t="s">
        <v>116</v>
      </c>
      <c r="M537" s="46" t="s">
        <v>117</v>
      </c>
      <c r="N537" s="50">
        <v>0</v>
      </c>
      <c r="O537" s="50">
        <v>0</v>
      </c>
      <c r="P537" s="50">
        <v>0</v>
      </c>
      <c r="Q537" s="46" t="s">
        <v>102</v>
      </c>
      <c r="R537" s="46" t="s">
        <v>102</v>
      </c>
      <c r="S537" s="46" t="s">
        <v>102</v>
      </c>
      <c r="T537" s="46" t="s">
        <v>615</v>
      </c>
      <c r="U537" s="51">
        <v>4</v>
      </c>
    </row>
    <row r="538" spans="2:21" ht="14.5" outlineLevel="3">
      <c r="B538" s="44" t="s">
        <v>2230</v>
      </c>
      <c r="C538" s="45" t="s">
        <v>2231</v>
      </c>
      <c r="D538" s="46" t="s">
        <v>458</v>
      </c>
      <c r="E538" s="47" t="s">
        <v>1315</v>
      </c>
      <c r="F538" s="46" t="s">
        <v>2232</v>
      </c>
      <c r="G538" s="47" t="s">
        <v>2233</v>
      </c>
      <c r="H538" s="48">
        <v>7948.1</v>
      </c>
      <c r="I538" s="48">
        <v>110</v>
      </c>
      <c r="J538" s="47" t="s">
        <v>115</v>
      </c>
      <c r="K538" s="49">
        <v>2</v>
      </c>
      <c r="L538" s="49" t="s">
        <v>116</v>
      </c>
      <c r="M538" s="46" t="s">
        <v>117</v>
      </c>
      <c r="N538" s="50">
        <v>0</v>
      </c>
      <c r="O538" s="50">
        <v>0</v>
      </c>
      <c r="P538" s="50">
        <v>0</v>
      </c>
      <c r="Q538" s="46" t="s">
        <v>102</v>
      </c>
      <c r="R538" s="46" t="s">
        <v>102</v>
      </c>
      <c r="S538" s="46" t="s">
        <v>102</v>
      </c>
      <c r="T538" s="46" t="s">
        <v>268</v>
      </c>
      <c r="U538" s="51">
        <v>4</v>
      </c>
    </row>
    <row r="539" spans="2:21" ht="14.5" outlineLevel="3">
      <c r="B539" s="44" t="s">
        <v>2234</v>
      </c>
      <c r="C539" s="45" t="s">
        <v>2235</v>
      </c>
      <c r="D539" s="46" t="s">
        <v>458</v>
      </c>
      <c r="E539" s="47" t="s">
        <v>1315</v>
      </c>
      <c r="F539" s="46" t="s">
        <v>2236</v>
      </c>
      <c r="G539" s="47" t="s">
        <v>2237</v>
      </c>
      <c r="H539" s="48">
        <v>2963.98</v>
      </c>
      <c r="I539" s="48">
        <v>321</v>
      </c>
      <c r="J539" s="47" t="s">
        <v>115</v>
      </c>
      <c r="K539" s="49">
        <v>2</v>
      </c>
      <c r="L539" s="49" t="s">
        <v>116</v>
      </c>
      <c r="M539" s="46" t="s">
        <v>117</v>
      </c>
      <c r="N539" s="50">
        <v>0</v>
      </c>
      <c r="O539" s="50">
        <v>0</v>
      </c>
      <c r="P539" s="50">
        <v>0</v>
      </c>
      <c r="Q539" s="46" t="s">
        <v>102</v>
      </c>
      <c r="R539" s="46" t="s">
        <v>102</v>
      </c>
      <c r="S539" s="46" t="s">
        <v>102</v>
      </c>
      <c r="T539" s="46" t="s">
        <v>273</v>
      </c>
      <c r="U539" s="51">
        <v>4</v>
      </c>
    </row>
    <row r="540" spans="2:21" ht="14.5" outlineLevel="3">
      <c r="B540" s="44" t="s">
        <v>2238</v>
      </c>
      <c r="C540" s="45" t="s">
        <v>2239</v>
      </c>
      <c r="D540" s="46" t="s">
        <v>458</v>
      </c>
      <c r="E540" s="47" t="s">
        <v>1315</v>
      </c>
      <c r="F540" s="46" t="s">
        <v>2240</v>
      </c>
      <c r="G540" s="47" t="s">
        <v>2241</v>
      </c>
      <c r="H540" s="48">
        <v>11562.11</v>
      </c>
      <c r="I540" s="48">
        <v>338</v>
      </c>
      <c r="J540" s="47" t="s">
        <v>115</v>
      </c>
      <c r="K540" s="49">
        <v>2</v>
      </c>
      <c r="L540" s="49" t="s">
        <v>116</v>
      </c>
      <c r="M540" s="46" t="s">
        <v>117</v>
      </c>
      <c r="N540" s="50">
        <v>0</v>
      </c>
      <c r="O540" s="50">
        <v>0</v>
      </c>
      <c r="P540" s="50">
        <v>0</v>
      </c>
      <c r="Q540" s="46" t="s">
        <v>102</v>
      </c>
      <c r="R540" s="46" t="s">
        <v>102</v>
      </c>
      <c r="S540" s="46" t="s">
        <v>102</v>
      </c>
      <c r="T540" s="46" t="s">
        <v>198</v>
      </c>
      <c r="U540" s="51">
        <v>4</v>
      </c>
    </row>
    <row r="541" spans="2:21" ht="14.5" outlineLevel="3">
      <c r="B541" s="44" t="s">
        <v>2242</v>
      </c>
      <c r="C541" s="45" t="s">
        <v>2243</v>
      </c>
      <c r="D541" s="46" t="s">
        <v>469</v>
      </c>
      <c r="E541" s="47" t="s">
        <v>1315</v>
      </c>
      <c r="F541" s="46" t="s">
        <v>2244</v>
      </c>
      <c r="G541" s="47" t="s">
        <v>2245</v>
      </c>
      <c r="H541" s="48">
        <v>713326.98</v>
      </c>
      <c r="I541" s="48">
        <v>1</v>
      </c>
      <c r="J541" s="47" t="s">
        <v>115</v>
      </c>
      <c r="K541" s="49">
        <v>2</v>
      </c>
      <c r="L541" s="49" t="s">
        <v>116</v>
      </c>
      <c r="M541" s="46" t="s">
        <v>117</v>
      </c>
      <c r="N541" s="50">
        <v>0</v>
      </c>
      <c r="O541" s="50">
        <v>0</v>
      </c>
      <c r="P541" s="50">
        <v>0</v>
      </c>
      <c r="Q541" s="46" t="s">
        <v>102</v>
      </c>
      <c r="R541" s="46" t="s">
        <v>102</v>
      </c>
      <c r="S541" s="46" t="s">
        <v>102</v>
      </c>
      <c r="T541" s="46" t="s">
        <v>283</v>
      </c>
      <c r="U541" s="51">
        <v>4</v>
      </c>
    </row>
    <row r="542" spans="2:21" ht="14.5" outlineLevel="3">
      <c r="B542" s="44" t="s">
        <v>2246</v>
      </c>
      <c r="C542" s="45" t="s">
        <v>2247</v>
      </c>
      <c r="D542" s="46" t="s">
        <v>458</v>
      </c>
      <c r="E542" s="47" t="s">
        <v>1315</v>
      </c>
      <c r="F542" s="46" t="s">
        <v>2248</v>
      </c>
      <c r="G542" s="47" t="s">
        <v>2249</v>
      </c>
      <c r="H542" s="48">
        <v>27359.51</v>
      </c>
      <c r="I542" s="48">
        <v>21</v>
      </c>
      <c r="J542" s="47" t="s">
        <v>115</v>
      </c>
      <c r="K542" s="49">
        <v>2</v>
      </c>
      <c r="L542" s="49" t="s">
        <v>116</v>
      </c>
      <c r="M542" s="46" t="s">
        <v>117</v>
      </c>
      <c r="N542" s="50">
        <v>0</v>
      </c>
      <c r="O542" s="50">
        <v>0</v>
      </c>
      <c r="P542" s="50">
        <v>0</v>
      </c>
      <c r="Q542" s="46" t="s">
        <v>102</v>
      </c>
      <c r="R542" s="46" t="s">
        <v>102</v>
      </c>
      <c r="S542" s="46" t="s">
        <v>102</v>
      </c>
      <c r="T542" s="46" t="s">
        <v>288</v>
      </c>
      <c r="U542" s="51">
        <v>4</v>
      </c>
    </row>
    <row r="543" spans="2:21" ht="14.5" outlineLevel="3">
      <c r="B543" s="44" t="s">
        <v>2250</v>
      </c>
      <c r="C543" s="45" t="s">
        <v>2251</v>
      </c>
      <c r="D543" s="46" t="s">
        <v>392</v>
      </c>
      <c r="E543" s="47" t="s">
        <v>1315</v>
      </c>
      <c r="F543" s="46" t="s">
        <v>2252</v>
      </c>
      <c r="G543" s="47" t="s">
        <v>2253</v>
      </c>
      <c r="H543" s="48">
        <v>271398</v>
      </c>
      <c r="I543" s="48">
        <v>1</v>
      </c>
      <c r="J543" s="47" t="s">
        <v>115</v>
      </c>
      <c r="K543" s="49">
        <v>2</v>
      </c>
      <c r="L543" s="49" t="s">
        <v>116</v>
      </c>
      <c r="M543" s="46" t="s">
        <v>117</v>
      </c>
      <c r="N543" s="50">
        <v>0</v>
      </c>
      <c r="O543" s="50">
        <v>0</v>
      </c>
      <c r="P543" s="50">
        <v>0</v>
      </c>
      <c r="Q543" s="46" t="s">
        <v>102</v>
      </c>
      <c r="R543" s="46" t="s">
        <v>102</v>
      </c>
      <c r="S543" s="46" t="s">
        <v>102</v>
      </c>
      <c r="T543" s="46" t="s">
        <v>203</v>
      </c>
      <c r="U543" s="51">
        <v>4</v>
      </c>
    </row>
    <row r="544" spans="2:21" ht="14.5" outlineLevel="3">
      <c r="B544" s="44" t="s">
        <v>2254</v>
      </c>
      <c r="C544" s="45" t="s">
        <v>2255</v>
      </c>
      <c r="D544" s="46" t="s">
        <v>392</v>
      </c>
      <c r="E544" s="47" t="s">
        <v>1315</v>
      </c>
      <c r="F544" s="46" t="s">
        <v>2256</v>
      </c>
      <c r="G544" s="47" t="s">
        <v>2257</v>
      </c>
      <c r="H544" s="48">
        <v>16984.79</v>
      </c>
      <c r="I544" s="48">
        <v>1</v>
      </c>
      <c r="J544" s="47" t="s">
        <v>115</v>
      </c>
      <c r="K544" s="49">
        <v>2</v>
      </c>
      <c r="L544" s="49" t="s">
        <v>116</v>
      </c>
      <c r="M544" s="46" t="s">
        <v>117</v>
      </c>
      <c r="N544" s="50">
        <v>0</v>
      </c>
      <c r="O544" s="50">
        <v>0</v>
      </c>
      <c r="P544" s="50">
        <v>0</v>
      </c>
      <c r="Q544" s="46" t="s">
        <v>102</v>
      </c>
      <c r="R544" s="46" t="s">
        <v>102</v>
      </c>
      <c r="S544" s="46" t="s">
        <v>102</v>
      </c>
      <c r="T544" s="46" t="s">
        <v>298</v>
      </c>
      <c r="U544" s="51">
        <v>4</v>
      </c>
    </row>
    <row r="545" spans="2:21" ht="14.5" outlineLevel="2">
      <c r="B545" s="36" t="s">
        <v>2258</v>
      </c>
      <c r="C545" s="37" t="s">
        <v>2259</v>
      </c>
      <c r="D545" s="38" t="s">
        <v>102</v>
      </c>
      <c r="E545" s="39" t="s">
        <v>102</v>
      </c>
      <c r="F545" s="38" t="s">
        <v>102</v>
      </c>
      <c r="G545" s="39" t="s">
        <v>102</v>
      </c>
      <c r="H545" s="40">
        <v>0</v>
      </c>
      <c r="I545" s="40">
        <v>0</v>
      </c>
      <c r="J545" s="39" t="s">
        <v>102</v>
      </c>
      <c r="K545" s="41">
        <v>0</v>
      </c>
      <c r="L545" s="41" t="s">
        <v>102</v>
      </c>
      <c r="M545" s="38" t="s">
        <v>102</v>
      </c>
      <c r="N545" s="42">
        <v>0</v>
      </c>
      <c r="O545" s="42">
        <v>0</v>
      </c>
      <c r="P545" s="42">
        <v>0</v>
      </c>
      <c r="Q545" s="38" t="s">
        <v>102</v>
      </c>
      <c r="R545" s="38" t="s">
        <v>102</v>
      </c>
      <c r="S545" s="38" t="s">
        <v>2260</v>
      </c>
      <c r="T545" s="38" t="s">
        <v>102</v>
      </c>
      <c r="U545" s="43">
        <v>3</v>
      </c>
    </row>
    <row r="546" spans="2:21" ht="14.5" outlineLevel="3">
      <c r="B546" s="44" t="s">
        <v>2261</v>
      </c>
      <c r="C546" s="45" t="s">
        <v>2262</v>
      </c>
      <c r="D546" s="46" t="s">
        <v>469</v>
      </c>
      <c r="E546" s="47" t="s">
        <v>1315</v>
      </c>
      <c r="F546" s="46" t="s">
        <v>2263</v>
      </c>
      <c r="G546" s="47" t="s">
        <v>2264</v>
      </c>
      <c r="H546" s="48">
        <v>24499.7</v>
      </c>
      <c r="I546" s="48">
        <v>29</v>
      </c>
      <c r="J546" s="47" t="s">
        <v>115</v>
      </c>
      <c r="K546" s="49">
        <v>2</v>
      </c>
      <c r="L546" s="49" t="s">
        <v>116</v>
      </c>
      <c r="M546" s="46" t="s">
        <v>117</v>
      </c>
      <c r="N546" s="50">
        <v>0</v>
      </c>
      <c r="O546" s="50">
        <v>0</v>
      </c>
      <c r="P546" s="50">
        <v>0</v>
      </c>
      <c r="Q546" s="46" t="s">
        <v>102</v>
      </c>
      <c r="R546" s="46" t="s">
        <v>102</v>
      </c>
      <c r="S546" s="46" t="s">
        <v>102</v>
      </c>
      <c r="T546" s="46" t="s">
        <v>118</v>
      </c>
      <c r="U546" s="51">
        <v>4</v>
      </c>
    </row>
    <row r="547" spans="2:21" ht="14.5" outlineLevel="3">
      <c r="B547" s="44" t="s">
        <v>2265</v>
      </c>
      <c r="C547" s="45" t="s">
        <v>2266</v>
      </c>
      <c r="D547" s="46" t="s">
        <v>469</v>
      </c>
      <c r="E547" s="47" t="s">
        <v>1315</v>
      </c>
      <c r="F547" s="46" t="s">
        <v>2267</v>
      </c>
      <c r="G547" s="47" t="s">
        <v>2268</v>
      </c>
      <c r="H547" s="48">
        <v>390650.04</v>
      </c>
      <c r="I547" s="48">
        <v>1</v>
      </c>
      <c r="J547" s="47" t="s">
        <v>115</v>
      </c>
      <c r="K547" s="49">
        <v>2</v>
      </c>
      <c r="L547" s="49" t="s">
        <v>116</v>
      </c>
      <c r="M547" s="46" t="s">
        <v>117</v>
      </c>
      <c r="N547" s="50">
        <v>0</v>
      </c>
      <c r="O547" s="50">
        <v>0</v>
      </c>
      <c r="P547" s="50">
        <v>0</v>
      </c>
      <c r="Q547" s="46" t="s">
        <v>102</v>
      </c>
      <c r="R547" s="46" t="s">
        <v>102</v>
      </c>
      <c r="S547" s="46" t="s">
        <v>102</v>
      </c>
      <c r="T547" s="46" t="s">
        <v>123</v>
      </c>
      <c r="U547" s="51">
        <v>4</v>
      </c>
    </row>
    <row r="548" spans="2:21" ht="14.5" outlineLevel="3">
      <c r="B548" s="44" t="s">
        <v>2269</v>
      </c>
      <c r="C548" s="45" t="s">
        <v>2270</v>
      </c>
      <c r="D548" s="46" t="s">
        <v>469</v>
      </c>
      <c r="E548" s="47" t="s">
        <v>1315</v>
      </c>
      <c r="F548" s="46" t="s">
        <v>2271</v>
      </c>
      <c r="G548" s="47" t="s">
        <v>2272</v>
      </c>
      <c r="H548" s="48">
        <v>42134.720000000001</v>
      </c>
      <c r="I548" s="48">
        <v>29</v>
      </c>
      <c r="J548" s="47" t="s">
        <v>115</v>
      </c>
      <c r="K548" s="49">
        <v>2</v>
      </c>
      <c r="L548" s="49" t="s">
        <v>116</v>
      </c>
      <c r="M548" s="46" t="s">
        <v>117</v>
      </c>
      <c r="N548" s="50">
        <v>0</v>
      </c>
      <c r="O548" s="50">
        <v>0</v>
      </c>
      <c r="P548" s="50">
        <v>0</v>
      </c>
      <c r="Q548" s="46" t="s">
        <v>102</v>
      </c>
      <c r="R548" s="46" t="s">
        <v>102</v>
      </c>
      <c r="S548" s="46" t="s">
        <v>102</v>
      </c>
      <c r="T548" s="46" t="s">
        <v>128</v>
      </c>
      <c r="U548" s="51">
        <v>4</v>
      </c>
    </row>
    <row r="549" spans="2:21" ht="14.5" outlineLevel="3">
      <c r="B549" s="44" t="s">
        <v>2273</v>
      </c>
      <c r="C549" s="45" t="s">
        <v>2274</v>
      </c>
      <c r="D549" s="46" t="s">
        <v>469</v>
      </c>
      <c r="E549" s="47" t="s">
        <v>1315</v>
      </c>
      <c r="F549" s="46" t="s">
        <v>2275</v>
      </c>
      <c r="G549" s="47" t="s">
        <v>2276</v>
      </c>
      <c r="H549" s="48">
        <v>5580.91</v>
      </c>
      <c r="I549" s="48">
        <v>29</v>
      </c>
      <c r="J549" s="47" t="s">
        <v>115</v>
      </c>
      <c r="K549" s="49">
        <v>2</v>
      </c>
      <c r="L549" s="49" t="s">
        <v>116</v>
      </c>
      <c r="M549" s="46" t="s">
        <v>117</v>
      </c>
      <c r="N549" s="50">
        <v>0</v>
      </c>
      <c r="O549" s="50">
        <v>0</v>
      </c>
      <c r="P549" s="50">
        <v>0</v>
      </c>
      <c r="Q549" s="46" t="s">
        <v>102</v>
      </c>
      <c r="R549" s="46" t="s">
        <v>102</v>
      </c>
      <c r="S549" s="46" t="s">
        <v>102</v>
      </c>
      <c r="T549" s="46" t="s">
        <v>133</v>
      </c>
      <c r="U549" s="51">
        <v>4</v>
      </c>
    </row>
    <row r="550" spans="2:21" ht="14.5" outlineLevel="3">
      <c r="B550" s="44" t="s">
        <v>2277</v>
      </c>
      <c r="C550" s="45" t="s">
        <v>2278</v>
      </c>
      <c r="D550" s="46" t="s">
        <v>469</v>
      </c>
      <c r="E550" s="47" t="s">
        <v>1315</v>
      </c>
      <c r="F550" s="46" t="s">
        <v>2279</v>
      </c>
      <c r="G550" s="47" t="s">
        <v>2280</v>
      </c>
      <c r="H550" s="48">
        <v>80585.73</v>
      </c>
      <c r="I550" s="48">
        <v>29</v>
      </c>
      <c r="J550" s="47" t="s">
        <v>115</v>
      </c>
      <c r="K550" s="49">
        <v>2</v>
      </c>
      <c r="L550" s="49" t="s">
        <v>116</v>
      </c>
      <c r="M550" s="46" t="s">
        <v>117</v>
      </c>
      <c r="N550" s="50">
        <v>0</v>
      </c>
      <c r="O550" s="50">
        <v>0</v>
      </c>
      <c r="P550" s="50">
        <v>0</v>
      </c>
      <c r="Q550" s="46" t="s">
        <v>102</v>
      </c>
      <c r="R550" s="46" t="s">
        <v>102</v>
      </c>
      <c r="S550" s="46" t="s">
        <v>102</v>
      </c>
      <c r="T550" s="46" t="s">
        <v>138</v>
      </c>
      <c r="U550" s="51">
        <v>4</v>
      </c>
    </row>
    <row r="551" spans="2:21" ht="14.5" outlineLevel="3">
      <c r="B551" s="44" t="s">
        <v>2281</v>
      </c>
      <c r="C551" s="45" t="s">
        <v>2282</v>
      </c>
      <c r="D551" s="46" t="s">
        <v>392</v>
      </c>
      <c r="E551" s="47" t="s">
        <v>1315</v>
      </c>
      <c r="F551" s="46" t="s">
        <v>2283</v>
      </c>
      <c r="G551" s="47" t="s">
        <v>2284</v>
      </c>
      <c r="H551" s="48">
        <v>157873.71</v>
      </c>
      <c r="I551" s="48">
        <v>1</v>
      </c>
      <c r="J551" s="47" t="s">
        <v>115</v>
      </c>
      <c r="K551" s="49">
        <v>2</v>
      </c>
      <c r="L551" s="49" t="s">
        <v>116</v>
      </c>
      <c r="M551" s="46" t="s">
        <v>117</v>
      </c>
      <c r="N551" s="50">
        <v>0</v>
      </c>
      <c r="O551" s="50">
        <v>0</v>
      </c>
      <c r="P551" s="50">
        <v>0</v>
      </c>
      <c r="Q551" s="46" t="s">
        <v>102</v>
      </c>
      <c r="R551" s="46" t="s">
        <v>102</v>
      </c>
      <c r="S551" s="46" t="s">
        <v>102</v>
      </c>
      <c r="T551" s="46" t="s">
        <v>143</v>
      </c>
      <c r="U551" s="51">
        <v>4</v>
      </c>
    </row>
    <row r="552" spans="2:21" ht="14.5" outlineLevel="2">
      <c r="B552" s="36" t="s">
        <v>2285</v>
      </c>
      <c r="C552" s="37" t="s">
        <v>2286</v>
      </c>
      <c r="D552" s="38" t="s">
        <v>102</v>
      </c>
      <c r="E552" s="39" t="s">
        <v>102</v>
      </c>
      <c r="F552" s="38" t="s">
        <v>102</v>
      </c>
      <c r="G552" s="39" t="s">
        <v>102</v>
      </c>
      <c r="H552" s="40">
        <v>0</v>
      </c>
      <c r="I552" s="40">
        <v>0</v>
      </c>
      <c r="J552" s="39" t="s">
        <v>102</v>
      </c>
      <c r="K552" s="41">
        <v>0</v>
      </c>
      <c r="L552" s="41" t="s">
        <v>102</v>
      </c>
      <c r="M552" s="38" t="s">
        <v>102</v>
      </c>
      <c r="N552" s="42">
        <v>0</v>
      </c>
      <c r="O552" s="42">
        <v>0</v>
      </c>
      <c r="P552" s="42">
        <v>0</v>
      </c>
      <c r="Q552" s="38" t="s">
        <v>102</v>
      </c>
      <c r="R552" s="38" t="s">
        <v>102</v>
      </c>
      <c r="S552" s="38" t="s">
        <v>2287</v>
      </c>
      <c r="T552" s="38" t="s">
        <v>102</v>
      </c>
      <c r="U552" s="43">
        <v>3</v>
      </c>
    </row>
    <row r="553" spans="2:21" ht="14.5" outlineLevel="3">
      <c r="B553" s="44" t="s">
        <v>2288</v>
      </c>
      <c r="C553" s="45" t="s">
        <v>2289</v>
      </c>
      <c r="D553" s="46" t="s">
        <v>469</v>
      </c>
      <c r="E553" s="47" t="s">
        <v>1315</v>
      </c>
      <c r="F553" s="46" t="s">
        <v>2290</v>
      </c>
      <c r="G553" s="47" t="s">
        <v>2291</v>
      </c>
      <c r="H553" s="48">
        <v>242203.02</v>
      </c>
      <c r="I553" s="48">
        <v>38</v>
      </c>
      <c r="J553" s="47" t="s">
        <v>115</v>
      </c>
      <c r="K553" s="49">
        <v>2</v>
      </c>
      <c r="L553" s="49" t="s">
        <v>116</v>
      </c>
      <c r="M553" s="46" t="s">
        <v>117</v>
      </c>
      <c r="N553" s="50">
        <v>0</v>
      </c>
      <c r="O553" s="50">
        <v>0</v>
      </c>
      <c r="P553" s="50">
        <v>0</v>
      </c>
      <c r="Q553" s="46" t="s">
        <v>102</v>
      </c>
      <c r="R553" s="46" t="s">
        <v>102</v>
      </c>
      <c r="S553" s="46" t="s">
        <v>102</v>
      </c>
      <c r="T553" s="46" t="s">
        <v>118</v>
      </c>
      <c r="U553" s="51">
        <v>4</v>
      </c>
    </row>
    <row r="554" spans="2:21" ht="14.5" outlineLevel="3">
      <c r="B554" s="44" t="s">
        <v>2292</v>
      </c>
      <c r="C554" s="45" t="s">
        <v>2293</v>
      </c>
      <c r="D554" s="46" t="s">
        <v>469</v>
      </c>
      <c r="E554" s="47" t="s">
        <v>1315</v>
      </c>
      <c r="F554" s="46" t="s">
        <v>2294</v>
      </c>
      <c r="G554" s="47" t="s">
        <v>2295</v>
      </c>
      <c r="H554" s="48">
        <v>268876.61</v>
      </c>
      <c r="I554" s="48">
        <v>18</v>
      </c>
      <c r="J554" s="47" t="s">
        <v>115</v>
      </c>
      <c r="K554" s="49">
        <v>2</v>
      </c>
      <c r="L554" s="49" t="s">
        <v>116</v>
      </c>
      <c r="M554" s="46" t="s">
        <v>117</v>
      </c>
      <c r="N554" s="50">
        <v>0</v>
      </c>
      <c r="O554" s="50">
        <v>0</v>
      </c>
      <c r="P554" s="50">
        <v>0</v>
      </c>
      <c r="Q554" s="46" t="s">
        <v>102</v>
      </c>
      <c r="R554" s="46" t="s">
        <v>102</v>
      </c>
      <c r="S554" s="46" t="s">
        <v>102</v>
      </c>
      <c r="T554" s="46" t="s">
        <v>123</v>
      </c>
      <c r="U554" s="51">
        <v>4</v>
      </c>
    </row>
    <row r="555" spans="2:21" ht="14.5" outlineLevel="3">
      <c r="B555" s="44" t="s">
        <v>2296</v>
      </c>
      <c r="C555" s="45" t="s">
        <v>2297</v>
      </c>
      <c r="D555" s="46" t="s">
        <v>469</v>
      </c>
      <c r="E555" s="47" t="s">
        <v>1315</v>
      </c>
      <c r="F555" s="46" t="s">
        <v>2298</v>
      </c>
      <c r="G555" s="47" t="s">
        <v>2299</v>
      </c>
      <c r="H555" s="48">
        <v>334427.69</v>
      </c>
      <c r="I555" s="48">
        <v>2</v>
      </c>
      <c r="J555" s="47" t="s">
        <v>115</v>
      </c>
      <c r="K555" s="49">
        <v>2</v>
      </c>
      <c r="L555" s="49" t="s">
        <v>116</v>
      </c>
      <c r="M555" s="46" t="s">
        <v>117</v>
      </c>
      <c r="N555" s="50">
        <v>0</v>
      </c>
      <c r="O555" s="50">
        <v>0</v>
      </c>
      <c r="P555" s="50">
        <v>0</v>
      </c>
      <c r="Q555" s="46" t="s">
        <v>102</v>
      </c>
      <c r="R555" s="46" t="s">
        <v>102</v>
      </c>
      <c r="S555" s="46" t="s">
        <v>102</v>
      </c>
      <c r="T555" s="46" t="s">
        <v>128</v>
      </c>
      <c r="U555" s="51">
        <v>4</v>
      </c>
    </row>
    <row r="556" spans="2:21" ht="14.5" outlineLevel="3">
      <c r="B556" s="44" t="s">
        <v>2300</v>
      </c>
      <c r="C556" s="45" t="s">
        <v>2301</v>
      </c>
      <c r="D556" s="46" t="s">
        <v>469</v>
      </c>
      <c r="E556" s="47" t="s">
        <v>1315</v>
      </c>
      <c r="F556" s="46" t="s">
        <v>2302</v>
      </c>
      <c r="G556" s="47" t="s">
        <v>2303</v>
      </c>
      <c r="H556" s="48">
        <v>85943.01</v>
      </c>
      <c r="I556" s="48">
        <v>23</v>
      </c>
      <c r="J556" s="47" t="s">
        <v>115</v>
      </c>
      <c r="K556" s="49">
        <v>2</v>
      </c>
      <c r="L556" s="49" t="s">
        <v>116</v>
      </c>
      <c r="M556" s="46" t="s">
        <v>117</v>
      </c>
      <c r="N556" s="50">
        <v>0</v>
      </c>
      <c r="O556" s="50">
        <v>0</v>
      </c>
      <c r="P556" s="50">
        <v>0</v>
      </c>
      <c r="Q556" s="46" t="s">
        <v>102</v>
      </c>
      <c r="R556" s="46" t="s">
        <v>102</v>
      </c>
      <c r="S556" s="46" t="s">
        <v>102</v>
      </c>
      <c r="T556" s="46" t="s">
        <v>133</v>
      </c>
      <c r="U556" s="51">
        <v>4</v>
      </c>
    </row>
    <row r="557" spans="2:21" ht="14.5" outlineLevel="3">
      <c r="B557" s="44" t="s">
        <v>2304</v>
      </c>
      <c r="C557" s="45" t="s">
        <v>2305</v>
      </c>
      <c r="D557" s="46" t="s">
        <v>469</v>
      </c>
      <c r="E557" s="47" t="s">
        <v>1315</v>
      </c>
      <c r="F557" s="46" t="s">
        <v>2306</v>
      </c>
      <c r="G557" s="47" t="s">
        <v>2307</v>
      </c>
      <c r="H557" s="48">
        <v>4062760.44</v>
      </c>
      <c r="I557" s="48">
        <v>1</v>
      </c>
      <c r="J557" s="47" t="s">
        <v>115</v>
      </c>
      <c r="K557" s="49">
        <v>2</v>
      </c>
      <c r="L557" s="49" t="s">
        <v>116</v>
      </c>
      <c r="M557" s="46" t="s">
        <v>117</v>
      </c>
      <c r="N557" s="50">
        <v>0</v>
      </c>
      <c r="O557" s="50">
        <v>0</v>
      </c>
      <c r="P557" s="50">
        <v>0</v>
      </c>
      <c r="Q557" s="46" t="s">
        <v>102</v>
      </c>
      <c r="R557" s="46" t="s">
        <v>102</v>
      </c>
      <c r="S557" s="46" t="s">
        <v>102</v>
      </c>
      <c r="T557" s="46" t="s">
        <v>138</v>
      </c>
      <c r="U557" s="51">
        <v>4</v>
      </c>
    </row>
    <row r="558" spans="2:21" ht="14.5" outlineLevel="3">
      <c r="B558" s="44" t="s">
        <v>2308</v>
      </c>
      <c r="C558" s="45" t="s">
        <v>2309</v>
      </c>
      <c r="D558" s="46" t="s">
        <v>469</v>
      </c>
      <c r="E558" s="47" t="s">
        <v>1315</v>
      </c>
      <c r="F558" s="46" t="s">
        <v>2310</v>
      </c>
      <c r="G558" s="47" t="s">
        <v>2311</v>
      </c>
      <c r="H558" s="48">
        <v>152353.51</v>
      </c>
      <c r="I558" s="48">
        <v>5</v>
      </c>
      <c r="J558" s="47" t="s">
        <v>115</v>
      </c>
      <c r="K558" s="49">
        <v>2</v>
      </c>
      <c r="L558" s="49" t="s">
        <v>116</v>
      </c>
      <c r="M558" s="46" t="s">
        <v>117</v>
      </c>
      <c r="N558" s="50">
        <v>0</v>
      </c>
      <c r="O558" s="50">
        <v>0</v>
      </c>
      <c r="P558" s="50">
        <v>0</v>
      </c>
      <c r="Q558" s="46" t="s">
        <v>102</v>
      </c>
      <c r="R558" s="46" t="s">
        <v>102</v>
      </c>
      <c r="S558" s="46" t="s">
        <v>102</v>
      </c>
      <c r="T558" s="46" t="s">
        <v>143</v>
      </c>
      <c r="U558" s="51">
        <v>4</v>
      </c>
    </row>
    <row r="559" spans="2:21" ht="14.5" outlineLevel="3">
      <c r="B559" s="44" t="s">
        <v>2312</v>
      </c>
      <c r="C559" s="45" t="s">
        <v>2313</v>
      </c>
      <c r="D559" s="46" t="s">
        <v>469</v>
      </c>
      <c r="E559" s="47" t="s">
        <v>1315</v>
      </c>
      <c r="F559" s="46" t="s">
        <v>2314</v>
      </c>
      <c r="G559" s="47" t="s">
        <v>2315</v>
      </c>
      <c r="H559" s="48">
        <v>32033.31</v>
      </c>
      <c r="I559" s="48">
        <v>5</v>
      </c>
      <c r="J559" s="47" t="s">
        <v>115</v>
      </c>
      <c r="K559" s="49">
        <v>2</v>
      </c>
      <c r="L559" s="49" t="s">
        <v>116</v>
      </c>
      <c r="M559" s="46" t="s">
        <v>117</v>
      </c>
      <c r="N559" s="50">
        <v>0</v>
      </c>
      <c r="O559" s="50">
        <v>0</v>
      </c>
      <c r="P559" s="50">
        <v>0</v>
      </c>
      <c r="Q559" s="46" t="s">
        <v>102</v>
      </c>
      <c r="R559" s="46" t="s">
        <v>102</v>
      </c>
      <c r="S559" s="46" t="s">
        <v>102</v>
      </c>
      <c r="T559" s="46" t="s">
        <v>176</v>
      </c>
      <c r="U559" s="51">
        <v>4</v>
      </c>
    </row>
    <row r="560" spans="2:21" ht="14.5" outlineLevel="3">
      <c r="B560" s="44" t="s">
        <v>2316</v>
      </c>
      <c r="C560" s="45" t="s">
        <v>2317</v>
      </c>
      <c r="D560" s="46" t="s">
        <v>469</v>
      </c>
      <c r="E560" s="47" t="s">
        <v>1315</v>
      </c>
      <c r="F560" s="46" t="s">
        <v>2318</v>
      </c>
      <c r="G560" s="47" t="s">
        <v>2319</v>
      </c>
      <c r="H560" s="48">
        <v>60628.89</v>
      </c>
      <c r="I560" s="48">
        <v>38</v>
      </c>
      <c r="J560" s="47" t="s">
        <v>115</v>
      </c>
      <c r="K560" s="49">
        <v>2</v>
      </c>
      <c r="L560" s="49" t="s">
        <v>116</v>
      </c>
      <c r="M560" s="46" t="s">
        <v>117</v>
      </c>
      <c r="N560" s="50">
        <v>0</v>
      </c>
      <c r="O560" s="50">
        <v>0</v>
      </c>
      <c r="P560" s="50">
        <v>0</v>
      </c>
      <c r="Q560" s="46" t="s">
        <v>102</v>
      </c>
      <c r="R560" s="46" t="s">
        <v>102</v>
      </c>
      <c r="S560" s="46" t="s">
        <v>102</v>
      </c>
      <c r="T560" s="46" t="s">
        <v>182</v>
      </c>
      <c r="U560" s="51">
        <v>4</v>
      </c>
    </row>
    <row r="561" spans="2:21" ht="14.5" outlineLevel="3">
      <c r="B561" s="44" t="s">
        <v>2320</v>
      </c>
      <c r="C561" s="45" t="s">
        <v>2321</v>
      </c>
      <c r="D561" s="46" t="s">
        <v>469</v>
      </c>
      <c r="E561" s="47" t="s">
        <v>1315</v>
      </c>
      <c r="F561" s="46" t="s">
        <v>2322</v>
      </c>
      <c r="G561" s="47" t="s">
        <v>2323</v>
      </c>
      <c r="H561" s="48">
        <v>1893246.37</v>
      </c>
      <c r="I561" s="48">
        <v>1</v>
      </c>
      <c r="J561" s="47" t="s">
        <v>115</v>
      </c>
      <c r="K561" s="49">
        <v>2</v>
      </c>
      <c r="L561" s="49" t="s">
        <v>116</v>
      </c>
      <c r="M561" s="46" t="s">
        <v>117</v>
      </c>
      <c r="N561" s="50">
        <v>0</v>
      </c>
      <c r="O561" s="50">
        <v>0</v>
      </c>
      <c r="P561" s="50">
        <v>0</v>
      </c>
      <c r="Q561" s="46" t="s">
        <v>102</v>
      </c>
      <c r="R561" s="46" t="s">
        <v>102</v>
      </c>
      <c r="S561" s="46" t="s">
        <v>102</v>
      </c>
      <c r="T561" s="46" t="s">
        <v>187</v>
      </c>
      <c r="U561" s="51">
        <v>4</v>
      </c>
    </row>
    <row r="562" spans="2:21" ht="14.5" outlineLevel="3">
      <c r="B562" s="44" t="s">
        <v>2324</v>
      </c>
      <c r="C562" s="45" t="s">
        <v>2325</v>
      </c>
      <c r="D562" s="46" t="s">
        <v>392</v>
      </c>
      <c r="E562" s="47" t="s">
        <v>1315</v>
      </c>
      <c r="F562" s="46" t="s">
        <v>2326</v>
      </c>
      <c r="G562" s="47" t="s">
        <v>2327</v>
      </c>
      <c r="H562" s="48">
        <v>5390970.5800000001</v>
      </c>
      <c r="I562" s="48">
        <v>1</v>
      </c>
      <c r="J562" s="47" t="s">
        <v>115</v>
      </c>
      <c r="K562" s="49">
        <v>2</v>
      </c>
      <c r="L562" s="49" t="s">
        <v>116</v>
      </c>
      <c r="M562" s="46" t="s">
        <v>117</v>
      </c>
      <c r="N562" s="50">
        <v>0</v>
      </c>
      <c r="O562" s="50">
        <v>0</v>
      </c>
      <c r="P562" s="50">
        <v>0</v>
      </c>
      <c r="Q562" s="46" t="s">
        <v>102</v>
      </c>
      <c r="R562" s="46" t="s">
        <v>102</v>
      </c>
      <c r="S562" s="46" t="s">
        <v>102</v>
      </c>
      <c r="T562" s="46" t="s">
        <v>259</v>
      </c>
      <c r="U562" s="51">
        <v>4</v>
      </c>
    </row>
    <row r="563" spans="2:21" ht="14.5" outlineLevel="3">
      <c r="B563" s="44" t="s">
        <v>2328</v>
      </c>
      <c r="C563" s="45" t="s">
        <v>2329</v>
      </c>
      <c r="D563" s="46" t="s">
        <v>392</v>
      </c>
      <c r="E563" s="47" t="s">
        <v>1315</v>
      </c>
      <c r="F563" s="46" t="s">
        <v>2330</v>
      </c>
      <c r="G563" s="47" t="s">
        <v>2331</v>
      </c>
      <c r="H563" s="48">
        <v>546910.06000000006</v>
      </c>
      <c r="I563" s="48">
        <v>1</v>
      </c>
      <c r="J563" s="47" t="s">
        <v>115</v>
      </c>
      <c r="K563" s="49">
        <v>2</v>
      </c>
      <c r="L563" s="49" t="s">
        <v>116</v>
      </c>
      <c r="M563" s="46" t="s">
        <v>117</v>
      </c>
      <c r="N563" s="50">
        <v>0</v>
      </c>
      <c r="O563" s="50">
        <v>0</v>
      </c>
      <c r="P563" s="50">
        <v>0</v>
      </c>
      <c r="Q563" s="46" t="s">
        <v>102</v>
      </c>
      <c r="R563" s="46" t="s">
        <v>102</v>
      </c>
      <c r="S563" s="46" t="s">
        <v>102</v>
      </c>
      <c r="T563" s="46" t="s">
        <v>192</v>
      </c>
      <c r="U563" s="51">
        <v>4</v>
      </c>
    </row>
    <row r="564" spans="2:21" ht="14.5" outlineLevel="2">
      <c r="B564" s="36" t="s">
        <v>2332</v>
      </c>
      <c r="C564" s="37" t="s">
        <v>2333</v>
      </c>
      <c r="D564" s="38" t="s">
        <v>102</v>
      </c>
      <c r="E564" s="39" t="s">
        <v>102</v>
      </c>
      <c r="F564" s="38" t="s">
        <v>102</v>
      </c>
      <c r="G564" s="39" t="s">
        <v>102</v>
      </c>
      <c r="H564" s="40">
        <v>0</v>
      </c>
      <c r="I564" s="40">
        <v>0</v>
      </c>
      <c r="J564" s="39" t="s">
        <v>102</v>
      </c>
      <c r="K564" s="41">
        <v>0</v>
      </c>
      <c r="L564" s="41" t="s">
        <v>102</v>
      </c>
      <c r="M564" s="38" t="s">
        <v>102</v>
      </c>
      <c r="N564" s="42">
        <v>0</v>
      </c>
      <c r="O564" s="42">
        <v>0</v>
      </c>
      <c r="P564" s="42">
        <v>0</v>
      </c>
      <c r="Q564" s="38" t="s">
        <v>102</v>
      </c>
      <c r="R564" s="38" t="s">
        <v>102</v>
      </c>
      <c r="S564" s="38" t="s">
        <v>2334</v>
      </c>
      <c r="T564" s="38" t="s">
        <v>102</v>
      </c>
      <c r="U564" s="43">
        <v>3</v>
      </c>
    </row>
    <row r="565" spans="2:21" ht="14.5" outlineLevel="3">
      <c r="B565" s="44" t="s">
        <v>2335</v>
      </c>
      <c r="C565" s="45" t="s">
        <v>2336</v>
      </c>
      <c r="D565" s="46" t="s">
        <v>469</v>
      </c>
      <c r="E565" s="47" t="s">
        <v>1315</v>
      </c>
      <c r="F565" s="46" t="s">
        <v>2337</v>
      </c>
      <c r="G565" s="47" t="s">
        <v>2338</v>
      </c>
      <c r="H565" s="48">
        <v>923052.29</v>
      </c>
      <c r="I565" s="48">
        <v>3</v>
      </c>
      <c r="J565" s="47" t="s">
        <v>115</v>
      </c>
      <c r="K565" s="49">
        <v>2</v>
      </c>
      <c r="L565" s="49" t="s">
        <v>116</v>
      </c>
      <c r="M565" s="46" t="s">
        <v>117</v>
      </c>
      <c r="N565" s="50">
        <v>0</v>
      </c>
      <c r="O565" s="50">
        <v>0</v>
      </c>
      <c r="P565" s="50">
        <v>0</v>
      </c>
      <c r="Q565" s="46" t="s">
        <v>102</v>
      </c>
      <c r="R565" s="46" t="s">
        <v>102</v>
      </c>
      <c r="S565" s="46" t="s">
        <v>102</v>
      </c>
      <c r="T565" s="46" t="s">
        <v>118</v>
      </c>
      <c r="U565" s="51">
        <v>4</v>
      </c>
    </row>
    <row r="566" spans="2:21" ht="14.5" outlineLevel="3">
      <c r="B566" s="44" t="s">
        <v>2339</v>
      </c>
      <c r="C566" s="45" t="s">
        <v>2340</v>
      </c>
      <c r="D566" s="46" t="s">
        <v>469</v>
      </c>
      <c r="E566" s="47" t="s">
        <v>1315</v>
      </c>
      <c r="F566" s="46" t="s">
        <v>2341</v>
      </c>
      <c r="G566" s="47" t="s">
        <v>2342</v>
      </c>
      <c r="H566" s="48">
        <v>1142456.33</v>
      </c>
      <c r="I566" s="48">
        <v>1</v>
      </c>
      <c r="J566" s="47" t="s">
        <v>115</v>
      </c>
      <c r="K566" s="49">
        <v>2</v>
      </c>
      <c r="L566" s="49" t="s">
        <v>116</v>
      </c>
      <c r="M566" s="46" t="s">
        <v>117</v>
      </c>
      <c r="N566" s="50">
        <v>0</v>
      </c>
      <c r="O566" s="50">
        <v>0</v>
      </c>
      <c r="P566" s="50">
        <v>0</v>
      </c>
      <c r="Q566" s="46" t="s">
        <v>102</v>
      </c>
      <c r="R566" s="46" t="s">
        <v>102</v>
      </c>
      <c r="S566" s="46" t="s">
        <v>102</v>
      </c>
      <c r="T566" s="46" t="s">
        <v>123</v>
      </c>
      <c r="U566" s="51">
        <v>4</v>
      </c>
    </row>
    <row r="567" spans="2:21" ht="14.5" outlineLevel="3">
      <c r="B567" s="44" t="s">
        <v>2343</v>
      </c>
      <c r="C567" s="45" t="s">
        <v>2344</v>
      </c>
      <c r="D567" s="46" t="s">
        <v>469</v>
      </c>
      <c r="E567" s="47" t="s">
        <v>1315</v>
      </c>
      <c r="F567" s="46" t="s">
        <v>2345</v>
      </c>
      <c r="G567" s="47" t="s">
        <v>2346</v>
      </c>
      <c r="H567" s="48">
        <v>703647.71</v>
      </c>
      <c r="I567" s="48">
        <v>1</v>
      </c>
      <c r="J567" s="47" t="s">
        <v>115</v>
      </c>
      <c r="K567" s="49">
        <v>2</v>
      </c>
      <c r="L567" s="49" t="s">
        <v>116</v>
      </c>
      <c r="M567" s="46" t="s">
        <v>117</v>
      </c>
      <c r="N567" s="50">
        <v>0</v>
      </c>
      <c r="O567" s="50">
        <v>0</v>
      </c>
      <c r="P567" s="50">
        <v>0</v>
      </c>
      <c r="Q567" s="46" t="s">
        <v>102</v>
      </c>
      <c r="R567" s="46" t="s">
        <v>102</v>
      </c>
      <c r="S567" s="46" t="s">
        <v>102</v>
      </c>
      <c r="T567" s="46" t="s">
        <v>128</v>
      </c>
      <c r="U567" s="51">
        <v>4</v>
      </c>
    </row>
    <row r="568" spans="2:21" ht="14.5" outlineLevel="3">
      <c r="B568" s="44" t="s">
        <v>2347</v>
      </c>
      <c r="C568" s="45" t="s">
        <v>2348</v>
      </c>
      <c r="D568" s="46" t="s">
        <v>469</v>
      </c>
      <c r="E568" s="47" t="s">
        <v>1315</v>
      </c>
      <c r="F568" s="46" t="s">
        <v>2349</v>
      </c>
      <c r="G568" s="47" t="s">
        <v>2350</v>
      </c>
      <c r="H568" s="48">
        <v>358236.11</v>
      </c>
      <c r="I568" s="48">
        <v>1</v>
      </c>
      <c r="J568" s="47" t="s">
        <v>115</v>
      </c>
      <c r="K568" s="49">
        <v>2</v>
      </c>
      <c r="L568" s="49" t="s">
        <v>116</v>
      </c>
      <c r="M568" s="46" t="s">
        <v>117</v>
      </c>
      <c r="N568" s="50">
        <v>0</v>
      </c>
      <c r="O568" s="50">
        <v>0</v>
      </c>
      <c r="P568" s="50">
        <v>0</v>
      </c>
      <c r="Q568" s="46" t="s">
        <v>102</v>
      </c>
      <c r="R568" s="46" t="s">
        <v>102</v>
      </c>
      <c r="S568" s="46" t="s">
        <v>102</v>
      </c>
      <c r="T568" s="46" t="s">
        <v>133</v>
      </c>
      <c r="U568" s="51">
        <v>4</v>
      </c>
    </row>
    <row r="569" spans="2:21" ht="14.5" outlineLevel="3">
      <c r="B569" s="44" t="s">
        <v>2351</v>
      </c>
      <c r="C569" s="45" t="s">
        <v>2352</v>
      </c>
      <c r="D569" s="46" t="s">
        <v>469</v>
      </c>
      <c r="E569" s="47" t="s">
        <v>1315</v>
      </c>
      <c r="F569" s="46" t="s">
        <v>2353</v>
      </c>
      <c r="G569" s="47" t="s">
        <v>2354</v>
      </c>
      <c r="H569" s="48">
        <v>3088709.93</v>
      </c>
      <c r="I569" s="48">
        <v>1</v>
      </c>
      <c r="J569" s="47" t="s">
        <v>115</v>
      </c>
      <c r="K569" s="49">
        <v>2</v>
      </c>
      <c r="L569" s="49" t="s">
        <v>116</v>
      </c>
      <c r="M569" s="46" t="s">
        <v>117</v>
      </c>
      <c r="N569" s="50">
        <v>0</v>
      </c>
      <c r="O569" s="50">
        <v>0</v>
      </c>
      <c r="P569" s="50">
        <v>0</v>
      </c>
      <c r="Q569" s="46" t="s">
        <v>102</v>
      </c>
      <c r="R569" s="46" t="s">
        <v>102</v>
      </c>
      <c r="S569" s="46" t="s">
        <v>102</v>
      </c>
      <c r="T569" s="46" t="s">
        <v>138</v>
      </c>
      <c r="U569" s="51">
        <v>4</v>
      </c>
    </row>
    <row r="570" spans="2:21" ht="14.5" outlineLevel="3">
      <c r="B570" s="44" t="s">
        <v>2355</v>
      </c>
      <c r="C570" s="45" t="s">
        <v>2356</v>
      </c>
      <c r="D570" s="46" t="s">
        <v>469</v>
      </c>
      <c r="E570" s="47" t="s">
        <v>1315</v>
      </c>
      <c r="F570" s="46" t="s">
        <v>2357</v>
      </c>
      <c r="G570" s="47" t="s">
        <v>2358</v>
      </c>
      <c r="H570" s="48">
        <v>48833.42</v>
      </c>
      <c r="I570" s="48">
        <v>3</v>
      </c>
      <c r="J570" s="47" t="s">
        <v>115</v>
      </c>
      <c r="K570" s="49">
        <v>2</v>
      </c>
      <c r="L570" s="49" t="s">
        <v>116</v>
      </c>
      <c r="M570" s="46" t="s">
        <v>117</v>
      </c>
      <c r="N570" s="50">
        <v>0</v>
      </c>
      <c r="O570" s="50">
        <v>0</v>
      </c>
      <c r="P570" s="50">
        <v>0</v>
      </c>
      <c r="Q570" s="46" t="s">
        <v>102</v>
      </c>
      <c r="R570" s="46" t="s">
        <v>102</v>
      </c>
      <c r="S570" s="46" t="s">
        <v>102</v>
      </c>
      <c r="T570" s="46" t="s">
        <v>143</v>
      </c>
      <c r="U570" s="51">
        <v>4</v>
      </c>
    </row>
    <row r="571" spans="2:21" ht="14.5" outlineLevel="3">
      <c r="B571" s="44" t="s">
        <v>2359</v>
      </c>
      <c r="C571" s="45" t="s">
        <v>2360</v>
      </c>
      <c r="D571" s="46" t="s">
        <v>469</v>
      </c>
      <c r="E571" s="47" t="s">
        <v>1315</v>
      </c>
      <c r="F571" s="46" t="s">
        <v>2361</v>
      </c>
      <c r="G571" s="47" t="s">
        <v>2362</v>
      </c>
      <c r="H571" s="48">
        <v>81389.03</v>
      </c>
      <c r="I571" s="48">
        <v>1</v>
      </c>
      <c r="J571" s="47" t="s">
        <v>115</v>
      </c>
      <c r="K571" s="49">
        <v>2</v>
      </c>
      <c r="L571" s="49" t="s">
        <v>116</v>
      </c>
      <c r="M571" s="46" t="s">
        <v>117</v>
      </c>
      <c r="N571" s="50">
        <v>0</v>
      </c>
      <c r="O571" s="50">
        <v>0</v>
      </c>
      <c r="P571" s="50">
        <v>0</v>
      </c>
      <c r="Q571" s="46" t="s">
        <v>102</v>
      </c>
      <c r="R571" s="46" t="s">
        <v>102</v>
      </c>
      <c r="S571" s="46" t="s">
        <v>102</v>
      </c>
      <c r="T571" s="46" t="s">
        <v>176</v>
      </c>
      <c r="U571" s="51">
        <v>4</v>
      </c>
    </row>
    <row r="572" spans="2:21" ht="14.5" outlineLevel="3">
      <c r="B572" s="44" t="s">
        <v>2363</v>
      </c>
      <c r="C572" s="45" t="s">
        <v>2364</v>
      </c>
      <c r="D572" s="46" t="s">
        <v>469</v>
      </c>
      <c r="E572" s="47" t="s">
        <v>1315</v>
      </c>
      <c r="F572" s="46" t="s">
        <v>2365</v>
      </c>
      <c r="G572" s="47" t="s">
        <v>2366</v>
      </c>
      <c r="H572" s="48">
        <v>81389.03</v>
      </c>
      <c r="I572" s="48">
        <v>1</v>
      </c>
      <c r="J572" s="47" t="s">
        <v>115</v>
      </c>
      <c r="K572" s="49">
        <v>2</v>
      </c>
      <c r="L572" s="49" t="s">
        <v>116</v>
      </c>
      <c r="M572" s="46" t="s">
        <v>117</v>
      </c>
      <c r="N572" s="50">
        <v>0</v>
      </c>
      <c r="O572" s="50">
        <v>0</v>
      </c>
      <c r="P572" s="50">
        <v>0</v>
      </c>
      <c r="Q572" s="46" t="s">
        <v>102</v>
      </c>
      <c r="R572" s="46" t="s">
        <v>102</v>
      </c>
      <c r="S572" s="46" t="s">
        <v>102</v>
      </c>
      <c r="T572" s="46" t="s">
        <v>182</v>
      </c>
      <c r="U572" s="51">
        <v>4</v>
      </c>
    </row>
    <row r="573" spans="2:21" ht="14.5" outlineLevel="3">
      <c r="B573" s="44" t="s">
        <v>2367</v>
      </c>
      <c r="C573" s="45" t="s">
        <v>2368</v>
      </c>
      <c r="D573" s="46" t="s">
        <v>469</v>
      </c>
      <c r="E573" s="47" t="s">
        <v>1315</v>
      </c>
      <c r="F573" s="46" t="s">
        <v>2369</v>
      </c>
      <c r="G573" s="47" t="s">
        <v>2370</v>
      </c>
      <c r="H573" s="48">
        <v>81389.03</v>
      </c>
      <c r="I573" s="48">
        <v>1</v>
      </c>
      <c r="J573" s="47" t="s">
        <v>115</v>
      </c>
      <c r="K573" s="49">
        <v>2</v>
      </c>
      <c r="L573" s="49" t="s">
        <v>116</v>
      </c>
      <c r="M573" s="46" t="s">
        <v>117</v>
      </c>
      <c r="N573" s="50">
        <v>0</v>
      </c>
      <c r="O573" s="50">
        <v>0</v>
      </c>
      <c r="P573" s="50">
        <v>0</v>
      </c>
      <c r="Q573" s="46" t="s">
        <v>102</v>
      </c>
      <c r="R573" s="46" t="s">
        <v>102</v>
      </c>
      <c r="S573" s="46" t="s">
        <v>102</v>
      </c>
      <c r="T573" s="46" t="s">
        <v>187</v>
      </c>
      <c r="U573" s="51">
        <v>4</v>
      </c>
    </row>
    <row r="574" spans="2:21" ht="14.5" outlineLevel="3">
      <c r="B574" s="44" t="s">
        <v>2371</v>
      </c>
      <c r="C574" s="45" t="s">
        <v>2372</v>
      </c>
      <c r="D574" s="46" t="s">
        <v>469</v>
      </c>
      <c r="E574" s="47" t="s">
        <v>1315</v>
      </c>
      <c r="F574" s="46" t="s">
        <v>2373</v>
      </c>
      <c r="G574" s="47" t="s">
        <v>2374</v>
      </c>
      <c r="H574" s="48">
        <v>312520.03000000003</v>
      </c>
      <c r="I574" s="48">
        <v>1</v>
      </c>
      <c r="J574" s="47" t="s">
        <v>115</v>
      </c>
      <c r="K574" s="49">
        <v>2</v>
      </c>
      <c r="L574" s="49" t="s">
        <v>116</v>
      </c>
      <c r="M574" s="46" t="s">
        <v>117</v>
      </c>
      <c r="N574" s="50">
        <v>0</v>
      </c>
      <c r="O574" s="50">
        <v>0</v>
      </c>
      <c r="P574" s="50">
        <v>0</v>
      </c>
      <c r="Q574" s="46" t="s">
        <v>102</v>
      </c>
      <c r="R574" s="46" t="s">
        <v>102</v>
      </c>
      <c r="S574" s="46" t="s">
        <v>102</v>
      </c>
      <c r="T574" s="46" t="s">
        <v>259</v>
      </c>
      <c r="U574" s="51">
        <v>4</v>
      </c>
    </row>
    <row r="575" spans="2:21" ht="14.5" outlineLevel="3">
      <c r="B575" s="44" t="s">
        <v>2375</v>
      </c>
      <c r="C575" s="45" t="s">
        <v>2376</v>
      </c>
      <c r="D575" s="46" t="s">
        <v>469</v>
      </c>
      <c r="E575" s="47" t="s">
        <v>1315</v>
      </c>
      <c r="F575" s="46" t="s">
        <v>2377</v>
      </c>
      <c r="G575" s="47" t="s">
        <v>2378</v>
      </c>
      <c r="H575" s="48">
        <v>156260.01999999999</v>
      </c>
      <c r="I575" s="48">
        <v>1</v>
      </c>
      <c r="J575" s="47" t="s">
        <v>115</v>
      </c>
      <c r="K575" s="49">
        <v>2</v>
      </c>
      <c r="L575" s="49" t="s">
        <v>116</v>
      </c>
      <c r="M575" s="46" t="s">
        <v>117</v>
      </c>
      <c r="N575" s="50">
        <v>0</v>
      </c>
      <c r="O575" s="50">
        <v>0</v>
      </c>
      <c r="P575" s="50">
        <v>0</v>
      </c>
      <c r="Q575" s="46" t="s">
        <v>102</v>
      </c>
      <c r="R575" s="46" t="s">
        <v>102</v>
      </c>
      <c r="S575" s="46" t="s">
        <v>102</v>
      </c>
      <c r="T575" s="46" t="s">
        <v>192</v>
      </c>
      <c r="U575" s="51">
        <v>4</v>
      </c>
    </row>
    <row r="576" spans="2:21" ht="14.5" outlineLevel="3">
      <c r="B576" s="44" t="s">
        <v>2379</v>
      </c>
      <c r="C576" s="45" t="s">
        <v>2380</v>
      </c>
      <c r="D576" s="46" t="s">
        <v>469</v>
      </c>
      <c r="E576" s="47" t="s">
        <v>1315</v>
      </c>
      <c r="F576" s="46" t="s">
        <v>2381</v>
      </c>
      <c r="G576" s="47" t="s">
        <v>2382</v>
      </c>
      <c r="H576" s="48">
        <v>144462.81</v>
      </c>
      <c r="I576" s="48">
        <v>2</v>
      </c>
      <c r="J576" s="47" t="s">
        <v>115</v>
      </c>
      <c r="K576" s="49">
        <v>2</v>
      </c>
      <c r="L576" s="49" t="s">
        <v>116</v>
      </c>
      <c r="M576" s="46" t="s">
        <v>117</v>
      </c>
      <c r="N576" s="50">
        <v>0</v>
      </c>
      <c r="O576" s="50">
        <v>0</v>
      </c>
      <c r="P576" s="50">
        <v>0</v>
      </c>
      <c r="Q576" s="46" t="s">
        <v>102</v>
      </c>
      <c r="R576" s="46" t="s">
        <v>102</v>
      </c>
      <c r="S576" s="46" t="s">
        <v>102</v>
      </c>
      <c r="T576" s="46" t="s">
        <v>615</v>
      </c>
      <c r="U576" s="51">
        <v>4</v>
      </c>
    </row>
    <row r="577" spans="2:21" ht="14.5" outlineLevel="3">
      <c r="B577" s="44" t="s">
        <v>2383</v>
      </c>
      <c r="C577" s="45" t="s">
        <v>2384</v>
      </c>
      <c r="D577" s="46" t="s">
        <v>469</v>
      </c>
      <c r="E577" s="47" t="s">
        <v>1315</v>
      </c>
      <c r="F577" s="46" t="s">
        <v>2385</v>
      </c>
      <c r="G577" s="47" t="s">
        <v>2386</v>
      </c>
      <c r="H577" s="48">
        <v>121580.55</v>
      </c>
      <c r="I577" s="48">
        <v>1</v>
      </c>
      <c r="J577" s="47" t="s">
        <v>115</v>
      </c>
      <c r="K577" s="49">
        <v>2</v>
      </c>
      <c r="L577" s="49" t="s">
        <v>116</v>
      </c>
      <c r="M577" s="46" t="s">
        <v>117</v>
      </c>
      <c r="N577" s="50">
        <v>0</v>
      </c>
      <c r="O577" s="50">
        <v>0</v>
      </c>
      <c r="P577" s="50">
        <v>0</v>
      </c>
      <c r="Q577" s="46" t="s">
        <v>102</v>
      </c>
      <c r="R577" s="46" t="s">
        <v>102</v>
      </c>
      <c r="S577" s="46" t="s">
        <v>102</v>
      </c>
      <c r="T577" s="46" t="s">
        <v>268</v>
      </c>
      <c r="U577" s="51">
        <v>4</v>
      </c>
    </row>
    <row r="578" spans="2:21" ht="14.5" outlineLevel="3">
      <c r="B578" s="44" t="s">
        <v>2387</v>
      </c>
      <c r="C578" s="45" t="s">
        <v>2388</v>
      </c>
      <c r="D578" s="46" t="s">
        <v>469</v>
      </c>
      <c r="E578" s="47" t="s">
        <v>1315</v>
      </c>
      <c r="F578" s="46" t="s">
        <v>2389</v>
      </c>
      <c r="G578" s="47" t="s">
        <v>2390</v>
      </c>
      <c r="H578" s="48">
        <v>81389.03</v>
      </c>
      <c r="I578" s="48">
        <v>1</v>
      </c>
      <c r="J578" s="47" t="s">
        <v>115</v>
      </c>
      <c r="K578" s="49">
        <v>2</v>
      </c>
      <c r="L578" s="49" t="s">
        <v>116</v>
      </c>
      <c r="M578" s="46" t="s">
        <v>117</v>
      </c>
      <c r="N578" s="50">
        <v>0</v>
      </c>
      <c r="O578" s="50">
        <v>0</v>
      </c>
      <c r="P578" s="50">
        <v>0</v>
      </c>
      <c r="Q578" s="46" t="s">
        <v>102</v>
      </c>
      <c r="R578" s="46" t="s">
        <v>102</v>
      </c>
      <c r="S578" s="46" t="s">
        <v>102</v>
      </c>
      <c r="T578" s="46" t="s">
        <v>273</v>
      </c>
      <c r="U578" s="51">
        <v>4</v>
      </c>
    </row>
    <row r="579" spans="2:21" ht="14.5" outlineLevel="3">
      <c r="B579" s="44" t="s">
        <v>2391</v>
      </c>
      <c r="C579" s="45" t="s">
        <v>2392</v>
      </c>
      <c r="D579" s="46" t="s">
        <v>469</v>
      </c>
      <c r="E579" s="47" t="s">
        <v>1315</v>
      </c>
      <c r="F579" s="46" t="s">
        <v>2393</v>
      </c>
      <c r="G579" s="47" t="s">
        <v>2394</v>
      </c>
      <c r="H579" s="48">
        <v>81389.03</v>
      </c>
      <c r="I579" s="48">
        <v>1</v>
      </c>
      <c r="J579" s="47" t="s">
        <v>115</v>
      </c>
      <c r="K579" s="49">
        <v>2</v>
      </c>
      <c r="L579" s="49" t="s">
        <v>116</v>
      </c>
      <c r="M579" s="46" t="s">
        <v>117</v>
      </c>
      <c r="N579" s="50">
        <v>0</v>
      </c>
      <c r="O579" s="50">
        <v>0</v>
      </c>
      <c r="P579" s="50">
        <v>0</v>
      </c>
      <c r="Q579" s="46" t="s">
        <v>102</v>
      </c>
      <c r="R579" s="46" t="s">
        <v>102</v>
      </c>
      <c r="S579" s="46" t="s">
        <v>102</v>
      </c>
      <c r="T579" s="46" t="s">
        <v>198</v>
      </c>
      <c r="U579" s="51">
        <v>4</v>
      </c>
    </row>
    <row r="580" spans="2:21" ht="14.5" outlineLevel="3">
      <c r="B580" s="44" t="s">
        <v>2395</v>
      </c>
      <c r="C580" s="45" t="s">
        <v>2396</v>
      </c>
      <c r="D580" s="46" t="s">
        <v>469</v>
      </c>
      <c r="E580" s="47" t="s">
        <v>1315</v>
      </c>
      <c r="F580" s="46" t="s">
        <v>2397</v>
      </c>
      <c r="G580" s="47" t="s">
        <v>2398</v>
      </c>
      <c r="H580" s="48">
        <v>81389.03</v>
      </c>
      <c r="I580" s="48">
        <v>1</v>
      </c>
      <c r="J580" s="47" t="s">
        <v>115</v>
      </c>
      <c r="K580" s="49">
        <v>2</v>
      </c>
      <c r="L580" s="49" t="s">
        <v>116</v>
      </c>
      <c r="M580" s="46" t="s">
        <v>117</v>
      </c>
      <c r="N580" s="50">
        <v>0</v>
      </c>
      <c r="O580" s="50">
        <v>0</v>
      </c>
      <c r="P580" s="50">
        <v>0</v>
      </c>
      <c r="Q580" s="46" t="s">
        <v>102</v>
      </c>
      <c r="R580" s="46" t="s">
        <v>102</v>
      </c>
      <c r="S580" s="46" t="s">
        <v>102</v>
      </c>
      <c r="T580" s="46" t="s">
        <v>283</v>
      </c>
      <c r="U580" s="51">
        <v>4</v>
      </c>
    </row>
    <row r="581" spans="2:21" ht="14.5" outlineLevel="3">
      <c r="B581" s="44" t="s">
        <v>2399</v>
      </c>
      <c r="C581" s="45" t="s">
        <v>2400</v>
      </c>
      <c r="D581" s="46" t="s">
        <v>469</v>
      </c>
      <c r="E581" s="47" t="s">
        <v>1315</v>
      </c>
      <c r="F581" s="46" t="s">
        <v>2401</v>
      </c>
      <c r="G581" s="47" t="s">
        <v>2402</v>
      </c>
      <c r="H581" s="48">
        <v>637099.29</v>
      </c>
      <c r="I581" s="48">
        <v>1</v>
      </c>
      <c r="J581" s="47" t="s">
        <v>115</v>
      </c>
      <c r="K581" s="49">
        <v>2</v>
      </c>
      <c r="L581" s="49" t="s">
        <v>116</v>
      </c>
      <c r="M581" s="46" t="s">
        <v>117</v>
      </c>
      <c r="N581" s="50">
        <v>0</v>
      </c>
      <c r="O581" s="50">
        <v>0</v>
      </c>
      <c r="P581" s="50">
        <v>0</v>
      </c>
      <c r="Q581" s="46" t="s">
        <v>102</v>
      </c>
      <c r="R581" s="46" t="s">
        <v>102</v>
      </c>
      <c r="S581" s="46" t="s">
        <v>102</v>
      </c>
      <c r="T581" s="46" t="s">
        <v>288</v>
      </c>
      <c r="U581" s="51">
        <v>4</v>
      </c>
    </row>
    <row r="582" spans="2:21" ht="14.5" outlineLevel="3">
      <c r="B582" s="44" t="s">
        <v>2403</v>
      </c>
      <c r="C582" s="45" t="s">
        <v>2404</v>
      </c>
      <c r="D582" s="46" t="s">
        <v>469</v>
      </c>
      <c r="E582" s="47" t="s">
        <v>1315</v>
      </c>
      <c r="F582" s="46" t="s">
        <v>2405</v>
      </c>
      <c r="G582" s="47" t="s">
        <v>2406</v>
      </c>
      <c r="H582" s="48">
        <v>236719.89</v>
      </c>
      <c r="I582" s="48">
        <v>2</v>
      </c>
      <c r="J582" s="47" t="s">
        <v>115</v>
      </c>
      <c r="K582" s="49">
        <v>2</v>
      </c>
      <c r="L582" s="49" t="s">
        <v>116</v>
      </c>
      <c r="M582" s="46" t="s">
        <v>117</v>
      </c>
      <c r="N582" s="50">
        <v>0</v>
      </c>
      <c r="O582" s="50">
        <v>0</v>
      </c>
      <c r="P582" s="50">
        <v>0</v>
      </c>
      <c r="Q582" s="46" t="s">
        <v>102</v>
      </c>
      <c r="R582" s="46" t="s">
        <v>102</v>
      </c>
      <c r="S582" s="46" t="s">
        <v>102</v>
      </c>
      <c r="T582" s="46" t="s">
        <v>203</v>
      </c>
      <c r="U582" s="51">
        <v>4</v>
      </c>
    </row>
    <row r="583" spans="2:21" ht="14.5" outlineLevel="3">
      <c r="B583" s="44" t="s">
        <v>2407</v>
      </c>
      <c r="C583" s="45" t="s">
        <v>2408</v>
      </c>
      <c r="D583" s="46" t="s">
        <v>469</v>
      </c>
      <c r="E583" s="47" t="s">
        <v>1315</v>
      </c>
      <c r="F583" s="46" t="s">
        <v>2409</v>
      </c>
      <c r="G583" s="47" t="s">
        <v>2410</v>
      </c>
      <c r="H583" s="48">
        <v>388883.53</v>
      </c>
      <c r="I583" s="48">
        <v>1</v>
      </c>
      <c r="J583" s="47" t="s">
        <v>115</v>
      </c>
      <c r="K583" s="49">
        <v>2</v>
      </c>
      <c r="L583" s="49" t="s">
        <v>116</v>
      </c>
      <c r="M583" s="46" t="s">
        <v>117</v>
      </c>
      <c r="N583" s="50">
        <v>0</v>
      </c>
      <c r="O583" s="50">
        <v>0</v>
      </c>
      <c r="P583" s="50">
        <v>0</v>
      </c>
      <c r="Q583" s="46" t="s">
        <v>102</v>
      </c>
      <c r="R583" s="46" t="s">
        <v>102</v>
      </c>
      <c r="S583" s="46" t="s">
        <v>102</v>
      </c>
      <c r="T583" s="46" t="s">
        <v>298</v>
      </c>
      <c r="U583" s="51">
        <v>4</v>
      </c>
    </row>
    <row r="584" spans="2:21" ht="14.5" outlineLevel="3">
      <c r="B584" s="44" t="s">
        <v>2411</v>
      </c>
      <c r="C584" s="45" t="s">
        <v>2412</v>
      </c>
      <c r="D584" s="46" t="s">
        <v>469</v>
      </c>
      <c r="E584" s="47" t="s">
        <v>1315</v>
      </c>
      <c r="F584" s="46" t="s">
        <v>2413</v>
      </c>
      <c r="G584" s="47" t="s">
        <v>2414</v>
      </c>
      <c r="H584" s="48">
        <v>23711.39</v>
      </c>
      <c r="I584" s="48">
        <v>1</v>
      </c>
      <c r="J584" s="47" t="s">
        <v>115</v>
      </c>
      <c r="K584" s="49">
        <v>2</v>
      </c>
      <c r="L584" s="49" t="s">
        <v>116</v>
      </c>
      <c r="M584" s="46" t="s">
        <v>117</v>
      </c>
      <c r="N584" s="50">
        <v>0</v>
      </c>
      <c r="O584" s="50">
        <v>0</v>
      </c>
      <c r="P584" s="50">
        <v>0</v>
      </c>
      <c r="Q584" s="46" t="s">
        <v>102</v>
      </c>
      <c r="R584" s="46" t="s">
        <v>102</v>
      </c>
      <c r="S584" s="46" t="s">
        <v>102</v>
      </c>
      <c r="T584" s="46" t="s">
        <v>418</v>
      </c>
      <c r="U584" s="51">
        <v>4</v>
      </c>
    </row>
    <row r="585" spans="2:21" ht="14.5" outlineLevel="3">
      <c r="B585" s="44" t="s">
        <v>2415</v>
      </c>
      <c r="C585" s="45" t="s">
        <v>2416</v>
      </c>
      <c r="D585" s="46" t="s">
        <v>469</v>
      </c>
      <c r="E585" s="47" t="s">
        <v>1315</v>
      </c>
      <c r="F585" s="46" t="s">
        <v>2417</v>
      </c>
      <c r="G585" s="47" t="s">
        <v>2418</v>
      </c>
      <c r="H585" s="48">
        <v>63472.28</v>
      </c>
      <c r="I585" s="48">
        <v>1</v>
      </c>
      <c r="J585" s="47" t="s">
        <v>115</v>
      </c>
      <c r="K585" s="49">
        <v>2</v>
      </c>
      <c r="L585" s="49" t="s">
        <v>116</v>
      </c>
      <c r="M585" s="46" t="s">
        <v>117</v>
      </c>
      <c r="N585" s="50">
        <v>0</v>
      </c>
      <c r="O585" s="50">
        <v>0</v>
      </c>
      <c r="P585" s="50">
        <v>0</v>
      </c>
      <c r="Q585" s="46" t="s">
        <v>102</v>
      </c>
      <c r="R585" s="46" t="s">
        <v>102</v>
      </c>
      <c r="S585" s="46" t="s">
        <v>102</v>
      </c>
      <c r="T585" s="46" t="s">
        <v>208</v>
      </c>
      <c r="U585" s="51">
        <v>4</v>
      </c>
    </row>
    <row r="586" spans="2:21" ht="14.5" outlineLevel="3">
      <c r="B586" s="44" t="s">
        <v>2419</v>
      </c>
      <c r="C586" s="45" t="s">
        <v>2420</v>
      </c>
      <c r="D586" s="46" t="s">
        <v>469</v>
      </c>
      <c r="E586" s="47" t="s">
        <v>1315</v>
      </c>
      <c r="F586" s="46" t="s">
        <v>2421</v>
      </c>
      <c r="G586" s="47" t="s">
        <v>2422</v>
      </c>
      <c r="H586" s="48">
        <v>23711.39</v>
      </c>
      <c r="I586" s="48">
        <v>1</v>
      </c>
      <c r="J586" s="47" t="s">
        <v>115</v>
      </c>
      <c r="K586" s="49">
        <v>2</v>
      </c>
      <c r="L586" s="49" t="s">
        <v>116</v>
      </c>
      <c r="M586" s="46" t="s">
        <v>117</v>
      </c>
      <c r="N586" s="50">
        <v>0</v>
      </c>
      <c r="O586" s="50">
        <v>0</v>
      </c>
      <c r="P586" s="50">
        <v>0</v>
      </c>
      <c r="Q586" s="46" t="s">
        <v>102</v>
      </c>
      <c r="R586" s="46" t="s">
        <v>102</v>
      </c>
      <c r="S586" s="46" t="s">
        <v>102</v>
      </c>
      <c r="T586" s="46" t="s">
        <v>303</v>
      </c>
      <c r="U586" s="51">
        <v>4</v>
      </c>
    </row>
    <row r="587" spans="2:21" ht="14.5" outlineLevel="3">
      <c r="B587" s="44" t="s">
        <v>2423</v>
      </c>
      <c r="C587" s="45" t="s">
        <v>2424</v>
      </c>
      <c r="D587" s="46" t="s">
        <v>469</v>
      </c>
      <c r="E587" s="47" t="s">
        <v>1315</v>
      </c>
      <c r="F587" s="46" t="s">
        <v>2425</v>
      </c>
      <c r="G587" s="47" t="s">
        <v>2426</v>
      </c>
      <c r="H587" s="48">
        <v>160637.97</v>
      </c>
      <c r="I587" s="48">
        <v>1</v>
      </c>
      <c r="J587" s="47" t="s">
        <v>115</v>
      </c>
      <c r="K587" s="49">
        <v>2</v>
      </c>
      <c r="L587" s="49" t="s">
        <v>116</v>
      </c>
      <c r="M587" s="46" t="s">
        <v>117</v>
      </c>
      <c r="N587" s="50">
        <v>0</v>
      </c>
      <c r="O587" s="50">
        <v>0</v>
      </c>
      <c r="P587" s="50">
        <v>0</v>
      </c>
      <c r="Q587" s="46" t="s">
        <v>102</v>
      </c>
      <c r="R587" s="46" t="s">
        <v>102</v>
      </c>
      <c r="S587" s="46" t="s">
        <v>102</v>
      </c>
      <c r="T587" s="46" t="s">
        <v>213</v>
      </c>
      <c r="U587" s="51">
        <v>4</v>
      </c>
    </row>
    <row r="588" spans="2:21" ht="14.5" outlineLevel="3">
      <c r="B588" s="44" t="s">
        <v>2427</v>
      </c>
      <c r="C588" s="45" t="s">
        <v>2428</v>
      </c>
      <c r="D588" s="46" t="s">
        <v>469</v>
      </c>
      <c r="E588" s="47" t="s">
        <v>1315</v>
      </c>
      <c r="F588" s="46" t="s">
        <v>2429</v>
      </c>
      <c r="G588" s="47" t="s">
        <v>2430</v>
      </c>
      <c r="H588" s="48">
        <v>122596.93</v>
      </c>
      <c r="I588" s="48">
        <v>2</v>
      </c>
      <c r="J588" s="47" t="s">
        <v>115</v>
      </c>
      <c r="K588" s="49">
        <v>2</v>
      </c>
      <c r="L588" s="49" t="s">
        <v>116</v>
      </c>
      <c r="M588" s="46" t="s">
        <v>117</v>
      </c>
      <c r="N588" s="50">
        <v>0</v>
      </c>
      <c r="O588" s="50">
        <v>0</v>
      </c>
      <c r="P588" s="50">
        <v>0</v>
      </c>
      <c r="Q588" s="46" t="s">
        <v>102</v>
      </c>
      <c r="R588" s="46" t="s">
        <v>102</v>
      </c>
      <c r="S588" s="46" t="s">
        <v>102</v>
      </c>
      <c r="T588" s="46" t="s">
        <v>658</v>
      </c>
      <c r="U588" s="51">
        <v>4</v>
      </c>
    </row>
    <row r="589" spans="2:21" ht="14.5" outlineLevel="2">
      <c r="B589" s="36" t="s">
        <v>2431</v>
      </c>
      <c r="C589" s="37" t="s">
        <v>2432</v>
      </c>
      <c r="D589" s="38" t="s">
        <v>102</v>
      </c>
      <c r="E589" s="39" t="s">
        <v>102</v>
      </c>
      <c r="F589" s="38" t="s">
        <v>102</v>
      </c>
      <c r="G589" s="39" t="s">
        <v>102</v>
      </c>
      <c r="H589" s="40">
        <v>0</v>
      </c>
      <c r="I589" s="40">
        <v>0</v>
      </c>
      <c r="J589" s="39" t="s">
        <v>102</v>
      </c>
      <c r="K589" s="41">
        <v>0</v>
      </c>
      <c r="L589" s="41" t="s">
        <v>102</v>
      </c>
      <c r="M589" s="38" t="s">
        <v>102</v>
      </c>
      <c r="N589" s="42">
        <v>0</v>
      </c>
      <c r="O589" s="42">
        <v>0</v>
      </c>
      <c r="P589" s="42">
        <v>0</v>
      </c>
      <c r="Q589" s="38" t="s">
        <v>102</v>
      </c>
      <c r="R589" s="38" t="s">
        <v>102</v>
      </c>
      <c r="S589" s="38" t="s">
        <v>2433</v>
      </c>
      <c r="T589" s="38" t="s">
        <v>102</v>
      </c>
      <c r="U589" s="43">
        <v>3</v>
      </c>
    </row>
    <row r="590" spans="2:21" ht="14.5" outlineLevel="3">
      <c r="B590" s="44" t="s">
        <v>2434</v>
      </c>
      <c r="C590" s="45" t="s">
        <v>2435</v>
      </c>
      <c r="D590" s="46" t="s">
        <v>469</v>
      </c>
      <c r="E590" s="47" t="s">
        <v>1315</v>
      </c>
      <c r="F590" s="46" t="s">
        <v>2436</v>
      </c>
      <c r="G590" s="47" t="s">
        <v>2437</v>
      </c>
      <c r="H590" s="48">
        <v>16984.79</v>
      </c>
      <c r="I590" s="48">
        <v>1</v>
      </c>
      <c r="J590" s="47" t="s">
        <v>115</v>
      </c>
      <c r="K590" s="49">
        <v>2</v>
      </c>
      <c r="L590" s="49" t="s">
        <v>116</v>
      </c>
      <c r="M590" s="46" t="s">
        <v>117</v>
      </c>
      <c r="N590" s="50">
        <v>0</v>
      </c>
      <c r="O590" s="50">
        <v>0</v>
      </c>
      <c r="P590" s="50">
        <v>0</v>
      </c>
      <c r="Q590" s="46" t="s">
        <v>102</v>
      </c>
      <c r="R590" s="46" t="s">
        <v>102</v>
      </c>
      <c r="S590" s="46" t="s">
        <v>102</v>
      </c>
      <c r="T590" s="46" t="s">
        <v>118</v>
      </c>
      <c r="U590" s="51">
        <v>4</v>
      </c>
    </row>
    <row r="591" spans="2:21" ht="14.5" outlineLevel="3">
      <c r="B591" s="44" t="s">
        <v>2438</v>
      </c>
      <c r="C591" s="45" t="s">
        <v>2439</v>
      </c>
      <c r="D591" s="46" t="s">
        <v>469</v>
      </c>
      <c r="E591" s="47" t="s">
        <v>1315</v>
      </c>
      <c r="F591" s="46" t="s">
        <v>2440</v>
      </c>
      <c r="G591" s="47" t="s">
        <v>2441</v>
      </c>
      <c r="H591" s="48">
        <v>312520.03000000003</v>
      </c>
      <c r="I591" s="48">
        <v>1</v>
      </c>
      <c r="J591" s="47" t="s">
        <v>115</v>
      </c>
      <c r="K591" s="49">
        <v>2</v>
      </c>
      <c r="L591" s="49" t="s">
        <v>116</v>
      </c>
      <c r="M591" s="46" t="s">
        <v>117</v>
      </c>
      <c r="N591" s="50">
        <v>0</v>
      </c>
      <c r="O591" s="50">
        <v>0</v>
      </c>
      <c r="P591" s="50">
        <v>0</v>
      </c>
      <c r="Q591" s="46" t="s">
        <v>102</v>
      </c>
      <c r="R591" s="46" t="s">
        <v>102</v>
      </c>
      <c r="S591" s="46" t="s">
        <v>102</v>
      </c>
      <c r="T591" s="46" t="s">
        <v>123</v>
      </c>
      <c r="U591" s="51">
        <v>4</v>
      </c>
    </row>
    <row r="592" spans="2:21" ht="14.5" outlineLevel="3">
      <c r="B592" s="44" t="s">
        <v>2442</v>
      </c>
      <c r="C592" s="45" t="s">
        <v>2443</v>
      </c>
      <c r="D592" s="46" t="s">
        <v>469</v>
      </c>
      <c r="E592" s="47" t="s">
        <v>1315</v>
      </c>
      <c r="F592" s="46" t="s">
        <v>2444</v>
      </c>
      <c r="G592" s="47" t="s">
        <v>2445</v>
      </c>
      <c r="H592" s="48">
        <v>20110.830000000002</v>
      </c>
      <c r="I592" s="48">
        <v>1</v>
      </c>
      <c r="J592" s="47" t="s">
        <v>115</v>
      </c>
      <c r="K592" s="49">
        <v>2</v>
      </c>
      <c r="L592" s="49" t="s">
        <v>116</v>
      </c>
      <c r="M592" s="46" t="s">
        <v>117</v>
      </c>
      <c r="N592" s="50">
        <v>0</v>
      </c>
      <c r="O592" s="50">
        <v>0</v>
      </c>
      <c r="P592" s="50">
        <v>0</v>
      </c>
      <c r="Q592" s="46" t="s">
        <v>102</v>
      </c>
      <c r="R592" s="46" t="s">
        <v>102</v>
      </c>
      <c r="S592" s="46" t="s">
        <v>102</v>
      </c>
      <c r="T592" s="46" t="s">
        <v>128</v>
      </c>
      <c r="U592" s="51">
        <v>4</v>
      </c>
    </row>
    <row r="593" spans="2:21" ht="14.5" outlineLevel="3">
      <c r="B593" s="44" t="s">
        <v>2446</v>
      </c>
      <c r="C593" s="45" t="s">
        <v>2447</v>
      </c>
      <c r="D593" s="46" t="s">
        <v>469</v>
      </c>
      <c r="E593" s="47" t="s">
        <v>1315</v>
      </c>
      <c r="F593" s="46" t="s">
        <v>2448</v>
      </c>
      <c r="G593" s="47" t="s">
        <v>2449</v>
      </c>
      <c r="H593" s="48">
        <v>16984.79</v>
      </c>
      <c r="I593" s="48">
        <v>1</v>
      </c>
      <c r="J593" s="47" t="s">
        <v>115</v>
      </c>
      <c r="K593" s="49">
        <v>2</v>
      </c>
      <c r="L593" s="49" t="s">
        <v>116</v>
      </c>
      <c r="M593" s="46" t="s">
        <v>117</v>
      </c>
      <c r="N593" s="50">
        <v>0</v>
      </c>
      <c r="O593" s="50">
        <v>0</v>
      </c>
      <c r="P593" s="50">
        <v>0</v>
      </c>
      <c r="Q593" s="46" t="s">
        <v>102</v>
      </c>
      <c r="R593" s="46" t="s">
        <v>102</v>
      </c>
      <c r="S593" s="46" t="s">
        <v>102</v>
      </c>
      <c r="T593" s="46" t="s">
        <v>133</v>
      </c>
      <c r="U593" s="51">
        <v>4</v>
      </c>
    </row>
    <row r="594" spans="2:21" ht="14.5" outlineLevel="3">
      <c r="B594" s="44" t="s">
        <v>2450</v>
      </c>
      <c r="C594" s="45" t="s">
        <v>2451</v>
      </c>
      <c r="D594" s="46" t="s">
        <v>469</v>
      </c>
      <c r="E594" s="47" t="s">
        <v>1315</v>
      </c>
      <c r="F594" s="46" t="s">
        <v>2452</v>
      </c>
      <c r="G594" s="47" t="s">
        <v>2453</v>
      </c>
      <c r="H594" s="48">
        <v>8492.39</v>
      </c>
      <c r="I594" s="48">
        <v>1</v>
      </c>
      <c r="J594" s="47" t="s">
        <v>115</v>
      </c>
      <c r="K594" s="49">
        <v>2</v>
      </c>
      <c r="L594" s="49" t="s">
        <v>116</v>
      </c>
      <c r="M594" s="46" t="s">
        <v>117</v>
      </c>
      <c r="N594" s="50">
        <v>0</v>
      </c>
      <c r="O594" s="50">
        <v>0</v>
      </c>
      <c r="P594" s="50">
        <v>0</v>
      </c>
      <c r="Q594" s="46" t="s">
        <v>102</v>
      </c>
      <c r="R594" s="46" t="s">
        <v>102</v>
      </c>
      <c r="S594" s="46" t="s">
        <v>102</v>
      </c>
      <c r="T594" s="46" t="s">
        <v>138</v>
      </c>
      <c r="U594" s="51">
        <v>4</v>
      </c>
    </row>
    <row r="595" spans="2:21" ht="14.5" outlineLevel="3">
      <c r="B595" s="44" t="s">
        <v>2454</v>
      </c>
      <c r="C595" s="45" t="s">
        <v>2455</v>
      </c>
      <c r="D595" s="46" t="s">
        <v>469</v>
      </c>
      <c r="E595" s="47" t="s">
        <v>1315</v>
      </c>
      <c r="F595" s="46" t="s">
        <v>2456</v>
      </c>
      <c r="G595" s="47" t="s">
        <v>2457</v>
      </c>
      <c r="H595" s="48">
        <v>8492.39</v>
      </c>
      <c r="I595" s="48">
        <v>1</v>
      </c>
      <c r="J595" s="47" t="s">
        <v>115</v>
      </c>
      <c r="K595" s="49">
        <v>2</v>
      </c>
      <c r="L595" s="49" t="s">
        <v>116</v>
      </c>
      <c r="M595" s="46" t="s">
        <v>117</v>
      </c>
      <c r="N595" s="50">
        <v>0</v>
      </c>
      <c r="O595" s="50">
        <v>0</v>
      </c>
      <c r="P595" s="50">
        <v>0</v>
      </c>
      <c r="Q595" s="46" t="s">
        <v>102</v>
      </c>
      <c r="R595" s="46" t="s">
        <v>102</v>
      </c>
      <c r="S595" s="46" t="s">
        <v>102</v>
      </c>
      <c r="T595" s="46" t="s">
        <v>143</v>
      </c>
      <c r="U595" s="51">
        <v>4</v>
      </c>
    </row>
    <row r="596" spans="2:21" ht="14.5" outlineLevel="3">
      <c r="B596" s="44" t="s">
        <v>2458</v>
      </c>
      <c r="C596" s="45" t="s">
        <v>2459</v>
      </c>
      <c r="D596" s="46" t="s">
        <v>469</v>
      </c>
      <c r="E596" s="47" t="s">
        <v>1315</v>
      </c>
      <c r="F596" s="46" t="s">
        <v>2460</v>
      </c>
      <c r="G596" s="47" t="s">
        <v>2461</v>
      </c>
      <c r="H596" s="48">
        <v>20110.830000000002</v>
      </c>
      <c r="I596" s="48">
        <v>1</v>
      </c>
      <c r="J596" s="47" t="s">
        <v>115</v>
      </c>
      <c r="K596" s="49">
        <v>2</v>
      </c>
      <c r="L596" s="49" t="s">
        <v>116</v>
      </c>
      <c r="M596" s="46" t="s">
        <v>117</v>
      </c>
      <c r="N596" s="50">
        <v>0</v>
      </c>
      <c r="O596" s="50">
        <v>0</v>
      </c>
      <c r="P596" s="50">
        <v>0</v>
      </c>
      <c r="Q596" s="46" t="s">
        <v>102</v>
      </c>
      <c r="R596" s="46" t="s">
        <v>102</v>
      </c>
      <c r="S596" s="46" t="s">
        <v>102</v>
      </c>
      <c r="T596" s="46" t="s">
        <v>176</v>
      </c>
      <c r="U596" s="51">
        <v>4</v>
      </c>
    </row>
    <row r="597" spans="2:21" ht="14.5" outlineLevel="3">
      <c r="B597" s="44" t="s">
        <v>2462</v>
      </c>
      <c r="C597" s="45" t="s">
        <v>2463</v>
      </c>
      <c r="D597" s="46" t="s">
        <v>469</v>
      </c>
      <c r="E597" s="47" t="s">
        <v>1315</v>
      </c>
      <c r="F597" s="46" t="s">
        <v>2464</v>
      </c>
      <c r="G597" s="47" t="s">
        <v>2465</v>
      </c>
      <c r="H597" s="48">
        <v>8492.39</v>
      </c>
      <c r="I597" s="48">
        <v>1</v>
      </c>
      <c r="J597" s="47" t="s">
        <v>115</v>
      </c>
      <c r="K597" s="49">
        <v>2</v>
      </c>
      <c r="L597" s="49" t="s">
        <v>116</v>
      </c>
      <c r="M597" s="46" t="s">
        <v>117</v>
      </c>
      <c r="N597" s="50">
        <v>0</v>
      </c>
      <c r="O597" s="50">
        <v>0</v>
      </c>
      <c r="P597" s="50">
        <v>0</v>
      </c>
      <c r="Q597" s="46" t="s">
        <v>102</v>
      </c>
      <c r="R597" s="46" t="s">
        <v>102</v>
      </c>
      <c r="S597" s="46" t="s">
        <v>102</v>
      </c>
      <c r="T597" s="46" t="s">
        <v>182</v>
      </c>
      <c r="U597" s="51">
        <v>4</v>
      </c>
    </row>
    <row r="598" spans="2:21" ht="14.5" outlineLevel="2">
      <c r="B598" s="36" t="s">
        <v>2466</v>
      </c>
      <c r="C598" s="37" t="s">
        <v>2467</v>
      </c>
      <c r="D598" s="38" t="s">
        <v>102</v>
      </c>
      <c r="E598" s="39" t="s">
        <v>102</v>
      </c>
      <c r="F598" s="38" t="s">
        <v>102</v>
      </c>
      <c r="G598" s="39" t="s">
        <v>102</v>
      </c>
      <c r="H598" s="40">
        <v>0</v>
      </c>
      <c r="I598" s="40">
        <v>0</v>
      </c>
      <c r="J598" s="39" t="s">
        <v>102</v>
      </c>
      <c r="K598" s="41">
        <v>0</v>
      </c>
      <c r="L598" s="41" t="s">
        <v>102</v>
      </c>
      <c r="M598" s="38" t="s">
        <v>102</v>
      </c>
      <c r="N598" s="42">
        <v>0</v>
      </c>
      <c r="O598" s="42">
        <v>0</v>
      </c>
      <c r="P598" s="42">
        <v>0</v>
      </c>
      <c r="Q598" s="38" t="s">
        <v>102</v>
      </c>
      <c r="R598" s="38" t="s">
        <v>102</v>
      </c>
      <c r="S598" s="38" t="s">
        <v>2468</v>
      </c>
      <c r="T598" s="38" t="s">
        <v>102</v>
      </c>
      <c r="U598" s="43">
        <v>3</v>
      </c>
    </row>
    <row r="599" spans="2:21" ht="14.5" outlineLevel="3">
      <c r="B599" s="44" t="s">
        <v>2469</v>
      </c>
      <c r="C599" s="45" t="s">
        <v>2470</v>
      </c>
      <c r="D599" s="46" t="s">
        <v>469</v>
      </c>
      <c r="E599" s="47" t="s">
        <v>1315</v>
      </c>
      <c r="F599" s="46" t="s">
        <v>2471</v>
      </c>
      <c r="G599" s="47" t="s">
        <v>2472</v>
      </c>
      <c r="H599" s="48">
        <v>3664.64</v>
      </c>
      <c r="I599" s="48">
        <v>2</v>
      </c>
      <c r="J599" s="47" t="s">
        <v>115</v>
      </c>
      <c r="K599" s="49">
        <v>2</v>
      </c>
      <c r="L599" s="49" t="s">
        <v>116</v>
      </c>
      <c r="M599" s="46" t="s">
        <v>117</v>
      </c>
      <c r="N599" s="50">
        <v>0</v>
      </c>
      <c r="O599" s="50">
        <v>0</v>
      </c>
      <c r="P599" s="50">
        <v>0</v>
      </c>
      <c r="Q599" s="46" t="s">
        <v>102</v>
      </c>
      <c r="R599" s="46" t="s">
        <v>102</v>
      </c>
      <c r="S599" s="46" t="s">
        <v>102</v>
      </c>
      <c r="T599" s="46" t="s">
        <v>118</v>
      </c>
      <c r="U599" s="51">
        <v>4</v>
      </c>
    </row>
    <row r="600" spans="2:21" ht="14.5" outlineLevel="3">
      <c r="B600" s="44" t="s">
        <v>2473</v>
      </c>
      <c r="C600" s="45" t="s">
        <v>2474</v>
      </c>
      <c r="D600" s="46" t="s">
        <v>469</v>
      </c>
      <c r="E600" s="47" t="s">
        <v>1315</v>
      </c>
      <c r="F600" s="46" t="s">
        <v>2475</v>
      </c>
      <c r="G600" s="47" t="s">
        <v>2476</v>
      </c>
      <c r="H600" s="48">
        <v>63907.61</v>
      </c>
      <c r="I600" s="48">
        <v>2</v>
      </c>
      <c r="J600" s="47" t="s">
        <v>115</v>
      </c>
      <c r="K600" s="49">
        <v>2</v>
      </c>
      <c r="L600" s="49" t="s">
        <v>116</v>
      </c>
      <c r="M600" s="46" t="s">
        <v>117</v>
      </c>
      <c r="N600" s="50">
        <v>0</v>
      </c>
      <c r="O600" s="50">
        <v>0</v>
      </c>
      <c r="P600" s="50">
        <v>0</v>
      </c>
      <c r="Q600" s="46" t="s">
        <v>102</v>
      </c>
      <c r="R600" s="46" t="s">
        <v>102</v>
      </c>
      <c r="S600" s="46" t="s">
        <v>102</v>
      </c>
      <c r="T600" s="46" t="s">
        <v>123</v>
      </c>
      <c r="U600" s="51">
        <v>4</v>
      </c>
    </row>
    <row r="601" spans="2:21" ht="14.5" outlineLevel="3">
      <c r="B601" s="44" t="s">
        <v>2477</v>
      </c>
      <c r="C601" s="45" t="s">
        <v>2478</v>
      </c>
      <c r="D601" s="46" t="s">
        <v>469</v>
      </c>
      <c r="E601" s="47" t="s">
        <v>1315</v>
      </c>
      <c r="F601" s="46" t="s">
        <v>2479</v>
      </c>
      <c r="G601" s="47" t="s">
        <v>2480</v>
      </c>
      <c r="H601" s="48">
        <v>5362.88</v>
      </c>
      <c r="I601" s="48">
        <v>2</v>
      </c>
      <c r="J601" s="47" t="s">
        <v>115</v>
      </c>
      <c r="K601" s="49">
        <v>2</v>
      </c>
      <c r="L601" s="49" t="s">
        <v>116</v>
      </c>
      <c r="M601" s="46" t="s">
        <v>117</v>
      </c>
      <c r="N601" s="50">
        <v>0</v>
      </c>
      <c r="O601" s="50">
        <v>0</v>
      </c>
      <c r="P601" s="50">
        <v>0</v>
      </c>
      <c r="Q601" s="46" t="s">
        <v>102</v>
      </c>
      <c r="R601" s="46" t="s">
        <v>102</v>
      </c>
      <c r="S601" s="46" t="s">
        <v>102</v>
      </c>
      <c r="T601" s="46" t="s">
        <v>128</v>
      </c>
      <c r="U601" s="51">
        <v>4</v>
      </c>
    </row>
    <row r="602" spans="2:21" ht="14.5" outlineLevel="3">
      <c r="B602" s="44" t="s">
        <v>2481</v>
      </c>
      <c r="C602" s="45" t="s">
        <v>2482</v>
      </c>
      <c r="D602" s="46" t="s">
        <v>469</v>
      </c>
      <c r="E602" s="47" t="s">
        <v>1315</v>
      </c>
      <c r="F602" s="46" t="s">
        <v>2483</v>
      </c>
      <c r="G602" s="47" t="s">
        <v>2484</v>
      </c>
      <c r="H602" s="48">
        <v>5362.88</v>
      </c>
      <c r="I602" s="48">
        <v>2</v>
      </c>
      <c r="J602" s="47" t="s">
        <v>115</v>
      </c>
      <c r="K602" s="49">
        <v>2</v>
      </c>
      <c r="L602" s="49" t="s">
        <v>116</v>
      </c>
      <c r="M602" s="46" t="s">
        <v>117</v>
      </c>
      <c r="N602" s="50">
        <v>0</v>
      </c>
      <c r="O602" s="50">
        <v>0</v>
      </c>
      <c r="P602" s="50">
        <v>0</v>
      </c>
      <c r="Q602" s="46" t="s">
        <v>102</v>
      </c>
      <c r="R602" s="46" t="s">
        <v>102</v>
      </c>
      <c r="S602" s="46" t="s">
        <v>102</v>
      </c>
      <c r="T602" s="46" t="s">
        <v>133</v>
      </c>
      <c r="U602" s="51">
        <v>4</v>
      </c>
    </row>
    <row r="603" spans="2:21" ht="14.5" outlineLevel="3">
      <c r="B603" s="44" t="s">
        <v>2485</v>
      </c>
      <c r="C603" s="45" t="s">
        <v>2486</v>
      </c>
      <c r="D603" s="46" t="s">
        <v>469</v>
      </c>
      <c r="E603" s="47" t="s">
        <v>1315</v>
      </c>
      <c r="F603" s="46" t="s">
        <v>2487</v>
      </c>
      <c r="G603" s="47" t="s">
        <v>2488</v>
      </c>
      <c r="H603" s="48">
        <v>42903.05</v>
      </c>
      <c r="I603" s="48">
        <v>2</v>
      </c>
      <c r="J603" s="47" t="s">
        <v>115</v>
      </c>
      <c r="K603" s="49">
        <v>2</v>
      </c>
      <c r="L603" s="49" t="s">
        <v>116</v>
      </c>
      <c r="M603" s="46" t="s">
        <v>117</v>
      </c>
      <c r="N603" s="50">
        <v>0</v>
      </c>
      <c r="O603" s="50">
        <v>0</v>
      </c>
      <c r="P603" s="50">
        <v>0</v>
      </c>
      <c r="Q603" s="46" t="s">
        <v>102</v>
      </c>
      <c r="R603" s="46" t="s">
        <v>102</v>
      </c>
      <c r="S603" s="46" t="s">
        <v>102</v>
      </c>
      <c r="T603" s="46" t="s">
        <v>138</v>
      </c>
      <c r="U603" s="51">
        <v>4</v>
      </c>
    </row>
    <row r="604" spans="2:21" ht="14.5" outlineLevel="3">
      <c r="B604" s="44" t="s">
        <v>2489</v>
      </c>
      <c r="C604" s="45" t="s">
        <v>2490</v>
      </c>
      <c r="D604" s="46" t="s">
        <v>469</v>
      </c>
      <c r="E604" s="47" t="s">
        <v>1315</v>
      </c>
      <c r="F604" s="46" t="s">
        <v>2491</v>
      </c>
      <c r="G604" s="47" t="s">
        <v>2492</v>
      </c>
      <c r="H604" s="48">
        <v>60332.33</v>
      </c>
      <c r="I604" s="48">
        <v>2</v>
      </c>
      <c r="J604" s="47" t="s">
        <v>115</v>
      </c>
      <c r="K604" s="49">
        <v>2</v>
      </c>
      <c r="L604" s="49" t="s">
        <v>116</v>
      </c>
      <c r="M604" s="46" t="s">
        <v>117</v>
      </c>
      <c r="N604" s="50">
        <v>0</v>
      </c>
      <c r="O604" s="50">
        <v>0</v>
      </c>
      <c r="P604" s="50">
        <v>0</v>
      </c>
      <c r="Q604" s="46" t="s">
        <v>102</v>
      </c>
      <c r="R604" s="46" t="s">
        <v>102</v>
      </c>
      <c r="S604" s="46" t="s">
        <v>102</v>
      </c>
      <c r="T604" s="46" t="s">
        <v>143</v>
      </c>
      <c r="U604" s="51">
        <v>4</v>
      </c>
    </row>
    <row r="605" spans="2:21" ht="14.5" outlineLevel="3">
      <c r="B605" s="44" t="s">
        <v>2493</v>
      </c>
      <c r="C605" s="45" t="s">
        <v>2494</v>
      </c>
      <c r="D605" s="46" t="s">
        <v>469</v>
      </c>
      <c r="E605" s="47" t="s">
        <v>1315</v>
      </c>
      <c r="F605" s="46" t="s">
        <v>2495</v>
      </c>
      <c r="G605" s="47" t="s">
        <v>2496</v>
      </c>
      <c r="H605" s="48">
        <v>16088.62</v>
      </c>
      <c r="I605" s="48">
        <v>2</v>
      </c>
      <c r="J605" s="47" t="s">
        <v>115</v>
      </c>
      <c r="K605" s="49">
        <v>2</v>
      </c>
      <c r="L605" s="49" t="s">
        <v>116</v>
      </c>
      <c r="M605" s="46" t="s">
        <v>117</v>
      </c>
      <c r="N605" s="50">
        <v>0</v>
      </c>
      <c r="O605" s="50">
        <v>0</v>
      </c>
      <c r="P605" s="50">
        <v>0</v>
      </c>
      <c r="Q605" s="46" t="s">
        <v>102</v>
      </c>
      <c r="R605" s="46" t="s">
        <v>102</v>
      </c>
      <c r="S605" s="46" t="s">
        <v>102</v>
      </c>
      <c r="T605" s="46" t="s">
        <v>176</v>
      </c>
      <c r="U605" s="51">
        <v>4</v>
      </c>
    </row>
    <row r="606" spans="2:21" ht="14.5" outlineLevel="3">
      <c r="B606" s="44" t="s">
        <v>2497</v>
      </c>
      <c r="C606" s="45" t="s">
        <v>2498</v>
      </c>
      <c r="D606" s="46" t="s">
        <v>469</v>
      </c>
      <c r="E606" s="47" t="s">
        <v>1315</v>
      </c>
      <c r="F606" s="46" t="s">
        <v>2499</v>
      </c>
      <c r="G606" s="47" t="s">
        <v>2500</v>
      </c>
      <c r="H606" s="48">
        <v>53628.73</v>
      </c>
      <c r="I606" s="48">
        <v>2</v>
      </c>
      <c r="J606" s="47" t="s">
        <v>115</v>
      </c>
      <c r="K606" s="49">
        <v>2</v>
      </c>
      <c r="L606" s="49" t="s">
        <v>116</v>
      </c>
      <c r="M606" s="46" t="s">
        <v>117</v>
      </c>
      <c r="N606" s="50">
        <v>0</v>
      </c>
      <c r="O606" s="50">
        <v>0</v>
      </c>
      <c r="P606" s="50">
        <v>0</v>
      </c>
      <c r="Q606" s="46" t="s">
        <v>102</v>
      </c>
      <c r="R606" s="46" t="s">
        <v>102</v>
      </c>
      <c r="S606" s="46" t="s">
        <v>102</v>
      </c>
      <c r="T606" s="46" t="s">
        <v>182</v>
      </c>
      <c r="U606" s="51">
        <v>4</v>
      </c>
    </row>
    <row r="607" spans="2:21" ht="14.5" outlineLevel="3">
      <c r="B607" s="44" t="s">
        <v>2501</v>
      </c>
      <c r="C607" s="45" t="s">
        <v>2502</v>
      </c>
      <c r="D607" s="46" t="s">
        <v>469</v>
      </c>
      <c r="E607" s="47" t="s">
        <v>1315</v>
      </c>
      <c r="F607" s="46" t="s">
        <v>2503</v>
      </c>
      <c r="G607" s="47" t="s">
        <v>2504</v>
      </c>
      <c r="H607" s="48">
        <v>16088.62</v>
      </c>
      <c r="I607" s="48">
        <v>2</v>
      </c>
      <c r="J607" s="47" t="s">
        <v>115</v>
      </c>
      <c r="K607" s="49">
        <v>2</v>
      </c>
      <c r="L607" s="49" t="s">
        <v>116</v>
      </c>
      <c r="M607" s="46" t="s">
        <v>117</v>
      </c>
      <c r="N607" s="50">
        <v>0</v>
      </c>
      <c r="O607" s="50">
        <v>0</v>
      </c>
      <c r="P607" s="50">
        <v>0</v>
      </c>
      <c r="Q607" s="46" t="s">
        <v>102</v>
      </c>
      <c r="R607" s="46" t="s">
        <v>102</v>
      </c>
      <c r="S607" s="46" t="s">
        <v>102</v>
      </c>
      <c r="T607" s="46" t="s">
        <v>187</v>
      </c>
      <c r="U607" s="51">
        <v>4</v>
      </c>
    </row>
    <row r="608" spans="2:21" ht="14.5" outlineLevel="3">
      <c r="B608" s="44" t="s">
        <v>2505</v>
      </c>
      <c r="C608" s="45" t="s">
        <v>2506</v>
      </c>
      <c r="D608" s="46" t="s">
        <v>469</v>
      </c>
      <c r="E608" s="47" t="s">
        <v>1315</v>
      </c>
      <c r="F608" s="46" t="s">
        <v>2507</v>
      </c>
      <c r="G608" s="47" t="s">
        <v>2508</v>
      </c>
      <c r="H608" s="48">
        <v>16088.62</v>
      </c>
      <c r="I608" s="48">
        <v>2</v>
      </c>
      <c r="J608" s="47" t="s">
        <v>115</v>
      </c>
      <c r="K608" s="49">
        <v>2</v>
      </c>
      <c r="L608" s="49" t="s">
        <v>116</v>
      </c>
      <c r="M608" s="46" t="s">
        <v>117</v>
      </c>
      <c r="N608" s="50">
        <v>0</v>
      </c>
      <c r="O608" s="50">
        <v>0</v>
      </c>
      <c r="P608" s="50">
        <v>0</v>
      </c>
      <c r="Q608" s="46" t="s">
        <v>102</v>
      </c>
      <c r="R608" s="46" t="s">
        <v>102</v>
      </c>
      <c r="S608" s="46" t="s">
        <v>102</v>
      </c>
      <c r="T608" s="46" t="s">
        <v>259</v>
      </c>
      <c r="U608" s="51">
        <v>4</v>
      </c>
    </row>
    <row r="609" spans="2:21" ht="14.5" outlineLevel="3">
      <c r="B609" s="44" t="s">
        <v>2509</v>
      </c>
      <c r="C609" s="45" t="s">
        <v>2510</v>
      </c>
      <c r="D609" s="46" t="s">
        <v>469</v>
      </c>
      <c r="E609" s="47" t="s">
        <v>1315</v>
      </c>
      <c r="F609" s="46" t="s">
        <v>2511</v>
      </c>
      <c r="G609" s="47" t="s">
        <v>2512</v>
      </c>
      <c r="H609" s="48">
        <v>16088.62</v>
      </c>
      <c r="I609" s="48">
        <v>2</v>
      </c>
      <c r="J609" s="47" t="s">
        <v>115</v>
      </c>
      <c r="K609" s="49">
        <v>2</v>
      </c>
      <c r="L609" s="49" t="s">
        <v>116</v>
      </c>
      <c r="M609" s="46" t="s">
        <v>117</v>
      </c>
      <c r="N609" s="50">
        <v>0</v>
      </c>
      <c r="O609" s="50">
        <v>0</v>
      </c>
      <c r="P609" s="50">
        <v>0</v>
      </c>
      <c r="Q609" s="46" t="s">
        <v>102</v>
      </c>
      <c r="R609" s="46" t="s">
        <v>102</v>
      </c>
      <c r="S609" s="46" t="s">
        <v>102</v>
      </c>
      <c r="T609" s="46" t="s">
        <v>192</v>
      </c>
      <c r="U609" s="51">
        <v>4</v>
      </c>
    </row>
    <row r="610" spans="2:21" ht="14.5" outlineLevel="3">
      <c r="B610" s="44" t="s">
        <v>2513</v>
      </c>
      <c r="C610" s="45" t="s">
        <v>2514</v>
      </c>
      <c r="D610" s="46" t="s">
        <v>469</v>
      </c>
      <c r="E610" s="47" t="s">
        <v>1315</v>
      </c>
      <c r="F610" s="46" t="s">
        <v>2515</v>
      </c>
      <c r="G610" s="47" t="s">
        <v>2516</v>
      </c>
      <c r="H610" s="48">
        <v>16088.62</v>
      </c>
      <c r="I610" s="48">
        <v>1</v>
      </c>
      <c r="J610" s="47" t="s">
        <v>115</v>
      </c>
      <c r="K610" s="49">
        <v>2</v>
      </c>
      <c r="L610" s="49" t="s">
        <v>116</v>
      </c>
      <c r="M610" s="46" t="s">
        <v>117</v>
      </c>
      <c r="N610" s="50">
        <v>0</v>
      </c>
      <c r="O610" s="50">
        <v>0</v>
      </c>
      <c r="P610" s="50">
        <v>0</v>
      </c>
      <c r="Q610" s="46" t="s">
        <v>102</v>
      </c>
      <c r="R610" s="46" t="s">
        <v>102</v>
      </c>
      <c r="S610" s="46" t="s">
        <v>102</v>
      </c>
      <c r="T610" s="46" t="s">
        <v>615</v>
      </c>
      <c r="U610" s="51">
        <v>4</v>
      </c>
    </row>
    <row r="611" spans="2:21" ht="14.5" outlineLevel="3">
      <c r="B611" s="44" t="s">
        <v>2517</v>
      </c>
      <c r="C611" s="45" t="s">
        <v>2518</v>
      </c>
      <c r="D611" s="46" t="s">
        <v>392</v>
      </c>
      <c r="E611" s="47" t="s">
        <v>1315</v>
      </c>
      <c r="F611" s="46" t="s">
        <v>2519</v>
      </c>
      <c r="G611" s="47" t="s">
        <v>2520</v>
      </c>
      <c r="H611" s="48">
        <v>4384012.74</v>
      </c>
      <c r="I611" s="48">
        <v>1</v>
      </c>
      <c r="J611" s="47" t="s">
        <v>115</v>
      </c>
      <c r="K611" s="49">
        <v>2</v>
      </c>
      <c r="L611" s="49" t="s">
        <v>116</v>
      </c>
      <c r="M611" s="46" t="s">
        <v>117</v>
      </c>
      <c r="N611" s="50">
        <v>0</v>
      </c>
      <c r="O611" s="50">
        <v>0</v>
      </c>
      <c r="P611" s="50">
        <v>0</v>
      </c>
      <c r="Q611" s="46" t="s">
        <v>102</v>
      </c>
      <c r="R611" s="46" t="s">
        <v>102</v>
      </c>
      <c r="S611" s="46" t="s">
        <v>102</v>
      </c>
      <c r="T611" s="46" t="s">
        <v>208</v>
      </c>
      <c r="U611" s="51">
        <v>4</v>
      </c>
    </row>
    <row r="612" spans="2:21" ht="14.5" outlineLevel="2">
      <c r="B612" s="36" t="s">
        <v>2521</v>
      </c>
      <c r="C612" s="37" t="s">
        <v>2522</v>
      </c>
      <c r="D612" s="38" t="s">
        <v>102</v>
      </c>
      <c r="E612" s="39" t="s">
        <v>102</v>
      </c>
      <c r="F612" s="38" t="s">
        <v>102</v>
      </c>
      <c r="G612" s="39" t="s">
        <v>102</v>
      </c>
      <c r="H612" s="40">
        <v>0</v>
      </c>
      <c r="I612" s="40">
        <v>0</v>
      </c>
      <c r="J612" s="39" t="s">
        <v>102</v>
      </c>
      <c r="K612" s="41">
        <v>0</v>
      </c>
      <c r="L612" s="41" t="s">
        <v>102</v>
      </c>
      <c r="M612" s="38" t="s">
        <v>102</v>
      </c>
      <c r="N612" s="42">
        <v>0</v>
      </c>
      <c r="O612" s="42">
        <v>0</v>
      </c>
      <c r="P612" s="42">
        <v>0</v>
      </c>
      <c r="Q612" s="38" t="s">
        <v>102</v>
      </c>
      <c r="R612" s="38" t="s">
        <v>102</v>
      </c>
      <c r="S612" s="38" t="s">
        <v>2523</v>
      </c>
      <c r="T612" s="38" t="s">
        <v>102</v>
      </c>
      <c r="U612" s="43">
        <v>3</v>
      </c>
    </row>
    <row r="613" spans="2:21" ht="14.5" outlineLevel="3">
      <c r="B613" s="44" t="s">
        <v>2524</v>
      </c>
      <c r="C613" s="45" t="s">
        <v>2525</v>
      </c>
      <c r="D613" s="46" t="s">
        <v>392</v>
      </c>
      <c r="E613" s="47" t="s">
        <v>1315</v>
      </c>
      <c r="F613" s="46" t="s">
        <v>2526</v>
      </c>
      <c r="G613" s="47" t="s">
        <v>2527</v>
      </c>
      <c r="H613" s="48">
        <v>20995615.309999999</v>
      </c>
      <c r="I613" s="48">
        <v>1</v>
      </c>
      <c r="J613" s="47" t="s">
        <v>115</v>
      </c>
      <c r="K613" s="49">
        <v>2</v>
      </c>
      <c r="L613" s="49" t="s">
        <v>116</v>
      </c>
      <c r="M613" s="46" t="s">
        <v>117</v>
      </c>
      <c r="N613" s="50">
        <v>0</v>
      </c>
      <c r="O613" s="50">
        <v>0</v>
      </c>
      <c r="P613" s="50">
        <v>0</v>
      </c>
      <c r="Q613" s="46" t="s">
        <v>102</v>
      </c>
      <c r="R613" s="46" t="s">
        <v>102</v>
      </c>
      <c r="S613" s="46" t="s">
        <v>102</v>
      </c>
      <c r="T613" s="46" t="s">
        <v>118</v>
      </c>
      <c r="U613" s="51">
        <v>4</v>
      </c>
    </row>
    <row r="614" spans="2:21" ht="14.5" outlineLevel="2">
      <c r="B614" s="36" t="s">
        <v>2528</v>
      </c>
      <c r="C614" s="37" t="s">
        <v>2529</v>
      </c>
      <c r="D614" s="38" t="s">
        <v>102</v>
      </c>
      <c r="E614" s="39" t="s">
        <v>102</v>
      </c>
      <c r="F614" s="38" t="s">
        <v>102</v>
      </c>
      <c r="G614" s="39" t="s">
        <v>102</v>
      </c>
      <c r="H614" s="40">
        <v>0</v>
      </c>
      <c r="I614" s="40">
        <v>0</v>
      </c>
      <c r="J614" s="39" t="s">
        <v>102</v>
      </c>
      <c r="K614" s="41">
        <v>0</v>
      </c>
      <c r="L614" s="41" t="s">
        <v>102</v>
      </c>
      <c r="M614" s="38" t="s">
        <v>102</v>
      </c>
      <c r="N614" s="42">
        <v>0</v>
      </c>
      <c r="O614" s="42">
        <v>0</v>
      </c>
      <c r="P614" s="42">
        <v>0</v>
      </c>
      <c r="Q614" s="38" t="s">
        <v>102</v>
      </c>
      <c r="R614" s="38" t="s">
        <v>102</v>
      </c>
      <c r="S614" s="38" t="s">
        <v>2530</v>
      </c>
      <c r="T614" s="38" t="s">
        <v>102</v>
      </c>
      <c r="U614" s="43">
        <v>3</v>
      </c>
    </row>
    <row r="615" spans="2:21" ht="14.5" outlineLevel="1">
      <c r="B615" s="28" t="s">
        <v>2531</v>
      </c>
      <c r="C615" s="29" t="s">
        <v>2532</v>
      </c>
      <c r="D615" s="30" t="s">
        <v>102</v>
      </c>
      <c r="E615" s="31" t="s">
        <v>102</v>
      </c>
      <c r="F615" s="30" t="s">
        <v>102</v>
      </c>
      <c r="G615" s="31" t="s">
        <v>102</v>
      </c>
      <c r="H615" s="32">
        <v>0</v>
      </c>
      <c r="I615" s="32">
        <v>0</v>
      </c>
      <c r="J615" s="31" t="s">
        <v>102</v>
      </c>
      <c r="K615" s="33">
        <v>0</v>
      </c>
      <c r="L615" s="33" t="s">
        <v>102</v>
      </c>
      <c r="M615" s="30" t="s">
        <v>102</v>
      </c>
      <c r="N615" s="34">
        <v>0</v>
      </c>
      <c r="O615" s="34">
        <v>0</v>
      </c>
      <c r="P615" s="34">
        <v>0</v>
      </c>
      <c r="Q615" s="30" t="s">
        <v>102</v>
      </c>
      <c r="R615" s="30" t="s">
        <v>2533</v>
      </c>
      <c r="S615" s="30" t="s">
        <v>102</v>
      </c>
      <c r="T615" s="30" t="s">
        <v>102</v>
      </c>
      <c r="U615" s="35">
        <v>2</v>
      </c>
    </row>
    <row r="616" spans="2:21" ht="14.5" outlineLevel="2">
      <c r="B616" s="36" t="s">
        <v>2534</v>
      </c>
      <c r="C616" s="37" t="s">
        <v>2535</v>
      </c>
      <c r="D616" s="38" t="s">
        <v>102</v>
      </c>
      <c r="E616" s="39" t="s">
        <v>102</v>
      </c>
      <c r="F616" s="38" t="s">
        <v>102</v>
      </c>
      <c r="G616" s="39" t="s">
        <v>102</v>
      </c>
      <c r="H616" s="40">
        <v>0</v>
      </c>
      <c r="I616" s="40">
        <v>0</v>
      </c>
      <c r="J616" s="39" t="s">
        <v>102</v>
      </c>
      <c r="K616" s="41">
        <v>0</v>
      </c>
      <c r="L616" s="41" t="s">
        <v>102</v>
      </c>
      <c r="M616" s="38" t="s">
        <v>102</v>
      </c>
      <c r="N616" s="42">
        <v>0</v>
      </c>
      <c r="O616" s="42">
        <v>0</v>
      </c>
      <c r="P616" s="42">
        <v>0</v>
      </c>
      <c r="Q616" s="38" t="s">
        <v>102</v>
      </c>
      <c r="R616" s="38" t="s">
        <v>102</v>
      </c>
      <c r="S616" s="38" t="s">
        <v>2536</v>
      </c>
      <c r="T616" s="38" t="s">
        <v>102</v>
      </c>
      <c r="U616" s="43">
        <v>3</v>
      </c>
    </row>
    <row r="617" spans="2:21" ht="14.5" outlineLevel="3">
      <c r="B617" s="44" t="s">
        <v>2537</v>
      </c>
      <c r="C617" s="45" t="s">
        <v>2538</v>
      </c>
      <c r="D617" s="46" t="s">
        <v>392</v>
      </c>
      <c r="E617" s="47" t="s">
        <v>2539</v>
      </c>
      <c r="F617" s="46" t="s">
        <v>2540</v>
      </c>
      <c r="G617" s="47" t="s">
        <v>2541</v>
      </c>
      <c r="H617" s="48">
        <v>50000000</v>
      </c>
      <c r="I617" s="48">
        <v>1</v>
      </c>
      <c r="J617" s="47" t="s">
        <v>115</v>
      </c>
      <c r="K617" s="49">
        <v>2</v>
      </c>
      <c r="L617" s="49" t="s">
        <v>116</v>
      </c>
      <c r="M617" s="46" t="s">
        <v>117</v>
      </c>
      <c r="N617" s="50">
        <v>0</v>
      </c>
      <c r="O617" s="50">
        <v>0</v>
      </c>
      <c r="P617" s="50">
        <v>0</v>
      </c>
      <c r="Q617" s="46" t="s">
        <v>102</v>
      </c>
      <c r="R617" s="46" t="s">
        <v>102</v>
      </c>
      <c r="S617" s="46" t="s">
        <v>102</v>
      </c>
      <c r="T617" s="46" t="s">
        <v>118</v>
      </c>
      <c r="U617" s="51">
        <v>4</v>
      </c>
    </row>
    <row r="618" spans="2:21" ht="14.5" outlineLevel="1">
      <c r="B618" s="28" t="s">
        <v>2542</v>
      </c>
      <c r="C618" s="29" t="s">
        <v>2543</v>
      </c>
      <c r="D618" s="30" t="s">
        <v>102</v>
      </c>
      <c r="E618" s="31" t="s">
        <v>102</v>
      </c>
      <c r="F618" s="30" t="s">
        <v>102</v>
      </c>
      <c r="G618" s="31" t="s">
        <v>102</v>
      </c>
      <c r="H618" s="32">
        <v>0</v>
      </c>
      <c r="I618" s="32">
        <v>0</v>
      </c>
      <c r="J618" s="31" t="s">
        <v>102</v>
      </c>
      <c r="K618" s="33">
        <v>0</v>
      </c>
      <c r="L618" s="33" t="s">
        <v>102</v>
      </c>
      <c r="M618" s="30" t="s">
        <v>102</v>
      </c>
      <c r="N618" s="34">
        <v>0</v>
      </c>
      <c r="O618" s="34">
        <v>0</v>
      </c>
      <c r="P618" s="34">
        <v>0</v>
      </c>
      <c r="Q618" s="30" t="s">
        <v>102</v>
      </c>
      <c r="R618" s="30" t="s">
        <v>2544</v>
      </c>
      <c r="S618" s="30" t="s">
        <v>102</v>
      </c>
      <c r="T618" s="30" t="s">
        <v>102</v>
      </c>
      <c r="U618" s="35">
        <v>2</v>
      </c>
    </row>
    <row r="619" spans="2:21" ht="14.5" outlineLevel="2">
      <c r="B619" s="36" t="s">
        <v>2545</v>
      </c>
      <c r="C619" s="37" t="s">
        <v>2546</v>
      </c>
      <c r="D619" s="38" t="s">
        <v>102</v>
      </c>
      <c r="E619" s="39" t="s">
        <v>102</v>
      </c>
      <c r="F619" s="38" t="s">
        <v>102</v>
      </c>
      <c r="G619" s="39" t="s">
        <v>102</v>
      </c>
      <c r="H619" s="40">
        <v>0</v>
      </c>
      <c r="I619" s="40">
        <v>0</v>
      </c>
      <c r="J619" s="39" t="s">
        <v>102</v>
      </c>
      <c r="K619" s="41">
        <v>0</v>
      </c>
      <c r="L619" s="41" t="s">
        <v>102</v>
      </c>
      <c r="M619" s="38" t="s">
        <v>102</v>
      </c>
      <c r="N619" s="42">
        <v>0</v>
      </c>
      <c r="O619" s="42">
        <v>0</v>
      </c>
      <c r="P619" s="42">
        <v>0</v>
      </c>
      <c r="Q619" s="38" t="s">
        <v>102</v>
      </c>
      <c r="R619" s="38" t="s">
        <v>102</v>
      </c>
      <c r="S619" s="38" t="s">
        <v>146</v>
      </c>
      <c r="T619" s="38" t="s">
        <v>102</v>
      </c>
      <c r="U619" s="43">
        <v>3</v>
      </c>
    </row>
    <row r="620" spans="2:21" ht="14.5" outlineLevel="3">
      <c r="B620" s="44" t="s">
        <v>2547</v>
      </c>
      <c r="C620" s="45" t="s">
        <v>2548</v>
      </c>
      <c r="D620" s="46" t="s">
        <v>165</v>
      </c>
      <c r="E620" s="47" t="s">
        <v>112</v>
      </c>
      <c r="F620" s="46" t="s">
        <v>166</v>
      </c>
      <c r="G620" s="47" t="s">
        <v>167</v>
      </c>
      <c r="H620" s="48">
        <v>13000</v>
      </c>
      <c r="I620" s="48">
        <v>83862</v>
      </c>
      <c r="J620" s="47" t="s">
        <v>115</v>
      </c>
      <c r="K620" s="49">
        <v>2</v>
      </c>
      <c r="L620" s="49" t="s">
        <v>116</v>
      </c>
      <c r="M620" s="46" t="s">
        <v>2549</v>
      </c>
      <c r="N620" s="50">
        <v>0.2</v>
      </c>
      <c r="O620" s="50">
        <v>0.3</v>
      </c>
      <c r="P620" s="50">
        <v>0.25</v>
      </c>
      <c r="Q620" s="46" t="s">
        <v>102</v>
      </c>
      <c r="R620" s="46" t="s">
        <v>102</v>
      </c>
      <c r="S620" s="46" t="s">
        <v>102</v>
      </c>
      <c r="T620" s="46" t="s">
        <v>138</v>
      </c>
      <c r="U620" s="51">
        <v>4</v>
      </c>
    </row>
    <row r="621" spans="2:21" ht="14.5" outlineLevel="3">
      <c r="B621" s="44" t="s">
        <v>2550</v>
      </c>
      <c r="C621" s="45" t="s">
        <v>2551</v>
      </c>
      <c r="D621" s="46" t="s">
        <v>165</v>
      </c>
      <c r="E621" s="47" t="s">
        <v>112</v>
      </c>
      <c r="F621" s="46" t="s">
        <v>216</v>
      </c>
      <c r="G621" s="47" t="s">
        <v>217</v>
      </c>
      <c r="H621" s="48">
        <v>16000</v>
      </c>
      <c r="I621" s="48">
        <v>7200</v>
      </c>
      <c r="J621" s="47" t="s">
        <v>115</v>
      </c>
      <c r="K621" s="49">
        <v>2</v>
      </c>
      <c r="L621" s="49" t="s">
        <v>116</v>
      </c>
      <c r="M621" s="46" t="s">
        <v>2549</v>
      </c>
      <c r="N621" s="50">
        <v>0.2</v>
      </c>
      <c r="O621" s="50">
        <v>0.3</v>
      </c>
      <c r="P621" s="50">
        <v>0.25</v>
      </c>
      <c r="Q621" s="46" t="s">
        <v>102</v>
      </c>
      <c r="R621" s="46" t="s">
        <v>102</v>
      </c>
      <c r="S621" s="46" t="s">
        <v>102</v>
      </c>
      <c r="T621" s="46" t="s">
        <v>218</v>
      </c>
      <c r="U621" s="51">
        <v>4</v>
      </c>
    </row>
    <row r="622" spans="2:21" ht="14.5" outlineLevel="3">
      <c r="B622" s="44" t="s">
        <v>2552</v>
      </c>
      <c r="C622" s="45" t="s">
        <v>2553</v>
      </c>
      <c r="D622" s="46" t="s">
        <v>179</v>
      </c>
      <c r="E622" s="47" t="s">
        <v>112</v>
      </c>
      <c r="F622" s="46" t="s">
        <v>236</v>
      </c>
      <c r="G622" s="47" t="s">
        <v>237</v>
      </c>
      <c r="H622" s="48">
        <v>407.36</v>
      </c>
      <c r="I622" s="48">
        <v>630000</v>
      </c>
      <c r="J622" s="47" t="s">
        <v>115</v>
      </c>
      <c r="K622" s="49">
        <v>2</v>
      </c>
      <c r="L622" s="49" t="s">
        <v>116</v>
      </c>
      <c r="M622" s="46" t="s">
        <v>2549</v>
      </c>
      <c r="N622" s="50">
        <v>0.2</v>
      </c>
      <c r="O622" s="50">
        <v>0.3</v>
      </c>
      <c r="P622" s="50">
        <v>0.25</v>
      </c>
      <c r="Q622" s="46" t="s">
        <v>102</v>
      </c>
      <c r="R622" s="46" t="s">
        <v>102</v>
      </c>
      <c r="S622" s="46" t="s">
        <v>102</v>
      </c>
      <c r="T622" s="46" t="s">
        <v>238</v>
      </c>
      <c r="U622" s="51">
        <v>4</v>
      </c>
    </row>
    <row r="623" spans="2:21" ht="14.5" outlineLevel="2">
      <c r="B623" s="36" t="s">
        <v>2554</v>
      </c>
      <c r="C623" s="37" t="s">
        <v>2555</v>
      </c>
      <c r="D623" s="38" t="s">
        <v>102</v>
      </c>
      <c r="E623" s="39" t="s">
        <v>102</v>
      </c>
      <c r="F623" s="38" t="s">
        <v>102</v>
      </c>
      <c r="G623" s="39" t="s">
        <v>102</v>
      </c>
      <c r="H623" s="40">
        <v>0</v>
      </c>
      <c r="I623" s="40">
        <v>0</v>
      </c>
      <c r="J623" s="39" t="s">
        <v>102</v>
      </c>
      <c r="K623" s="41">
        <v>0</v>
      </c>
      <c r="L623" s="41" t="s">
        <v>102</v>
      </c>
      <c r="M623" s="38" t="s">
        <v>102</v>
      </c>
      <c r="N623" s="42">
        <v>0</v>
      </c>
      <c r="O623" s="42">
        <v>0</v>
      </c>
      <c r="P623" s="42">
        <v>0</v>
      </c>
      <c r="Q623" s="38" t="s">
        <v>102</v>
      </c>
      <c r="R623" s="38" t="s">
        <v>102</v>
      </c>
      <c r="S623" s="38" t="s">
        <v>246</v>
      </c>
      <c r="T623" s="38" t="s">
        <v>102</v>
      </c>
      <c r="U623" s="43">
        <v>3</v>
      </c>
    </row>
    <row r="624" spans="2:21" ht="14.5" outlineLevel="3">
      <c r="B624" s="44" t="s">
        <v>2556</v>
      </c>
      <c r="C624" s="45" t="s">
        <v>2557</v>
      </c>
      <c r="D624" s="46" t="s">
        <v>165</v>
      </c>
      <c r="E624" s="47" t="s">
        <v>112</v>
      </c>
      <c r="F624" s="46" t="s">
        <v>271</v>
      </c>
      <c r="G624" s="47" t="s">
        <v>272</v>
      </c>
      <c r="H624" s="48">
        <v>33000</v>
      </c>
      <c r="I624" s="48">
        <v>1095.3</v>
      </c>
      <c r="J624" s="47" t="s">
        <v>115</v>
      </c>
      <c r="K624" s="49">
        <v>2</v>
      </c>
      <c r="L624" s="49" t="s">
        <v>116</v>
      </c>
      <c r="M624" s="46" t="s">
        <v>2549</v>
      </c>
      <c r="N624" s="50">
        <v>0.2</v>
      </c>
      <c r="O624" s="50">
        <v>0.3</v>
      </c>
      <c r="P624" s="50">
        <v>0.25</v>
      </c>
      <c r="Q624" s="46" t="s">
        <v>102</v>
      </c>
      <c r="R624" s="46" t="s">
        <v>102</v>
      </c>
      <c r="S624" s="46" t="s">
        <v>102</v>
      </c>
      <c r="T624" s="46" t="s">
        <v>273</v>
      </c>
      <c r="U624" s="51">
        <v>4</v>
      </c>
    </row>
    <row r="625" spans="2:21" ht="14.5" outlineLevel="2">
      <c r="B625" s="36" t="s">
        <v>2558</v>
      </c>
      <c r="C625" s="37" t="s">
        <v>2559</v>
      </c>
      <c r="D625" s="38" t="s">
        <v>102</v>
      </c>
      <c r="E625" s="39" t="s">
        <v>102</v>
      </c>
      <c r="F625" s="38" t="s">
        <v>102</v>
      </c>
      <c r="G625" s="39" t="s">
        <v>102</v>
      </c>
      <c r="H625" s="40">
        <v>0</v>
      </c>
      <c r="I625" s="40">
        <v>0</v>
      </c>
      <c r="J625" s="39" t="s">
        <v>102</v>
      </c>
      <c r="K625" s="41">
        <v>0</v>
      </c>
      <c r="L625" s="41" t="s">
        <v>102</v>
      </c>
      <c r="M625" s="38" t="s">
        <v>102</v>
      </c>
      <c r="N625" s="42">
        <v>0</v>
      </c>
      <c r="O625" s="42">
        <v>0</v>
      </c>
      <c r="P625" s="42">
        <v>0</v>
      </c>
      <c r="Q625" s="38" t="s">
        <v>102</v>
      </c>
      <c r="R625" s="38" t="s">
        <v>102</v>
      </c>
      <c r="S625" s="38" t="s">
        <v>306</v>
      </c>
      <c r="T625" s="38" t="s">
        <v>102</v>
      </c>
      <c r="U625" s="43">
        <v>3</v>
      </c>
    </row>
    <row r="626" spans="2:21" ht="14.5" outlineLevel="3">
      <c r="B626" s="44" t="s">
        <v>2560</v>
      </c>
      <c r="C626" s="45" t="s">
        <v>2561</v>
      </c>
      <c r="D626" s="46" t="s">
        <v>165</v>
      </c>
      <c r="E626" s="47" t="s">
        <v>112</v>
      </c>
      <c r="F626" s="46" t="s">
        <v>313</v>
      </c>
      <c r="G626" s="47" t="s">
        <v>314</v>
      </c>
      <c r="H626" s="48">
        <v>34248.07</v>
      </c>
      <c r="I626" s="48">
        <v>17100</v>
      </c>
      <c r="J626" s="47" t="s">
        <v>115</v>
      </c>
      <c r="K626" s="49">
        <v>2</v>
      </c>
      <c r="L626" s="49" t="s">
        <v>116</v>
      </c>
      <c r="M626" s="46" t="s">
        <v>2549</v>
      </c>
      <c r="N626" s="50">
        <v>0.2</v>
      </c>
      <c r="O626" s="50">
        <v>0.3</v>
      </c>
      <c r="P626" s="50">
        <v>0.25</v>
      </c>
      <c r="Q626" s="46" t="s">
        <v>102</v>
      </c>
      <c r="R626" s="46" t="s">
        <v>102</v>
      </c>
      <c r="S626" s="46" t="s">
        <v>102</v>
      </c>
      <c r="T626" s="46" t="s">
        <v>123</v>
      </c>
      <c r="U626" s="51">
        <v>4</v>
      </c>
    </row>
    <row r="627" spans="2:21" ht="14.5" outlineLevel="3">
      <c r="B627" s="44" t="s">
        <v>2562</v>
      </c>
      <c r="C627" s="45" t="s">
        <v>2563</v>
      </c>
      <c r="D627" s="46" t="s">
        <v>179</v>
      </c>
      <c r="E627" s="47" t="s">
        <v>112</v>
      </c>
      <c r="F627" s="46" t="s">
        <v>317</v>
      </c>
      <c r="G627" s="47" t="s">
        <v>318</v>
      </c>
      <c r="H627" s="48">
        <v>1440</v>
      </c>
      <c r="I627" s="48">
        <v>843750</v>
      </c>
      <c r="J627" s="47" t="s">
        <v>115</v>
      </c>
      <c r="K627" s="49">
        <v>2</v>
      </c>
      <c r="L627" s="49" t="s">
        <v>116</v>
      </c>
      <c r="M627" s="46" t="s">
        <v>2549</v>
      </c>
      <c r="N627" s="50">
        <v>0.2</v>
      </c>
      <c r="O627" s="50">
        <v>0.3</v>
      </c>
      <c r="P627" s="50">
        <v>0.25</v>
      </c>
      <c r="Q627" s="46" t="s">
        <v>102</v>
      </c>
      <c r="R627" s="46" t="s">
        <v>102</v>
      </c>
      <c r="S627" s="46" t="s">
        <v>102</v>
      </c>
      <c r="T627" s="46" t="s">
        <v>128</v>
      </c>
      <c r="U627" s="51">
        <v>4</v>
      </c>
    </row>
    <row r="628" spans="2:21" ht="14.5" outlineLevel="3">
      <c r="B628" s="44" t="s">
        <v>2564</v>
      </c>
      <c r="C628" s="45" t="s">
        <v>2565</v>
      </c>
      <c r="D628" s="46" t="s">
        <v>179</v>
      </c>
      <c r="E628" s="47" t="s">
        <v>112</v>
      </c>
      <c r="F628" s="46" t="s">
        <v>321</v>
      </c>
      <c r="G628" s="47" t="s">
        <v>322</v>
      </c>
      <c r="H628" s="48">
        <v>125</v>
      </c>
      <c r="I628" s="48">
        <v>421875</v>
      </c>
      <c r="J628" s="47" t="s">
        <v>115</v>
      </c>
      <c r="K628" s="49">
        <v>2</v>
      </c>
      <c r="L628" s="49" t="s">
        <v>116</v>
      </c>
      <c r="M628" s="46" t="s">
        <v>2549</v>
      </c>
      <c r="N628" s="50">
        <v>0.2</v>
      </c>
      <c r="O628" s="50">
        <v>0.3</v>
      </c>
      <c r="P628" s="50">
        <v>0.25</v>
      </c>
      <c r="Q628" s="46" t="s">
        <v>102</v>
      </c>
      <c r="R628" s="46" t="s">
        <v>102</v>
      </c>
      <c r="S628" s="46" t="s">
        <v>102</v>
      </c>
      <c r="T628" s="46" t="s">
        <v>133</v>
      </c>
      <c r="U628" s="51">
        <v>4</v>
      </c>
    </row>
    <row r="629" spans="2:21" ht="14.5" outlineLevel="3">
      <c r="B629" s="44" t="s">
        <v>2566</v>
      </c>
      <c r="C629" s="45" t="s">
        <v>2567</v>
      </c>
      <c r="D629" s="46" t="s">
        <v>165</v>
      </c>
      <c r="E629" s="47" t="s">
        <v>112</v>
      </c>
      <c r="F629" s="46" t="s">
        <v>325</v>
      </c>
      <c r="G629" s="47" t="s">
        <v>326</v>
      </c>
      <c r="H629" s="48">
        <v>28258.35</v>
      </c>
      <c r="I629" s="48">
        <v>12600</v>
      </c>
      <c r="J629" s="47" t="s">
        <v>115</v>
      </c>
      <c r="K629" s="49">
        <v>2</v>
      </c>
      <c r="L629" s="49" t="s">
        <v>116</v>
      </c>
      <c r="M629" s="46" t="s">
        <v>2549</v>
      </c>
      <c r="N629" s="50">
        <v>0.2</v>
      </c>
      <c r="O629" s="50">
        <v>0.3</v>
      </c>
      <c r="P629" s="50">
        <v>0.25</v>
      </c>
      <c r="Q629" s="46" t="s">
        <v>102</v>
      </c>
      <c r="R629" s="46" t="s">
        <v>102</v>
      </c>
      <c r="S629" s="46" t="s">
        <v>102</v>
      </c>
      <c r="T629" s="46" t="s">
        <v>138</v>
      </c>
      <c r="U629" s="51">
        <v>4</v>
      </c>
    </row>
    <row r="630" spans="2:21" ht="14.5" outlineLevel="3">
      <c r="B630" s="44" t="s">
        <v>2568</v>
      </c>
      <c r="C630" s="45" t="s">
        <v>2569</v>
      </c>
      <c r="D630" s="46" t="s">
        <v>179</v>
      </c>
      <c r="E630" s="47" t="s">
        <v>112</v>
      </c>
      <c r="F630" s="46" t="s">
        <v>333</v>
      </c>
      <c r="G630" s="47" t="s">
        <v>334</v>
      </c>
      <c r="H630" s="48">
        <v>163</v>
      </c>
      <c r="I630" s="48">
        <v>363756.4</v>
      </c>
      <c r="J630" s="47" t="s">
        <v>115</v>
      </c>
      <c r="K630" s="49">
        <v>2</v>
      </c>
      <c r="L630" s="49" t="s">
        <v>116</v>
      </c>
      <c r="M630" s="46" t="s">
        <v>2549</v>
      </c>
      <c r="N630" s="50">
        <v>0.2</v>
      </c>
      <c r="O630" s="50">
        <v>0.3</v>
      </c>
      <c r="P630" s="50">
        <v>0.25</v>
      </c>
      <c r="Q630" s="46" t="s">
        <v>102</v>
      </c>
      <c r="R630" s="46" t="s">
        <v>102</v>
      </c>
      <c r="S630" s="46" t="s">
        <v>102</v>
      </c>
      <c r="T630" s="46" t="s">
        <v>176</v>
      </c>
      <c r="U630" s="51">
        <v>4</v>
      </c>
    </row>
    <row r="631" spans="2:21" ht="14.5" outlineLevel="3">
      <c r="B631" s="44" t="s">
        <v>2570</v>
      </c>
      <c r="C631" s="45" t="s">
        <v>2571</v>
      </c>
      <c r="D631" s="46" t="s">
        <v>179</v>
      </c>
      <c r="E631" s="47" t="s">
        <v>112</v>
      </c>
      <c r="F631" s="46" t="s">
        <v>337</v>
      </c>
      <c r="G631" s="47" t="s">
        <v>338</v>
      </c>
      <c r="H631" s="48">
        <v>250</v>
      </c>
      <c r="I631" s="48">
        <v>2503800</v>
      </c>
      <c r="J631" s="47" t="s">
        <v>115</v>
      </c>
      <c r="K631" s="49">
        <v>2</v>
      </c>
      <c r="L631" s="49" t="s">
        <v>116</v>
      </c>
      <c r="M631" s="46" t="s">
        <v>2549</v>
      </c>
      <c r="N631" s="50">
        <v>0.2</v>
      </c>
      <c r="O631" s="50">
        <v>0.3</v>
      </c>
      <c r="P631" s="50">
        <v>0.25</v>
      </c>
      <c r="Q631" s="46" t="s">
        <v>102</v>
      </c>
      <c r="R631" s="46" t="s">
        <v>102</v>
      </c>
      <c r="S631" s="46" t="s">
        <v>102</v>
      </c>
      <c r="T631" s="46" t="s">
        <v>187</v>
      </c>
      <c r="U631" s="51">
        <v>4</v>
      </c>
    </row>
    <row r="632" spans="2:21" ht="14.5" outlineLevel="1">
      <c r="B632" s="28" t="s">
        <v>2572</v>
      </c>
      <c r="C632" s="29" t="s">
        <v>2573</v>
      </c>
      <c r="D632" s="30" t="s">
        <v>102</v>
      </c>
      <c r="E632" s="31" t="s">
        <v>102</v>
      </c>
      <c r="F632" s="30" t="s">
        <v>102</v>
      </c>
      <c r="G632" s="31" t="s">
        <v>102</v>
      </c>
      <c r="H632" s="32">
        <v>0</v>
      </c>
      <c r="I632" s="32">
        <v>0</v>
      </c>
      <c r="J632" s="31" t="s">
        <v>102</v>
      </c>
      <c r="K632" s="33">
        <v>0</v>
      </c>
      <c r="L632" s="33" t="s">
        <v>102</v>
      </c>
      <c r="M632" s="30" t="s">
        <v>102</v>
      </c>
      <c r="N632" s="34">
        <v>0</v>
      </c>
      <c r="O632" s="34">
        <v>0</v>
      </c>
      <c r="P632" s="34">
        <v>0</v>
      </c>
      <c r="Q632" s="30" t="s">
        <v>102</v>
      </c>
      <c r="R632" s="30" t="s">
        <v>2574</v>
      </c>
      <c r="S632" s="30" t="s">
        <v>102</v>
      </c>
      <c r="T632" s="30" t="s">
        <v>102</v>
      </c>
      <c r="U632" s="35">
        <v>2</v>
      </c>
    </row>
    <row r="633" spans="2:21" ht="14.5" outlineLevel="2">
      <c r="B633" s="36" t="s">
        <v>2575</v>
      </c>
      <c r="C633" s="37" t="s">
        <v>2576</v>
      </c>
      <c r="D633" s="38" t="s">
        <v>102</v>
      </c>
      <c r="E633" s="39" t="s">
        <v>102</v>
      </c>
      <c r="F633" s="38" t="s">
        <v>102</v>
      </c>
      <c r="G633" s="39" t="s">
        <v>102</v>
      </c>
      <c r="H633" s="40">
        <v>0</v>
      </c>
      <c r="I633" s="40">
        <v>0</v>
      </c>
      <c r="J633" s="39" t="s">
        <v>102</v>
      </c>
      <c r="K633" s="41">
        <v>0</v>
      </c>
      <c r="L633" s="41" t="s">
        <v>102</v>
      </c>
      <c r="M633" s="38" t="s">
        <v>102</v>
      </c>
      <c r="N633" s="42">
        <v>0</v>
      </c>
      <c r="O633" s="42">
        <v>0</v>
      </c>
      <c r="P633" s="42">
        <v>0</v>
      </c>
      <c r="Q633" s="38" t="s">
        <v>102</v>
      </c>
      <c r="R633" s="38" t="s">
        <v>102</v>
      </c>
      <c r="S633" s="38" t="s">
        <v>408</v>
      </c>
      <c r="T633" s="38" t="s">
        <v>102</v>
      </c>
      <c r="U633" s="43">
        <v>3</v>
      </c>
    </row>
    <row r="634" spans="2:21" ht="14.5" outlineLevel="3">
      <c r="B634" s="44" t="s">
        <v>2577</v>
      </c>
      <c r="C634" s="45" t="s">
        <v>2578</v>
      </c>
      <c r="D634" s="46" t="s">
        <v>111</v>
      </c>
      <c r="E634" s="47" t="s">
        <v>411</v>
      </c>
      <c r="F634" s="46" t="s">
        <v>430</v>
      </c>
      <c r="G634" s="47" t="s">
        <v>431</v>
      </c>
      <c r="H634" s="48">
        <v>410</v>
      </c>
      <c r="I634" s="48">
        <v>329195.32</v>
      </c>
      <c r="J634" s="47" t="s">
        <v>115</v>
      </c>
      <c r="K634" s="49">
        <v>2</v>
      </c>
      <c r="L634" s="49" t="s">
        <v>116</v>
      </c>
      <c r="M634" s="46" t="s">
        <v>2549</v>
      </c>
      <c r="N634" s="50">
        <v>0.3</v>
      </c>
      <c r="O634" s="50">
        <v>0</v>
      </c>
      <c r="P634" s="50">
        <v>0.2</v>
      </c>
      <c r="Q634" s="46" t="s">
        <v>102</v>
      </c>
      <c r="R634" s="46" t="s">
        <v>102</v>
      </c>
      <c r="S634" s="46" t="s">
        <v>102</v>
      </c>
      <c r="T634" s="46" t="s">
        <v>432</v>
      </c>
      <c r="U634" s="51">
        <v>4</v>
      </c>
    </row>
    <row r="635" spans="2:21" ht="14.5" outlineLevel="3">
      <c r="B635" s="44" t="s">
        <v>2579</v>
      </c>
      <c r="C635" s="45" t="s">
        <v>2580</v>
      </c>
      <c r="D635" s="46" t="s">
        <v>111</v>
      </c>
      <c r="E635" s="47" t="s">
        <v>411</v>
      </c>
      <c r="F635" s="46" t="s">
        <v>435</v>
      </c>
      <c r="G635" s="47" t="s">
        <v>431</v>
      </c>
      <c r="H635" s="48">
        <v>445</v>
      </c>
      <c r="I635" s="48">
        <v>282591.28000000003</v>
      </c>
      <c r="J635" s="47" t="s">
        <v>115</v>
      </c>
      <c r="K635" s="49">
        <v>2</v>
      </c>
      <c r="L635" s="49" t="s">
        <v>116</v>
      </c>
      <c r="M635" s="46" t="s">
        <v>2549</v>
      </c>
      <c r="N635" s="50">
        <v>0.3</v>
      </c>
      <c r="O635" s="50">
        <v>0</v>
      </c>
      <c r="P635" s="50">
        <v>0.2</v>
      </c>
      <c r="Q635" s="46" t="s">
        <v>102</v>
      </c>
      <c r="R635" s="46" t="s">
        <v>102</v>
      </c>
      <c r="S635" s="46" t="s">
        <v>102</v>
      </c>
      <c r="T635" s="46" t="s">
        <v>436</v>
      </c>
      <c r="U635" s="51">
        <v>4</v>
      </c>
    </row>
    <row r="636" spans="2:21" ht="14.5" outlineLevel="3">
      <c r="B636" s="44" t="s">
        <v>2581</v>
      </c>
      <c r="C636" s="45" t="s">
        <v>2582</v>
      </c>
      <c r="D636" s="46" t="s">
        <v>165</v>
      </c>
      <c r="E636" s="47" t="s">
        <v>411</v>
      </c>
      <c r="F636" s="46" t="s">
        <v>439</v>
      </c>
      <c r="G636" s="47" t="s">
        <v>440</v>
      </c>
      <c r="H636" s="48">
        <v>4487</v>
      </c>
      <c r="I636" s="48">
        <v>129236.63</v>
      </c>
      <c r="J636" s="47" t="s">
        <v>115</v>
      </c>
      <c r="K636" s="49">
        <v>2</v>
      </c>
      <c r="L636" s="49" t="s">
        <v>116</v>
      </c>
      <c r="M636" s="46" t="s">
        <v>2549</v>
      </c>
      <c r="N636" s="50">
        <v>0.1</v>
      </c>
      <c r="O636" s="50">
        <v>0.15</v>
      </c>
      <c r="P636" s="50">
        <v>0.2</v>
      </c>
      <c r="Q636" s="46" t="s">
        <v>102</v>
      </c>
      <c r="R636" s="46" t="s">
        <v>102</v>
      </c>
      <c r="S636" s="46" t="s">
        <v>102</v>
      </c>
      <c r="T636" s="46" t="s">
        <v>441</v>
      </c>
      <c r="U636" s="51">
        <v>4</v>
      </c>
    </row>
    <row r="637" spans="2:21" ht="14.5" outlineLevel="3">
      <c r="B637" s="44" t="s">
        <v>2583</v>
      </c>
      <c r="C637" s="45" t="s">
        <v>2584</v>
      </c>
      <c r="D637" s="46" t="s">
        <v>165</v>
      </c>
      <c r="E637" s="47" t="s">
        <v>411</v>
      </c>
      <c r="F637" s="46" t="s">
        <v>444</v>
      </c>
      <c r="G637" s="47" t="s">
        <v>440</v>
      </c>
      <c r="H637" s="48">
        <v>4487</v>
      </c>
      <c r="I637" s="48">
        <v>129236.63</v>
      </c>
      <c r="J637" s="47" t="s">
        <v>115</v>
      </c>
      <c r="K637" s="49">
        <v>2</v>
      </c>
      <c r="L637" s="49" t="s">
        <v>116</v>
      </c>
      <c r="M637" s="46" t="s">
        <v>2549</v>
      </c>
      <c r="N637" s="50">
        <v>0.1</v>
      </c>
      <c r="O637" s="50">
        <v>0.1</v>
      </c>
      <c r="P637" s="50">
        <v>0.15</v>
      </c>
      <c r="Q637" s="46" t="s">
        <v>102</v>
      </c>
      <c r="R637" s="46" t="s">
        <v>102</v>
      </c>
      <c r="S637" s="46" t="s">
        <v>102</v>
      </c>
      <c r="T637" s="46" t="s">
        <v>445</v>
      </c>
      <c r="U637" s="51">
        <v>4</v>
      </c>
    </row>
    <row r="638" spans="2:21" ht="14.5" outlineLevel="3">
      <c r="B638" s="44" t="s">
        <v>2585</v>
      </c>
      <c r="C638" s="45" t="s">
        <v>2586</v>
      </c>
      <c r="D638" s="46" t="s">
        <v>165</v>
      </c>
      <c r="E638" s="47" t="s">
        <v>411</v>
      </c>
      <c r="F638" s="46" t="s">
        <v>448</v>
      </c>
      <c r="G638" s="47" t="s">
        <v>449</v>
      </c>
      <c r="H638" s="48">
        <v>7410</v>
      </c>
      <c r="I638" s="48">
        <v>32392</v>
      </c>
      <c r="J638" s="47" t="s">
        <v>115</v>
      </c>
      <c r="K638" s="49">
        <v>2</v>
      </c>
      <c r="L638" s="49" t="s">
        <v>116</v>
      </c>
      <c r="M638" s="46" t="s">
        <v>2549</v>
      </c>
      <c r="N638" s="50">
        <v>0.2</v>
      </c>
      <c r="O638" s="50">
        <v>0.3</v>
      </c>
      <c r="P638" s="50">
        <v>0.25</v>
      </c>
      <c r="Q638" s="46" t="s">
        <v>102</v>
      </c>
      <c r="R638" s="46" t="s">
        <v>102</v>
      </c>
      <c r="S638" s="46" t="s">
        <v>102</v>
      </c>
      <c r="T638" s="46" t="s">
        <v>450</v>
      </c>
      <c r="U638" s="51">
        <v>4</v>
      </c>
    </row>
    <row r="639" spans="2:21" ht="14.5" outlineLevel="3">
      <c r="B639" s="44" t="s">
        <v>2587</v>
      </c>
      <c r="C639" s="45" t="s">
        <v>2588</v>
      </c>
      <c r="D639" s="46" t="s">
        <v>458</v>
      </c>
      <c r="E639" s="47" t="s">
        <v>411</v>
      </c>
      <c r="F639" s="46" t="s">
        <v>459</v>
      </c>
      <c r="G639" s="47" t="s">
        <v>460</v>
      </c>
      <c r="H639" s="48">
        <v>4942000</v>
      </c>
      <c r="I639" s="48">
        <v>24</v>
      </c>
      <c r="J639" s="47" t="s">
        <v>115</v>
      </c>
      <c r="K639" s="49">
        <v>2</v>
      </c>
      <c r="L639" s="49" t="s">
        <v>116</v>
      </c>
      <c r="M639" s="46" t="s">
        <v>2549</v>
      </c>
      <c r="N639" s="50">
        <v>0.2</v>
      </c>
      <c r="O639" s="50">
        <v>0.3</v>
      </c>
      <c r="P639" s="50">
        <v>0.25</v>
      </c>
      <c r="Q639" s="46" t="s">
        <v>102</v>
      </c>
      <c r="R639" s="46" t="s">
        <v>102</v>
      </c>
      <c r="S639" s="46" t="s">
        <v>102</v>
      </c>
      <c r="T639" s="46" t="s">
        <v>461</v>
      </c>
      <c r="U639" s="51">
        <v>4</v>
      </c>
    </row>
    <row r="640" spans="2:21" ht="14.5" outlineLevel="3">
      <c r="B640" s="44" t="s">
        <v>2589</v>
      </c>
      <c r="C640" s="45" t="s">
        <v>2590</v>
      </c>
      <c r="D640" s="46" t="s">
        <v>458</v>
      </c>
      <c r="E640" s="47" t="s">
        <v>411</v>
      </c>
      <c r="F640" s="46" t="s">
        <v>464</v>
      </c>
      <c r="G640" s="47" t="s">
        <v>465</v>
      </c>
      <c r="H640" s="48">
        <v>4224000</v>
      </c>
      <c r="I640" s="48">
        <v>8</v>
      </c>
      <c r="J640" s="47" t="s">
        <v>115</v>
      </c>
      <c r="K640" s="49">
        <v>2</v>
      </c>
      <c r="L640" s="49" t="s">
        <v>116</v>
      </c>
      <c r="M640" s="46" t="s">
        <v>2549</v>
      </c>
      <c r="N640" s="50">
        <v>0.2</v>
      </c>
      <c r="O640" s="50">
        <v>0.3</v>
      </c>
      <c r="P640" s="50">
        <v>0.25</v>
      </c>
      <c r="Q640" s="46" t="s">
        <v>102</v>
      </c>
      <c r="R640" s="46" t="s">
        <v>102</v>
      </c>
      <c r="S640" s="46" t="s">
        <v>102</v>
      </c>
      <c r="T640" s="46" t="s">
        <v>466</v>
      </c>
      <c r="U640" s="51">
        <v>4</v>
      </c>
    </row>
    <row r="641" spans="2:21" ht="14.5" outlineLevel="3">
      <c r="B641" s="44" t="s">
        <v>2591</v>
      </c>
      <c r="C641" s="45" t="s">
        <v>2592</v>
      </c>
      <c r="D641" s="46" t="s">
        <v>469</v>
      </c>
      <c r="E641" s="47" t="s">
        <v>411</v>
      </c>
      <c r="F641" s="46" t="s">
        <v>470</v>
      </c>
      <c r="G641" s="47" t="s">
        <v>471</v>
      </c>
      <c r="H641" s="48">
        <v>2832000</v>
      </c>
      <c r="I641" s="48">
        <v>8</v>
      </c>
      <c r="J641" s="47" t="s">
        <v>115</v>
      </c>
      <c r="K641" s="49">
        <v>2</v>
      </c>
      <c r="L641" s="49" t="s">
        <v>116</v>
      </c>
      <c r="M641" s="46" t="s">
        <v>2549</v>
      </c>
      <c r="N641" s="50">
        <v>0.2</v>
      </c>
      <c r="O641" s="50">
        <v>0.3</v>
      </c>
      <c r="P641" s="50">
        <v>0.25</v>
      </c>
      <c r="Q641" s="46" t="s">
        <v>102</v>
      </c>
      <c r="R641" s="46" t="s">
        <v>102</v>
      </c>
      <c r="S641" s="46" t="s">
        <v>102</v>
      </c>
      <c r="T641" s="46" t="s">
        <v>472</v>
      </c>
      <c r="U641" s="51">
        <v>4</v>
      </c>
    </row>
    <row r="642" spans="2:21" ht="14.5" outlineLevel="3">
      <c r="B642" s="44" t="s">
        <v>2593</v>
      </c>
      <c r="C642" s="45" t="s">
        <v>2594</v>
      </c>
      <c r="D642" s="46" t="s">
        <v>458</v>
      </c>
      <c r="E642" s="47" t="s">
        <v>411</v>
      </c>
      <c r="F642" s="46" t="s">
        <v>475</v>
      </c>
      <c r="G642" s="47" t="s">
        <v>476</v>
      </c>
      <c r="H642" s="48">
        <v>3732000</v>
      </c>
      <c r="I642" s="48">
        <v>17</v>
      </c>
      <c r="J642" s="47" t="s">
        <v>115</v>
      </c>
      <c r="K642" s="49">
        <v>2</v>
      </c>
      <c r="L642" s="49" t="s">
        <v>116</v>
      </c>
      <c r="M642" s="46" t="s">
        <v>2549</v>
      </c>
      <c r="N642" s="50">
        <v>0.2</v>
      </c>
      <c r="O642" s="50">
        <v>0.3</v>
      </c>
      <c r="P642" s="50">
        <v>0.25</v>
      </c>
      <c r="Q642" s="46" t="s">
        <v>102</v>
      </c>
      <c r="R642" s="46" t="s">
        <v>102</v>
      </c>
      <c r="S642" s="46" t="s">
        <v>102</v>
      </c>
      <c r="T642" s="46" t="s">
        <v>477</v>
      </c>
      <c r="U642" s="51">
        <v>4</v>
      </c>
    </row>
    <row r="643" spans="2:21" ht="14.5" outlineLevel="3">
      <c r="B643" s="44" t="s">
        <v>2595</v>
      </c>
      <c r="C643" s="45" t="s">
        <v>2596</v>
      </c>
      <c r="D643" s="46" t="s">
        <v>458</v>
      </c>
      <c r="E643" s="47" t="s">
        <v>411</v>
      </c>
      <c r="F643" s="46" t="s">
        <v>480</v>
      </c>
      <c r="G643" s="47" t="s">
        <v>481</v>
      </c>
      <c r="H643" s="48">
        <v>3201000</v>
      </c>
      <c r="I643" s="48">
        <v>5</v>
      </c>
      <c r="J643" s="47" t="s">
        <v>115</v>
      </c>
      <c r="K643" s="49">
        <v>2</v>
      </c>
      <c r="L643" s="49" t="s">
        <v>116</v>
      </c>
      <c r="M643" s="46" t="s">
        <v>2549</v>
      </c>
      <c r="N643" s="50">
        <v>0.2</v>
      </c>
      <c r="O643" s="50">
        <v>0.3</v>
      </c>
      <c r="P643" s="50">
        <v>0.25</v>
      </c>
      <c r="Q643" s="46" t="s">
        <v>102</v>
      </c>
      <c r="R643" s="46" t="s">
        <v>102</v>
      </c>
      <c r="S643" s="46" t="s">
        <v>102</v>
      </c>
      <c r="T643" s="46" t="s">
        <v>482</v>
      </c>
      <c r="U643" s="51">
        <v>4</v>
      </c>
    </row>
    <row r="644" spans="2:21" ht="14.5" outlineLevel="3">
      <c r="B644" s="44" t="s">
        <v>2597</v>
      </c>
      <c r="C644" s="45" t="s">
        <v>2598</v>
      </c>
      <c r="D644" s="46" t="s">
        <v>469</v>
      </c>
      <c r="E644" s="47" t="s">
        <v>411</v>
      </c>
      <c r="F644" s="46" t="s">
        <v>485</v>
      </c>
      <c r="G644" s="47" t="s">
        <v>486</v>
      </c>
      <c r="H644" s="48">
        <v>2270000</v>
      </c>
      <c r="I644" s="48">
        <v>5</v>
      </c>
      <c r="J644" s="47" t="s">
        <v>115</v>
      </c>
      <c r="K644" s="49">
        <v>2</v>
      </c>
      <c r="L644" s="49" t="s">
        <v>116</v>
      </c>
      <c r="M644" s="46" t="s">
        <v>2549</v>
      </c>
      <c r="N644" s="50">
        <v>0.2</v>
      </c>
      <c r="O644" s="50">
        <v>0.3</v>
      </c>
      <c r="P644" s="50">
        <v>0.25</v>
      </c>
      <c r="Q644" s="46" t="s">
        <v>102</v>
      </c>
      <c r="R644" s="46" t="s">
        <v>102</v>
      </c>
      <c r="S644" s="46" t="s">
        <v>102</v>
      </c>
      <c r="T644" s="46" t="s">
        <v>487</v>
      </c>
      <c r="U644" s="51">
        <v>4</v>
      </c>
    </row>
    <row r="645" spans="2:21" ht="14.5" outlineLevel="1">
      <c r="B645" s="28" t="s">
        <v>2599</v>
      </c>
      <c r="C645" s="29" t="s">
        <v>2600</v>
      </c>
      <c r="D645" s="30" t="s">
        <v>102</v>
      </c>
      <c r="E645" s="31" t="s">
        <v>102</v>
      </c>
      <c r="F645" s="30" t="s">
        <v>102</v>
      </c>
      <c r="G645" s="31" t="s">
        <v>102</v>
      </c>
      <c r="H645" s="32">
        <v>0</v>
      </c>
      <c r="I645" s="32">
        <v>0</v>
      </c>
      <c r="J645" s="31" t="s">
        <v>102</v>
      </c>
      <c r="K645" s="33">
        <v>0</v>
      </c>
      <c r="L645" s="33" t="s">
        <v>102</v>
      </c>
      <c r="M645" s="30" t="s">
        <v>102</v>
      </c>
      <c r="N645" s="34">
        <v>0</v>
      </c>
      <c r="O645" s="34">
        <v>0</v>
      </c>
      <c r="P645" s="34">
        <v>0</v>
      </c>
      <c r="Q645" s="30" t="s">
        <v>102</v>
      </c>
      <c r="R645" s="30" t="s">
        <v>2601</v>
      </c>
      <c r="S645" s="30" t="s">
        <v>102</v>
      </c>
      <c r="T645" s="30" t="s">
        <v>102</v>
      </c>
      <c r="U645" s="35">
        <v>2</v>
      </c>
    </row>
    <row r="646" spans="2:21" ht="14.5" outlineLevel="2">
      <c r="B646" s="36" t="s">
        <v>2602</v>
      </c>
      <c r="C646" s="37" t="s">
        <v>2600</v>
      </c>
      <c r="D646" s="38" t="s">
        <v>102</v>
      </c>
      <c r="E646" s="39" t="s">
        <v>102</v>
      </c>
      <c r="F646" s="38" t="s">
        <v>102</v>
      </c>
      <c r="G646" s="39" t="s">
        <v>102</v>
      </c>
      <c r="H646" s="40">
        <v>0</v>
      </c>
      <c r="I646" s="40">
        <v>0</v>
      </c>
      <c r="J646" s="39" t="s">
        <v>102</v>
      </c>
      <c r="K646" s="41">
        <v>0</v>
      </c>
      <c r="L646" s="41" t="s">
        <v>102</v>
      </c>
      <c r="M646" s="38" t="s">
        <v>102</v>
      </c>
      <c r="N646" s="42">
        <v>0</v>
      </c>
      <c r="O646" s="42">
        <v>0</v>
      </c>
      <c r="P646" s="42">
        <v>0</v>
      </c>
      <c r="Q646" s="38" t="s">
        <v>102</v>
      </c>
      <c r="R646" s="38" t="s">
        <v>102</v>
      </c>
      <c r="S646" s="38" t="s">
        <v>408</v>
      </c>
      <c r="T646" s="38" t="s">
        <v>102</v>
      </c>
      <c r="U646" s="43">
        <v>3</v>
      </c>
    </row>
    <row r="647" spans="2:21" ht="14.5" outlineLevel="3">
      <c r="B647" s="44" t="s">
        <v>2603</v>
      </c>
      <c r="C647" s="45" t="s">
        <v>2604</v>
      </c>
      <c r="D647" s="46" t="s">
        <v>392</v>
      </c>
      <c r="E647" s="47" t="s">
        <v>102</v>
      </c>
      <c r="F647" s="46" t="s">
        <v>102</v>
      </c>
      <c r="G647" s="47" t="s">
        <v>102</v>
      </c>
      <c r="H647" s="48">
        <v>0</v>
      </c>
      <c r="I647" s="48">
        <v>0</v>
      </c>
      <c r="J647" s="47" t="s">
        <v>2605</v>
      </c>
      <c r="K647" s="49">
        <v>2</v>
      </c>
      <c r="L647" s="49" t="s">
        <v>116</v>
      </c>
      <c r="M647" s="46" t="s">
        <v>117</v>
      </c>
      <c r="N647" s="50">
        <v>0</v>
      </c>
      <c r="O647" s="50">
        <v>0</v>
      </c>
      <c r="P647" s="50">
        <v>0</v>
      </c>
      <c r="Q647" s="46" t="s">
        <v>102</v>
      </c>
      <c r="R647" s="46" t="s">
        <v>102</v>
      </c>
      <c r="S647" s="46" t="s">
        <v>102</v>
      </c>
      <c r="T647" s="46" t="s">
        <v>118</v>
      </c>
      <c r="U647" s="51">
        <v>4</v>
      </c>
    </row>
    <row r="648" spans="2:21" ht="14.5" outlineLevel="3">
      <c r="B648" s="44" t="s">
        <v>2606</v>
      </c>
      <c r="C648" s="45" t="s">
        <v>2604</v>
      </c>
      <c r="D648" s="46" t="s">
        <v>392</v>
      </c>
      <c r="E648" s="47" t="s">
        <v>102</v>
      </c>
      <c r="F648" s="46" t="s">
        <v>102</v>
      </c>
      <c r="G648" s="47" t="s">
        <v>102</v>
      </c>
      <c r="H648" s="48">
        <v>0</v>
      </c>
      <c r="I648" s="48">
        <v>0</v>
      </c>
      <c r="J648" s="47" t="s">
        <v>2605</v>
      </c>
      <c r="K648" s="49">
        <v>2</v>
      </c>
      <c r="L648" s="49" t="s">
        <v>116</v>
      </c>
      <c r="M648" s="46" t="s">
        <v>2549</v>
      </c>
      <c r="N648" s="50">
        <v>0</v>
      </c>
      <c r="O648" s="50">
        <v>0</v>
      </c>
      <c r="P648" s="50">
        <v>0</v>
      </c>
      <c r="Q648" s="46" t="s">
        <v>102</v>
      </c>
      <c r="R648" s="46" t="s">
        <v>102</v>
      </c>
      <c r="S648" s="46" t="s">
        <v>102</v>
      </c>
      <c r="T648" s="46" t="s">
        <v>123</v>
      </c>
      <c r="U648" s="51">
        <v>4</v>
      </c>
    </row>
    <row r="649" spans="2:21" ht="14.5">
      <c r="B649" s="52" t="s">
        <v>2607</v>
      </c>
      <c r="C649" s="53" t="s">
        <v>2608</v>
      </c>
      <c r="D649" s="54" t="s">
        <v>102</v>
      </c>
      <c r="E649" s="55" t="s">
        <v>102</v>
      </c>
      <c r="F649" s="54" t="s">
        <v>102</v>
      </c>
      <c r="G649" s="55" t="s">
        <v>102</v>
      </c>
      <c r="H649" s="56">
        <v>0</v>
      </c>
      <c r="I649" s="56">
        <v>0</v>
      </c>
      <c r="J649" s="55" t="s">
        <v>102</v>
      </c>
      <c r="K649" s="57">
        <v>0</v>
      </c>
      <c r="L649" s="57" t="s">
        <v>102</v>
      </c>
      <c r="M649" s="54" t="s">
        <v>102</v>
      </c>
      <c r="N649" s="58">
        <v>0</v>
      </c>
      <c r="O649" s="58">
        <v>0</v>
      </c>
      <c r="P649" s="58">
        <v>0</v>
      </c>
      <c r="Q649" s="54" t="s">
        <v>2607</v>
      </c>
      <c r="R649" s="54" t="s">
        <v>102</v>
      </c>
      <c r="S649" s="54" t="s">
        <v>102</v>
      </c>
      <c r="T649" s="54" t="s">
        <v>102</v>
      </c>
      <c r="U649" s="59">
        <v>1</v>
      </c>
    </row>
    <row r="650" spans="2:21" ht="14.5" outlineLevel="1">
      <c r="B650" s="28" t="s">
        <v>2609</v>
      </c>
      <c r="C650" s="29" t="s">
        <v>2610</v>
      </c>
      <c r="D650" s="30" t="s">
        <v>102</v>
      </c>
      <c r="E650" s="31" t="s">
        <v>102</v>
      </c>
      <c r="F650" s="30" t="s">
        <v>102</v>
      </c>
      <c r="G650" s="31" t="s">
        <v>102</v>
      </c>
      <c r="H650" s="32">
        <v>0</v>
      </c>
      <c r="I650" s="32">
        <v>0</v>
      </c>
      <c r="J650" s="31" t="s">
        <v>102</v>
      </c>
      <c r="K650" s="33">
        <v>0</v>
      </c>
      <c r="L650" s="33" t="s">
        <v>102</v>
      </c>
      <c r="M650" s="30" t="s">
        <v>102</v>
      </c>
      <c r="N650" s="34">
        <v>0</v>
      </c>
      <c r="O650" s="34">
        <v>0</v>
      </c>
      <c r="P650" s="34">
        <v>0</v>
      </c>
      <c r="Q650" s="30" t="s">
        <v>102</v>
      </c>
      <c r="R650" s="30" t="s">
        <v>105</v>
      </c>
      <c r="S650" s="30" t="s">
        <v>102</v>
      </c>
      <c r="T650" s="30" t="s">
        <v>102</v>
      </c>
      <c r="U650" s="35">
        <v>2</v>
      </c>
    </row>
    <row r="651" spans="2:21" ht="14.5" outlineLevel="2">
      <c r="B651" s="36" t="s">
        <v>2611</v>
      </c>
      <c r="C651" s="37" t="s">
        <v>2612</v>
      </c>
      <c r="D651" s="38" t="s">
        <v>102</v>
      </c>
      <c r="E651" s="39" t="s">
        <v>102</v>
      </c>
      <c r="F651" s="38" t="s">
        <v>102</v>
      </c>
      <c r="G651" s="39" t="s">
        <v>102</v>
      </c>
      <c r="H651" s="40">
        <v>0</v>
      </c>
      <c r="I651" s="40">
        <v>0</v>
      </c>
      <c r="J651" s="39" t="s">
        <v>102</v>
      </c>
      <c r="K651" s="41">
        <v>0</v>
      </c>
      <c r="L651" s="41" t="s">
        <v>102</v>
      </c>
      <c r="M651" s="38" t="s">
        <v>102</v>
      </c>
      <c r="N651" s="42">
        <v>0</v>
      </c>
      <c r="O651" s="42">
        <v>0</v>
      </c>
      <c r="P651" s="42">
        <v>0</v>
      </c>
      <c r="Q651" s="38" t="s">
        <v>102</v>
      </c>
      <c r="R651" s="38" t="s">
        <v>102</v>
      </c>
      <c r="S651" s="38" t="s">
        <v>108</v>
      </c>
      <c r="T651" s="38" t="s">
        <v>102</v>
      </c>
      <c r="U651" s="43">
        <v>3</v>
      </c>
    </row>
    <row r="652" spans="2:21" ht="14.5" outlineLevel="3">
      <c r="B652" s="44" t="s">
        <v>2</v>
      </c>
      <c r="C652" s="45" t="s">
        <v>110</v>
      </c>
      <c r="D652" s="46" t="s">
        <v>111</v>
      </c>
      <c r="E652" s="47" t="s">
        <v>102</v>
      </c>
      <c r="F652" s="46" t="s">
        <v>102</v>
      </c>
      <c r="G652" s="47" t="s">
        <v>102</v>
      </c>
      <c r="H652" s="48">
        <v>0</v>
      </c>
      <c r="I652" s="48">
        <v>0</v>
      </c>
      <c r="J652" s="47" t="s">
        <v>2613</v>
      </c>
      <c r="K652" s="49">
        <v>1</v>
      </c>
      <c r="L652" s="49" t="s">
        <v>2614</v>
      </c>
      <c r="M652" s="46" t="s">
        <v>117</v>
      </c>
      <c r="N652" s="50">
        <v>0</v>
      </c>
      <c r="O652" s="50">
        <v>0</v>
      </c>
      <c r="P652" s="50">
        <v>0</v>
      </c>
      <c r="Q652" s="46" t="s">
        <v>102</v>
      </c>
      <c r="R652" s="46" t="s">
        <v>102</v>
      </c>
      <c r="S652" s="46" t="s">
        <v>102</v>
      </c>
      <c r="T652" s="46" t="s">
        <v>118</v>
      </c>
      <c r="U652" s="51">
        <v>4</v>
      </c>
    </row>
    <row r="653" spans="2:21" ht="14.5" outlineLevel="3">
      <c r="B653" s="44" t="s">
        <v>2615</v>
      </c>
      <c r="C653" s="45" t="s">
        <v>120</v>
      </c>
      <c r="D653" s="46" t="s">
        <v>111</v>
      </c>
      <c r="E653" s="47" t="s">
        <v>102</v>
      </c>
      <c r="F653" s="46" t="s">
        <v>102</v>
      </c>
      <c r="G653" s="47" t="s">
        <v>102</v>
      </c>
      <c r="H653" s="48">
        <v>0</v>
      </c>
      <c r="I653" s="48">
        <v>0</v>
      </c>
      <c r="J653" s="47" t="s">
        <v>2613</v>
      </c>
      <c r="K653" s="49">
        <v>1</v>
      </c>
      <c r="L653" s="49" t="s">
        <v>2614</v>
      </c>
      <c r="M653" s="46" t="s">
        <v>117</v>
      </c>
      <c r="N653" s="50">
        <v>0</v>
      </c>
      <c r="O653" s="50">
        <v>0</v>
      </c>
      <c r="P653" s="50">
        <v>0</v>
      </c>
      <c r="Q653" s="46" t="s">
        <v>102</v>
      </c>
      <c r="R653" s="46" t="s">
        <v>102</v>
      </c>
      <c r="S653" s="46" t="s">
        <v>102</v>
      </c>
      <c r="T653" s="46" t="s">
        <v>123</v>
      </c>
      <c r="U653" s="51">
        <v>4</v>
      </c>
    </row>
    <row r="654" spans="2:21" ht="14.5" outlineLevel="3">
      <c r="B654" s="44" t="s">
        <v>2616</v>
      </c>
      <c r="C654" s="45" t="s">
        <v>125</v>
      </c>
      <c r="D654" s="46" t="s">
        <v>111</v>
      </c>
      <c r="E654" s="47" t="s">
        <v>102</v>
      </c>
      <c r="F654" s="46" t="s">
        <v>102</v>
      </c>
      <c r="G654" s="47" t="s">
        <v>102</v>
      </c>
      <c r="H654" s="48">
        <v>0</v>
      </c>
      <c r="I654" s="48">
        <v>0</v>
      </c>
      <c r="J654" s="47" t="s">
        <v>2613</v>
      </c>
      <c r="K654" s="49">
        <v>1</v>
      </c>
      <c r="L654" s="49" t="s">
        <v>2614</v>
      </c>
      <c r="M654" s="46" t="s">
        <v>117</v>
      </c>
      <c r="N654" s="50">
        <v>0</v>
      </c>
      <c r="O654" s="50">
        <v>0</v>
      </c>
      <c r="P654" s="50">
        <v>0</v>
      </c>
      <c r="Q654" s="46" t="s">
        <v>102</v>
      </c>
      <c r="R654" s="46" t="s">
        <v>102</v>
      </c>
      <c r="S654" s="46" t="s">
        <v>102</v>
      </c>
      <c r="T654" s="46" t="s">
        <v>128</v>
      </c>
      <c r="U654" s="51">
        <v>4</v>
      </c>
    </row>
    <row r="655" spans="2:21" ht="14.5" outlineLevel="3">
      <c r="B655" s="44" t="s">
        <v>2617</v>
      </c>
      <c r="C655" s="45" t="s">
        <v>130</v>
      </c>
      <c r="D655" s="46" t="s">
        <v>111</v>
      </c>
      <c r="E655" s="47" t="s">
        <v>102</v>
      </c>
      <c r="F655" s="46" t="s">
        <v>102</v>
      </c>
      <c r="G655" s="47" t="s">
        <v>102</v>
      </c>
      <c r="H655" s="48">
        <v>0</v>
      </c>
      <c r="I655" s="48">
        <v>0</v>
      </c>
      <c r="J655" s="47" t="s">
        <v>2613</v>
      </c>
      <c r="K655" s="49">
        <v>1</v>
      </c>
      <c r="L655" s="49" t="s">
        <v>2614</v>
      </c>
      <c r="M655" s="46" t="s">
        <v>117</v>
      </c>
      <c r="N655" s="50">
        <v>0</v>
      </c>
      <c r="O655" s="50">
        <v>0</v>
      </c>
      <c r="P655" s="50">
        <v>0</v>
      </c>
      <c r="Q655" s="46" t="s">
        <v>102</v>
      </c>
      <c r="R655" s="46" t="s">
        <v>102</v>
      </c>
      <c r="S655" s="46" t="s">
        <v>102</v>
      </c>
      <c r="T655" s="46" t="s">
        <v>133</v>
      </c>
      <c r="U655" s="51">
        <v>4</v>
      </c>
    </row>
    <row r="656" spans="2:21" ht="14.5" outlineLevel="3">
      <c r="B656" s="44" t="s">
        <v>2618</v>
      </c>
      <c r="C656" s="45" t="s">
        <v>135</v>
      </c>
      <c r="D656" s="46" t="s">
        <v>111</v>
      </c>
      <c r="E656" s="47" t="s">
        <v>102</v>
      </c>
      <c r="F656" s="46" t="s">
        <v>102</v>
      </c>
      <c r="G656" s="47" t="s">
        <v>102</v>
      </c>
      <c r="H656" s="48">
        <v>0</v>
      </c>
      <c r="I656" s="48">
        <v>0</v>
      </c>
      <c r="J656" s="47" t="s">
        <v>2613</v>
      </c>
      <c r="K656" s="49">
        <v>1</v>
      </c>
      <c r="L656" s="49" t="s">
        <v>2614</v>
      </c>
      <c r="M656" s="46" t="s">
        <v>117</v>
      </c>
      <c r="N656" s="50">
        <v>0</v>
      </c>
      <c r="O656" s="50">
        <v>0</v>
      </c>
      <c r="P656" s="50">
        <v>0</v>
      </c>
      <c r="Q656" s="46" t="s">
        <v>102</v>
      </c>
      <c r="R656" s="46" t="s">
        <v>102</v>
      </c>
      <c r="S656" s="46" t="s">
        <v>102</v>
      </c>
      <c r="T656" s="46" t="s">
        <v>138</v>
      </c>
      <c r="U656" s="51">
        <v>4</v>
      </c>
    </row>
    <row r="657" spans="2:21" ht="14.5" outlineLevel="3">
      <c r="B657" s="44" t="s">
        <v>2619</v>
      </c>
      <c r="C657" s="45" t="s">
        <v>140</v>
      </c>
      <c r="D657" s="46" t="s">
        <v>111</v>
      </c>
      <c r="E657" s="47" t="s">
        <v>102</v>
      </c>
      <c r="F657" s="46" t="s">
        <v>102</v>
      </c>
      <c r="G657" s="47" t="s">
        <v>102</v>
      </c>
      <c r="H657" s="48">
        <v>0</v>
      </c>
      <c r="I657" s="48">
        <v>0</v>
      </c>
      <c r="J657" s="47" t="s">
        <v>2613</v>
      </c>
      <c r="K657" s="49">
        <v>1</v>
      </c>
      <c r="L657" s="49" t="s">
        <v>2614</v>
      </c>
      <c r="M657" s="46" t="s">
        <v>117</v>
      </c>
      <c r="N657" s="50">
        <v>0</v>
      </c>
      <c r="O657" s="50">
        <v>0</v>
      </c>
      <c r="P657" s="50">
        <v>0</v>
      </c>
      <c r="Q657" s="46" t="s">
        <v>102</v>
      </c>
      <c r="R657" s="46" t="s">
        <v>102</v>
      </c>
      <c r="S657" s="46" t="s">
        <v>102</v>
      </c>
      <c r="T657" s="46" t="s">
        <v>143</v>
      </c>
      <c r="U657" s="51">
        <v>4</v>
      </c>
    </row>
    <row r="658" spans="2:21" ht="14.5" outlineLevel="2">
      <c r="B658" s="36" t="s">
        <v>2620</v>
      </c>
      <c r="C658" s="37" t="s">
        <v>2621</v>
      </c>
      <c r="D658" s="38" t="s">
        <v>102</v>
      </c>
      <c r="E658" s="39" t="s">
        <v>102</v>
      </c>
      <c r="F658" s="38" t="s">
        <v>102</v>
      </c>
      <c r="G658" s="39" t="s">
        <v>102</v>
      </c>
      <c r="H658" s="40">
        <v>0</v>
      </c>
      <c r="I658" s="40">
        <v>0</v>
      </c>
      <c r="J658" s="39" t="s">
        <v>102</v>
      </c>
      <c r="K658" s="41">
        <v>0</v>
      </c>
      <c r="L658" s="41" t="s">
        <v>102</v>
      </c>
      <c r="M658" s="38" t="s">
        <v>102</v>
      </c>
      <c r="N658" s="42">
        <v>0</v>
      </c>
      <c r="O658" s="42">
        <v>0</v>
      </c>
      <c r="P658" s="42">
        <v>0</v>
      </c>
      <c r="Q658" s="38" t="s">
        <v>102</v>
      </c>
      <c r="R658" s="38" t="s">
        <v>102</v>
      </c>
      <c r="S658" s="38" t="s">
        <v>146</v>
      </c>
      <c r="T658" s="38" t="s">
        <v>102</v>
      </c>
      <c r="U658" s="43">
        <v>3</v>
      </c>
    </row>
    <row r="659" spans="2:21" ht="14.5" outlineLevel="3">
      <c r="B659" s="44" t="s">
        <v>5</v>
      </c>
      <c r="C659" s="45" t="s">
        <v>2622</v>
      </c>
      <c r="D659" s="46" t="s">
        <v>111</v>
      </c>
      <c r="E659" s="47" t="s">
        <v>102</v>
      </c>
      <c r="F659" s="46" t="s">
        <v>102</v>
      </c>
      <c r="G659" s="47" t="s">
        <v>102</v>
      </c>
      <c r="H659" s="48">
        <v>0</v>
      </c>
      <c r="I659" s="48">
        <v>0</v>
      </c>
      <c r="J659" s="47" t="s">
        <v>2613</v>
      </c>
      <c r="K659" s="49">
        <v>1</v>
      </c>
      <c r="L659" s="49" t="s">
        <v>2614</v>
      </c>
      <c r="M659" s="46" t="s">
        <v>117</v>
      </c>
      <c r="N659" s="50">
        <v>0</v>
      </c>
      <c r="O659" s="50">
        <v>0</v>
      </c>
      <c r="P659" s="50">
        <v>0</v>
      </c>
      <c r="Q659" s="46" t="s">
        <v>102</v>
      </c>
      <c r="R659" s="46" t="s">
        <v>102</v>
      </c>
      <c r="S659" s="46" t="s">
        <v>102</v>
      </c>
      <c r="T659" s="46" t="s">
        <v>118</v>
      </c>
      <c r="U659" s="51">
        <v>4</v>
      </c>
    </row>
    <row r="660" spans="2:21" ht="14.5" outlineLevel="3">
      <c r="B660" s="44" t="s">
        <v>6</v>
      </c>
      <c r="C660" s="45" t="s">
        <v>152</v>
      </c>
      <c r="D660" s="46" t="s">
        <v>111</v>
      </c>
      <c r="E660" s="47" t="s">
        <v>102</v>
      </c>
      <c r="F660" s="46" t="s">
        <v>102</v>
      </c>
      <c r="G660" s="47" t="s">
        <v>102</v>
      </c>
      <c r="H660" s="48">
        <v>0</v>
      </c>
      <c r="I660" s="48">
        <v>0</v>
      </c>
      <c r="J660" s="47" t="s">
        <v>2613</v>
      </c>
      <c r="K660" s="49">
        <v>1</v>
      </c>
      <c r="L660" s="49" t="s">
        <v>2614</v>
      </c>
      <c r="M660" s="46" t="s">
        <v>117</v>
      </c>
      <c r="N660" s="50">
        <v>0</v>
      </c>
      <c r="O660" s="50">
        <v>0</v>
      </c>
      <c r="P660" s="50">
        <v>0</v>
      </c>
      <c r="Q660" s="46" t="s">
        <v>102</v>
      </c>
      <c r="R660" s="46" t="s">
        <v>102</v>
      </c>
      <c r="S660" s="46" t="s">
        <v>102</v>
      </c>
      <c r="T660" s="46" t="s">
        <v>123</v>
      </c>
      <c r="U660" s="51">
        <v>4</v>
      </c>
    </row>
    <row r="661" spans="2:21" ht="14.5" outlineLevel="3">
      <c r="B661" s="44" t="s">
        <v>7</v>
      </c>
      <c r="C661" s="45" t="s">
        <v>156</v>
      </c>
      <c r="D661" s="46" t="s">
        <v>111</v>
      </c>
      <c r="E661" s="47" t="s">
        <v>102</v>
      </c>
      <c r="F661" s="46" t="s">
        <v>102</v>
      </c>
      <c r="G661" s="47" t="s">
        <v>102</v>
      </c>
      <c r="H661" s="48">
        <v>0</v>
      </c>
      <c r="I661" s="48">
        <v>0</v>
      </c>
      <c r="J661" s="47" t="s">
        <v>2613</v>
      </c>
      <c r="K661" s="49">
        <v>1</v>
      </c>
      <c r="L661" s="49" t="s">
        <v>2614</v>
      </c>
      <c r="M661" s="46" t="s">
        <v>117</v>
      </c>
      <c r="N661" s="50">
        <v>0</v>
      </c>
      <c r="O661" s="50">
        <v>0</v>
      </c>
      <c r="P661" s="50">
        <v>0</v>
      </c>
      <c r="Q661" s="46" t="s">
        <v>102</v>
      </c>
      <c r="R661" s="46" t="s">
        <v>102</v>
      </c>
      <c r="S661" s="46" t="s">
        <v>102</v>
      </c>
      <c r="T661" s="46" t="s">
        <v>128</v>
      </c>
      <c r="U661" s="51">
        <v>4</v>
      </c>
    </row>
    <row r="662" spans="2:21" ht="14.5" outlineLevel="3">
      <c r="B662" s="44" t="s">
        <v>5193</v>
      </c>
      <c r="C662" s="45" t="s">
        <v>5194</v>
      </c>
      <c r="D662" s="46" t="s">
        <v>111</v>
      </c>
      <c r="E662" s="47" t="s">
        <v>102</v>
      </c>
      <c r="F662" s="46" t="s">
        <v>102</v>
      </c>
      <c r="G662" s="47" t="s">
        <v>102</v>
      </c>
      <c r="H662" s="48">
        <v>0</v>
      </c>
      <c r="I662" s="48">
        <v>0</v>
      </c>
      <c r="J662" s="47" t="s">
        <v>102</v>
      </c>
      <c r="K662" s="49">
        <v>0</v>
      </c>
      <c r="L662" s="49" t="s">
        <v>116</v>
      </c>
      <c r="M662" s="46" t="s">
        <v>102</v>
      </c>
      <c r="N662" s="50">
        <v>0</v>
      </c>
      <c r="O662" s="50">
        <v>0</v>
      </c>
      <c r="P662" s="50">
        <v>0</v>
      </c>
      <c r="Q662" s="46" t="s">
        <v>102</v>
      </c>
      <c r="R662" s="46" t="s">
        <v>102</v>
      </c>
      <c r="S662" s="46" t="s">
        <v>102</v>
      </c>
      <c r="T662" s="46" t="s">
        <v>133</v>
      </c>
      <c r="U662" s="51">
        <v>4</v>
      </c>
    </row>
    <row r="663" spans="2:21" ht="14.5" outlineLevel="3">
      <c r="B663" s="44" t="s">
        <v>8</v>
      </c>
      <c r="C663" s="45" t="s">
        <v>164</v>
      </c>
      <c r="D663" s="46" t="s">
        <v>165</v>
      </c>
      <c r="E663" s="47" t="s">
        <v>102</v>
      </c>
      <c r="F663" s="46" t="s">
        <v>102</v>
      </c>
      <c r="G663" s="47" t="s">
        <v>102</v>
      </c>
      <c r="H663" s="48">
        <v>0</v>
      </c>
      <c r="I663" s="48">
        <v>0</v>
      </c>
      <c r="J663" s="47" t="s">
        <v>2613</v>
      </c>
      <c r="K663" s="49">
        <v>1</v>
      </c>
      <c r="L663" s="49" t="s">
        <v>2614</v>
      </c>
      <c r="M663" s="46" t="s">
        <v>117</v>
      </c>
      <c r="N663" s="50">
        <v>0</v>
      </c>
      <c r="O663" s="50">
        <v>0</v>
      </c>
      <c r="P663" s="50">
        <v>0</v>
      </c>
      <c r="Q663" s="46" t="s">
        <v>102</v>
      </c>
      <c r="R663" s="46" t="s">
        <v>102</v>
      </c>
      <c r="S663" s="46" t="s">
        <v>102</v>
      </c>
      <c r="T663" s="46" t="s">
        <v>138</v>
      </c>
      <c r="U663" s="51">
        <v>4</v>
      </c>
    </row>
    <row r="664" spans="2:21" ht="14.5" outlineLevel="3">
      <c r="B664" s="44" t="s">
        <v>2623</v>
      </c>
      <c r="C664" s="45" t="s">
        <v>169</v>
      </c>
      <c r="D664" s="46" t="s">
        <v>111</v>
      </c>
      <c r="E664" s="47" t="s">
        <v>102</v>
      </c>
      <c r="F664" s="46" t="s">
        <v>102</v>
      </c>
      <c r="G664" s="47" t="s">
        <v>102</v>
      </c>
      <c r="H664" s="48">
        <v>0</v>
      </c>
      <c r="I664" s="48">
        <v>0</v>
      </c>
      <c r="J664" s="47" t="s">
        <v>2613</v>
      </c>
      <c r="K664" s="49">
        <v>1</v>
      </c>
      <c r="L664" s="49" t="s">
        <v>2614</v>
      </c>
      <c r="M664" s="46" t="s">
        <v>117</v>
      </c>
      <c r="N664" s="50">
        <v>0</v>
      </c>
      <c r="O664" s="50">
        <v>0</v>
      </c>
      <c r="P664" s="50">
        <v>0</v>
      </c>
      <c r="Q664" s="46" t="s">
        <v>102</v>
      </c>
      <c r="R664" s="46" t="s">
        <v>102</v>
      </c>
      <c r="S664" s="46" t="s">
        <v>102</v>
      </c>
      <c r="T664" s="46" t="s">
        <v>143</v>
      </c>
      <c r="U664" s="51">
        <v>4</v>
      </c>
    </row>
    <row r="665" spans="2:21" ht="14.5" outlineLevel="3">
      <c r="B665" s="44" t="s">
        <v>9</v>
      </c>
      <c r="C665" s="45" t="s">
        <v>173</v>
      </c>
      <c r="D665" s="46" t="s">
        <v>111</v>
      </c>
      <c r="E665" s="47" t="s">
        <v>102</v>
      </c>
      <c r="F665" s="46" t="s">
        <v>102</v>
      </c>
      <c r="G665" s="47" t="s">
        <v>102</v>
      </c>
      <c r="H665" s="48">
        <v>0</v>
      </c>
      <c r="I665" s="48">
        <v>0</v>
      </c>
      <c r="J665" s="47" t="s">
        <v>2613</v>
      </c>
      <c r="K665" s="49">
        <v>1</v>
      </c>
      <c r="L665" s="49" t="s">
        <v>2614</v>
      </c>
      <c r="M665" s="46" t="s">
        <v>117</v>
      </c>
      <c r="N665" s="50">
        <v>0</v>
      </c>
      <c r="O665" s="50">
        <v>0</v>
      </c>
      <c r="P665" s="50">
        <v>0</v>
      </c>
      <c r="Q665" s="46" t="s">
        <v>102</v>
      </c>
      <c r="R665" s="46" t="s">
        <v>102</v>
      </c>
      <c r="S665" s="46" t="s">
        <v>102</v>
      </c>
      <c r="T665" s="46" t="s">
        <v>176</v>
      </c>
      <c r="U665" s="51">
        <v>4</v>
      </c>
    </row>
    <row r="666" spans="2:21" ht="14.5" outlineLevel="3">
      <c r="B666" s="44" t="s">
        <v>10</v>
      </c>
      <c r="C666" s="45" t="s">
        <v>178</v>
      </c>
      <c r="D666" s="46" t="s">
        <v>179</v>
      </c>
      <c r="E666" s="47" t="s">
        <v>102</v>
      </c>
      <c r="F666" s="46" t="s">
        <v>102</v>
      </c>
      <c r="G666" s="47" t="s">
        <v>102</v>
      </c>
      <c r="H666" s="48">
        <v>0</v>
      </c>
      <c r="I666" s="48">
        <v>0</v>
      </c>
      <c r="J666" s="47" t="s">
        <v>2613</v>
      </c>
      <c r="K666" s="49">
        <v>1</v>
      </c>
      <c r="L666" s="49" t="s">
        <v>2614</v>
      </c>
      <c r="M666" s="46" t="s">
        <v>117</v>
      </c>
      <c r="N666" s="50">
        <v>0</v>
      </c>
      <c r="O666" s="50">
        <v>0</v>
      </c>
      <c r="P666" s="50">
        <v>0</v>
      </c>
      <c r="Q666" s="46" t="s">
        <v>102</v>
      </c>
      <c r="R666" s="46" t="s">
        <v>102</v>
      </c>
      <c r="S666" s="46" t="s">
        <v>102</v>
      </c>
      <c r="T666" s="46" t="s">
        <v>182</v>
      </c>
      <c r="U666" s="51">
        <v>4</v>
      </c>
    </row>
    <row r="667" spans="2:21" ht="14.5" outlineLevel="3">
      <c r="B667" s="44" t="s">
        <v>2624</v>
      </c>
      <c r="C667" s="45" t="s">
        <v>184</v>
      </c>
      <c r="D667" s="46" t="s">
        <v>111</v>
      </c>
      <c r="E667" s="47" t="s">
        <v>102</v>
      </c>
      <c r="F667" s="46" t="s">
        <v>102</v>
      </c>
      <c r="G667" s="47" t="s">
        <v>102</v>
      </c>
      <c r="H667" s="48">
        <v>0</v>
      </c>
      <c r="I667" s="48">
        <v>0</v>
      </c>
      <c r="J667" s="47" t="s">
        <v>2613</v>
      </c>
      <c r="K667" s="49">
        <v>1</v>
      </c>
      <c r="L667" s="49" t="s">
        <v>2614</v>
      </c>
      <c r="M667" s="46" t="s">
        <v>117</v>
      </c>
      <c r="N667" s="50">
        <v>0</v>
      </c>
      <c r="O667" s="50">
        <v>0</v>
      </c>
      <c r="P667" s="50">
        <v>0</v>
      </c>
      <c r="Q667" s="46" t="s">
        <v>102</v>
      </c>
      <c r="R667" s="46" t="s">
        <v>102</v>
      </c>
      <c r="S667" s="46" t="s">
        <v>102</v>
      </c>
      <c r="T667" s="46" t="s">
        <v>187</v>
      </c>
      <c r="U667" s="51">
        <v>4</v>
      </c>
    </row>
    <row r="668" spans="2:21" ht="14.5" outlineLevel="3">
      <c r="B668" s="44" t="s">
        <v>11</v>
      </c>
      <c r="C668" s="45" t="s">
        <v>189</v>
      </c>
      <c r="D668" s="46" t="s">
        <v>179</v>
      </c>
      <c r="E668" s="47" t="s">
        <v>102</v>
      </c>
      <c r="F668" s="46" t="s">
        <v>102</v>
      </c>
      <c r="G668" s="47" t="s">
        <v>102</v>
      </c>
      <c r="H668" s="48">
        <v>0</v>
      </c>
      <c r="I668" s="48">
        <v>0</v>
      </c>
      <c r="J668" s="47" t="s">
        <v>2613</v>
      </c>
      <c r="K668" s="49">
        <v>1</v>
      </c>
      <c r="L668" s="49" t="s">
        <v>2614</v>
      </c>
      <c r="M668" s="46" t="s">
        <v>117</v>
      </c>
      <c r="N668" s="50">
        <v>0</v>
      </c>
      <c r="O668" s="50">
        <v>0</v>
      </c>
      <c r="P668" s="50">
        <v>0</v>
      </c>
      <c r="Q668" s="46" t="s">
        <v>102</v>
      </c>
      <c r="R668" s="46" t="s">
        <v>102</v>
      </c>
      <c r="S668" s="46" t="s">
        <v>102</v>
      </c>
      <c r="T668" s="46" t="s">
        <v>192</v>
      </c>
      <c r="U668" s="51">
        <v>4</v>
      </c>
    </row>
    <row r="669" spans="2:21" ht="14.5" outlineLevel="3">
      <c r="B669" s="44" t="s">
        <v>2625</v>
      </c>
      <c r="C669" s="45" t="s">
        <v>194</v>
      </c>
      <c r="D669" s="46" t="s">
        <v>195</v>
      </c>
      <c r="E669" s="47" t="s">
        <v>102</v>
      </c>
      <c r="F669" s="46" t="s">
        <v>102</v>
      </c>
      <c r="G669" s="47" t="s">
        <v>102</v>
      </c>
      <c r="H669" s="48">
        <v>0</v>
      </c>
      <c r="I669" s="48">
        <v>0</v>
      </c>
      <c r="J669" s="47" t="s">
        <v>2613</v>
      </c>
      <c r="K669" s="49">
        <v>1</v>
      </c>
      <c r="L669" s="49" t="s">
        <v>2614</v>
      </c>
      <c r="M669" s="46" t="s">
        <v>117</v>
      </c>
      <c r="N669" s="50">
        <v>0</v>
      </c>
      <c r="O669" s="50">
        <v>0</v>
      </c>
      <c r="P669" s="50">
        <v>0</v>
      </c>
      <c r="Q669" s="46" t="s">
        <v>102</v>
      </c>
      <c r="R669" s="46" t="s">
        <v>102</v>
      </c>
      <c r="S669" s="46" t="s">
        <v>102</v>
      </c>
      <c r="T669" s="46" t="s">
        <v>198</v>
      </c>
      <c r="U669" s="51">
        <v>4</v>
      </c>
    </row>
    <row r="670" spans="2:21" ht="14.5" outlineLevel="3">
      <c r="B670" s="44" t="s">
        <v>12</v>
      </c>
      <c r="C670" s="45" t="s">
        <v>200</v>
      </c>
      <c r="D670" s="46" t="s">
        <v>111</v>
      </c>
      <c r="E670" s="47" t="s">
        <v>102</v>
      </c>
      <c r="F670" s="46" t="s">
        <v>102</v>
      </c>
      <c r="G670" s="47" t="s">
        <v>102</v>
      </c>
      <c r="H670" s="48">
        <v>0</v>
      </c>
      <c r="I670" s="48">
        <v>0</v>
      </c>
      <c r="J670" s="47" t="s">
        <v>2613</v>
      </c>
      <c r="K670" s="49">
        <v>1</v>
      </c>
      <c r="L670" s="49" t="s">
        <v>2614</v>
      </c>
      <c r="M670" s="46" t="s">
        <v>117</v>
      </c>
      <c r="N670" s="50">
        <v>0</v>
      </c>
      <c r="O670" s="50">
        <v>0</v>
      </c>
      <c r="P670" s="50">
        <v>0</v>
      </c>
      <c r="Q670" s="46" t="s">
        <v>102</v>
      </c>
      <c r="R670" s="46" t="s">
        <v>102</v>
      </c>
      <c r="S670" s="46" t="s">
        <v>102</v>
      </c>
      <c r="T670" s="46" t="s">
        <v>203</v>
      </c>
      <c r="U670" s="51">
        <v>4</v>
      </c>
    </row>
    <row r="671" spans="2:21" ht="14.5" outlineLevel="3">
      <c r="B671" s="44" t="s">
        <v>2626</v>
      </c>
      <c r="C671" s="45" t="s">
        <v>205</v>
      </c>
      <c r="D671" s="46" t="s">
        <v>179</v>
      </c>
      <c r="E671" s="47" t="s">
        <v>102</v>
      </c>
      <c r="F671" s="46" t="s">
        <v>102</v>
      </c>
      <c r="G671" s="47" t="s">
        <v>102</v>
      </c>
      <c r="H671" s="48">
        <v>0</v>
      </c>
      <c r="I671" s="48">
        <v>0</v>
      </c>
      <c r="J671" s="47" t="s">
        <v>2613</v>
      </c>
      <c r="K671" s="49">
        <v>1</v>
      </c>
      <c r="L671" s="49" t="s">
        <v>2614</v>
      </c>
      <c r="M671" s="46" t="s">
        <v>117</v>
      </c>
      <c r="N671" s="50">
        <v>0</v>
      </c>
      <c r="O671" s="50">
        <v>0</v>
      </c>
      <c r="P671" s="50">
        <v>0</v>
      </c>
      <c r="Q671" s="46" t="s">
        <v>102</v>
      </c>
      <c r="R671" s="46" t="s">
        <v>102</v>
      </c>
      <c r="S671" s="46" t="s">
        <v>102</v>
      </c>
      <c r="T671" s="46" t="s">
        <v>208</v>
      </c>
      <c r="U671" s="51">
        <v>4</v>
      </c>
    </row>
    <row r="672" spans="2:21" ht="14.5" outlineLevel="3">
      <c r="B672" s="44" t="s">
        <v>2627</v>
      </c>
      <c r="C672" s="45" t="s">
        <v>210</v>
      </c>
      <c r="D672" s="46" t="s">
        <v>179</v>
      </c>
      <c r="E672" s="47" t="s">
        <v>102</v>
      </c>
      <c r="F672" s="46" t="s">
        <v>102</v>
      </c>
      <c r="G672" s="47" t="s">
        <v>102</v>
      </c>
      <c r="H672" s="48">
        <v>0</v>
      </c>
      <c r="I672" s="48">
        <v>0</v>
      </c>
      <c r="J672" s="47" t="s">
        <v>2613</v>
      </c>
      <c r="K672" s="49">
        <v>1</v>
      </c>
      <c r="L672" s="49" t="s">
        <v>2614</v>
      </c>
      <c r="M672" s="46" t="s">
        <v>117</v>
      </c>
      <c r="N672" s="50">
        <v>0</v>
      </c>
      <c r="O672" s="50">
        <v>0</v>
      </c>
      <c r="P672" s="50">
        <v>0</v>
      </c>
      <c r="Q672" s="46" t="s">
        <v>102</v>
      </c>
      <c r="R672" s="46" t="s">
        <v>102</v>
      </c>
      <c r="S672" s="46" t="s">
        <v>102</v>
      </c>
      <c r="T672" s="46" t="s">
        <v>213</v>
      </c>
      <c r="U672" s="51">
        <v>4</v>
      </c>
    </row>
    <row r="673" spans="2:21" ht="14.5" outlineLevel="3">
      <c r="B673" s="44" t="s">
        <v>13</v>
      </c>
      <c r="C673" s="45" t="s">
        <v>215</v>
      </c>
      <c r="D673" s="46" t="s">
        <v>165</v>
      </c>
      <c r="E673" s="47" t="s">
        <v>102</v>
      </c>
      <c r="F673" s="46" t="s">
        <v>102</v>
      </c>
      <c r="G673" s="47" t="s">
        <v>102</v>
      </c>
      <c r="H673" s="48">
        <v>0</v>
      </c>
      <c r="I673" s="48">
        <v>0</v>
      </c>
      <c r="J673" s="47" t="s">
        <v>2613</v>
      </c>
      <c r="K673" s="49">
        <v>1</v>
      </c>
      <c r="L673" s="49" t="s">
        <v>2614</v>
      </c>
      <c r="M673" s="46" t="s">
        <v>117</v>
      </c>
      <c r="N673" s="50">
        <v>0</v>
      </c>
      <c r="O673" s="50">
        <v>0</v>
      </c>
      <c r="P673" s="50">
        <v>0</v>
      </c>
      <c r="Q673" s="46" t="s">
        <v>102</v>
      </c>
      <c r="R673" s="46" t="s">
        <v>102</v>
      </c>
      <c r="S673" s="46" t="s">
        <v>102</v>
      </c>
      <c r="T673" s="46" t="s">
        <v>218</v>
      </c>
      <c r="U673" s="51">
        <v>4</v>
      </c>
    </row>
    <row r="674" spans="2:21" ht="14.5" outlineLevel="3">
      <c r="B674" s="44" t="s">
        <v>2628</v>
      </c>
      <c r="C674" s="45" t="s">
        <v>220</v>
      </c>
      <c r="D674" s="46" t="s">
        <v>179</v>
      </c>
      <c r="E674" s="47" t="s">
        <v>102</v>
      </c>
      <c r="F674" s="46" t="s">
        <v>102</v>
      </c>
      <c r="G674" s="47" t="s">
        <v>102</v>
      </c>
      <c r="H674" s="48">
        <v>0</v>
      </c>
      <c r="I674" s="48">
        <v>0</v>
      </c>
      <c r="J674" s="47" t="s">
        <v>2613</v>
      </c>
      <c r="K674" s="49">
        <v>1</v>
      </c>
      <c r="L674" s="49" t="s">
        <v>2614</v>
      </c>
      <c r="M674" s="46" t="s">
        <v>117</v>
      </c>
      <c r="N674" s="50">
        <v>0</v>
      </c>
      <c r="O674" s="50">
        <v>0</v>
      </c>
      <c r="P674" s="50">
        <v>0</v>
      </c>
      <c r="Q674" s="46" t="s">
        <v>102</v>
      </c>
      <c r="R674" s="46" t="s">
        <v>102</v>
      </c>
      <c r="S674" s="46" t="s">
        <v>102</v>
      </c>
      <c r="T674" s="46" t="s">
        <v>223</v>
      </c>
      <c r="U674" s="51">
        <v>4</v>
      </c>
    </row>
    <row r="675" spans="2:21" ht="14.5" outlineLevel="3">
      <c r="B675" s="44" t="s">
        <v>2629</v>
      </c>
      <c r="C675" s="45" t="s">
        <v>225</v>
      </c>
      <c r="D675" s="46" t="s">
        <v>111</v>
      </c>
      <c r="E675" s="47" t="s">
        <v>102</v>
      </c>
      <c r="F675" s="46" t="s">
        <v>102</v>
      </c>
      <c r="G675" s="47" t="s">
        <v>102</v>
      </c>
      <c r="H675" s="48">
        <v>0</v>
      </c>
      <c r="I675" s="48">
        <v>0</v>
      </c>
      <c r="J675" s="47" t="s">
        <v>2613</v>
      </c>
      <c r="K675" s="49">
        <v>1</v>
      </c>
      <c r="L675" s="49" t="s">
        <v>2614</v>
      </c>
      <c r="M675" s="46" t="s">
        <v>117</v>
      </c>
      <c r="N675" s="50">
        <v>0</v>
      </c>
      <c r="O675" s="50">
        <v>0</v>
      </c>
      <c r="P675" s="50">
        <v>0</v>
      </c>
      <c r="Q675" s="46" t="s">
        <v>102</v>
      </c>
      <c r="R675" s="46" t="s">
        <v>102</v>
      </c>
      <c r="S675" s="46" t="s">
        <v>102</v>
      </c>
      <c r="T675" s="46" t="s">
        <v>228</v>
      </c>
      <c r="U675" s="51">
        <v>4</v>
      </c>
    </row>
    <row r="676" spans="2:21" ht="14.5" outlineLevel="3">
      <c r="B676" s="44" t="s">
        <v>2630</v>
      </c>
      <c r="C676" s="45" t="s">
        <v>230</v>
      </c>
      <c r="D676" s="46" t="s">
        <v>195</v>
      </c>
      <c r="E676" s="47" t="s">
        <v>102</v>
      </c>
      <c r="F676" s="46" t="s">
        <v>102</v>
      </c>
      <c r="G676" s="47" t="s">
        <v>102</v>
      </c>
      <c r="H676" s="48">
        <v>0</v>
      </c>
      <c r="I676" s="48">
        <v>0</v>
      </c>
      <c r="J676" s="47" t="s">
        <v>2613</v>
      </c>
      <c r="K676" s="49">
        <v>1</v>
      </c>
      <c r="L676" s="49" t="s">
        <v>2614</v>
      </c>
      <c r="M676" s="46" t="s">
        <v>117</v>
      </c>
      <c r="N676" s="50">
        <v>0</v>
      </c>
      <c r="O676" s="50">
        <v>0</v>
      </c>
      <c r="P676" s="50">
        <v>0</v>
      </c>
      <c r="Q676" s="46" t="s">
        <v>102</v>
      </c>
      <c r="R676" s="46" t="s">
        <v>102</v>
      </c>
      <c r="S676" s="46" t="s">
        <v>102</v>
      </c>
      <c r="T676" s="46" t="s">
        <v>233</v>
      </c>
      <c r="U676" s="51">
        <v>4</v>
      </c>
    </row>
    <row r="677" spans="2:21" ht="14.5" outlineLevel="3">
      <c r="B677" s="44" t="s">
        <v>14</v>
      </c>
      <c r="C677" s="45" t="s">
        <v>235</v>
      </c>
      <c r="D677" s="46" t="s">
        <v>179</v>
      </c>
      <c r="E677" s="47" t="s">
        <v>102</v>
      </c>
      <c r="F677" s="46" t="s">
        <v>102</v>
      </c>
      <c r="G677" s="47" t="s">
        <v>102</v>
      </c>
      <c r="H677" s="48">
        <v>0</v>
      </c>
      <c r="I677" s="48">
        <v>0</v>
      </c>
      <c r="J677" s="47" t="s">
        <v>2613</v>
      </c>
      <c r="K677" s="49">
        <v>1</v>
      </c>
      <c r="L677" s="49" t="s">
        <v>2614</v>
      </c>
      <c r="M677" s="46" t="s">
        <v>117</v>
      </c>
      <c r="N677" s="50">
        <v>0</v>
      </c>
      <c r="O677" s="50">
        <v>0</v>
      </c>
      <c r="P677" s="50">
        <v>0</v>
      </c>
      <c r="Q677" s="46" t="s">
        <v>102</v>
      </c>
      <c r="R677" s="46" t="s">
        <v>102</v>
      </c>
      <c r="S677" s="46" t="s">
        <v>102</v>
      </c>
      <c r="T677" s="46" t="s">
        <v>238</v>
      </c>
      <c r="U677" s="51">
        <v>4</v>
      </c>
    </row>
    <row r="678" spans="2:21" ht="14.5" outlineLevel="3">
      <c r="B678" s="44" t="s">
        <v>15</v>
      </c>
      <c r="C678" s="45" t="s">
        <v>240</v>
      </c>
      <c r="D678" s="46" t="s">
        <v>179</v>
      </c>
      <c r="E678" s="47" t="s">
        <v>102</v>
      </c>
      <c r="F678" s="46" t="s">
        <v>102</v>
      </c>
      <c r="G678" s="47" t="s">
        <v>102</v>
      </c>
      <c r="H678" s="48">
        <v>0</v>
      </c>
      <c r="I678" s="48">
        <v>0</v>
      </c>
      <c r="J678" s="47" t="s">
        <v>2613</v>
      </c>
      <c r="K678" s="49">
        <v>1</v>
      </c>
      <c r="L678" s="49" t="s">
        <v>2614</v>
      </c>
      <c r="M678" s="46" t="s">
        <v>117</v>
      </c>
      <c r="N678" s="50">
        <v>0</v>
      </c>
      <c r="O678" s="50">
        <v>0</v>
      </c>
      <c r="P678" s="50">
        <v>0</v>
      </c>
      <c r="Q678" s="46" t="s">
        <v>102</v>
      </c>
      <c r="R678" s="46" t="s">
        <v>102</v>
      </c>
      <c r="S678" s="46" t="s">
        <v>102</v>
      </c>
      <c r="T678" s="46" t="s">
        <v>243</v>
      </c>
      <c r="U678" s="51">
        <v>4</v>
      </c>
    </row>
    <row r="679" spans="2:21" ht="14.5" outlineLevel="3">
      <c r="B679" s="44" t="s">
        <v>2631</v>
      </c>
      <c r="C679" s="45" t="s">
        <v>2632</v>
      </c>
      <c r="D679" s="46" t="s">
        <v>111</v>
      </c>
      <c r="E679" s="47" t="s">
        <v>102</v>
      </c>
      <c r="F679" s="46" t="s">
        <v>102</v>
      </c>
      <c r="G679" s="47" t="s">
        <v>102</v>
      </c>
      <c r="H679" s="48">
        <v>0</v>
      </c>
      <c r="I679" s="48">
        <v>0</v>
      </c>
      <c r="J679" s="47" t="s">
        <v>2613</v>
      </c>
      <c r="K679" s="49">
        <v>1</v>
      </c>
      <c r="L679" s="49" t="s">
        <v>2614</v>
      </c>
      <c r="M679" s="46" t="s">
        <v>117</v>
      </c>
      <c r="N679" s="50">
        <v>0</v>
      </c>
      <c r="O679" s="50">
        <v>0</v>
      </c>
      <c r="P679" s="50">
        <v>0</v>
      </c>
      <c r="Q679" s="46" t="s">
        <v>102</v>
      </c>
      <c r="R679" s="46" t="s">
        <v>102</v>
      </c>
      <c r="S679" s="46" t="s">
        <v>102</v>
      </c>
      <c r="T679" s="46" t="s">
        <v>2633</v>
      </c>
      <c r="U679" s="51">
        <v>4</v>
      </c>
    </row>
    <row r="680" spans="2:21" ht="14.5" outlineLevel="2">
      <c r="B680" s="36" t="s">
        <v>2634</v>
      </c>
      <c r="C680" s="37" t="s">
        <v>2635</v>
      </c>
      <c r="D680" s="38" t="s">
        <v>111</v>
      </c>
      <c r="E680" s="39" t="s">
        <v>102</v>
      </c>
      <c r="F680" s="38" t="s">
        <v>102</v>
      </c>
      <c r="G680" s="39" t="s">
        <v>102</v>
      </c>
      <c r="H680" s="40">
        <v>0</v>
      </c>
      <c r="I680" s="40">
        <v>0</v>
      </c>
      <c r="J680" s="39" t="s">
        <v>2613</v>
      </c>
      <c r="K680" s="41">
        <v>1</v>
      </c>
      <c r="L680" s="41" t="s">
        <v>2614</v>
      </c>
      <c r="M680" s="38" t="s">
        <v>117</v>
      </c>
      <c r="N680" s="42">
        <v>0</v>
      </c>
      <c r="O680" s="42">
        <v>0</v>
      </c>
      <c r="P680" s="42">
        <v>0</v>
      </c>
      <c r="Q680" s="38" t="s">
        <v>102</v>
      </c>
      <c r="R680" s="38" t="s">
        <v>102</v>
      </c>
      <c r="S680" s="38" t="s">
        <v>102</v>
      </c>
      <c r="T680" s="38" t="s">
        <v>2636</v>
      </c>
      <c r="U680" s="43">
        <v>4</v>
      </c>
    </row>
    <row r="681" spans="2:21" ht="14.5" outlineLevel="3">
      <c r="B681" s="44" t="s">
        <v>2637</v>
      </c>
      <c r="C681" s="45" t="s">
        <v>2638</v>
      </c>
      <c r="D681" s="46" t="s">
        <v>102</v>
      </c>
      <c r="E681" s="47" t="s">
        <v>102</v>
      </c>
      <c r="F681" s="46" t="s">
        <v>102</v>
      </c>
      <c r="G681" s="47" t="s">
        <v>102</v>
      </c>
      <c r="H681" s="48">
        <v>0</v>
      </c>
      <c r="I681" s="48">
        <v>0</v>
      </c>
      <c r="J681" s="47" t="s">
        <v>102</v>
      </c>
      <c r="K681" s="49">
        <v>0</v>
      </c>
      <c r="L681" s="49" t="s">
        <v>102</v>
      </c>
      <c r="M681" s="46" t="s">
        <v>102</v>
      </c>
      <c r="N681" s="50">
        <v>0</v>
      </c>
      <c r="O681" s="50">
        <v>0</v>
      </c>
      <c r="P681" s="50">
        <v>0</v>
      </c>
      <c r="Q681" s="46" t="s">
        <v>102</v>
      </c>
      <c r="R681" s="46" t="s">
        <v>102</v>
      </c>
      <c r="S681" s="46" t="s">
        <v>246</v>
      </c>
      <c r="T681" s="46" t="s">
        <v>102</v>
      </c>
      <c r="U681" s="51">
        <v>3</v>
      </c>
    </row>
    <row r="682" spans="2:21" ht="14.5" outlineLevel="3">
      <c r="B682" s="44" t="s">
        <v>2639</v>
      </c>
      <c r="C682" s="45" t="s">
        <v>248</v>
      </c>
      <c r="D682" s="46" t="s">
        <v>111</v>
      </c>
      <c r="E682" s="47" t="s">
        <v>102</v>
      </c>
      <c r="F682" s="46" t="s">
        <v>102</v>
      </c>
      <c r="G682" s="47" t="s">
        <v>102</v>
      </c>
      <c r="H682" s="48">
        <v>0</v>
      </c>
      <c r="I682" s="48">
        <v>0</v>
      </c>
      <c r="J682" s="47" t="s">
        <v>2613</v>
      </c>
      <c r="K682" s="49">
        <v>1</v>
      </c>
      <c r="L682" s="49" t="s">
        <v>2614</v>
      </c>
      <c r="M682" s="46" t="s">
        <v>117</v>
      </c>
      <c r="N682" s="50">
        <v>0</v>
      </c>
      <c r="O682" s="50">
        <v>0</v>
      </c>
      <c r="P682" s="50">
        <v>0</v>
      </c>
      <c r="Q682" s="46" t="s">
        <v>102</v>
      </c>
      <c r="R682" s="46" t="s">
        <v>102</v>
      </c>
      <c r="S682" s="46" t="s">
        <v>102</v>
      </c>
      <c r="T682" s="46" t="s">
        <v>118</v>
      </c>
      <c r="U682" s="51">
        <v>4</v>
      </c>
    </row>
    <row r="683" spans="2:21" ht="14.5" outlineLevel="3">
      <c r="B683" s="44" t="s">
        <v>2640</v>
      </c>
      <c r="C683" s="45" t="s">
        <v>252</v>
      </c>
      <c r="D683" s="46" t="s">
        <v>179</v>
      </c>
      <c r="E683" s="47" t="s">
        <v>102</v>
      </c>
      <c r="F683" s="46" t="s">
        <v>102</v>
      </c>
      <c r="G683" s="47" t="s">
        <v>102</v>
      </c>
      <c r="H683" s="48">
        <v>0</v>
      </c>
      <c r="I683" s="48">
        <v>0</v>
      </c>
      <c r="J683" s="47" t="s">
        <v>2613</v>
      </c>
      <c r="K683" s="49">
        <v>1</v>
      </c>
      <c r="L683" s="49" t="s">
        <v>2614</v>
      </c>
      <c r="M683" s="46" t="s">
        <v>117</v>
      </c>
      <c r="N683" s="50">
        <v>0</v>
      </c>
      <c r="O683" s="50">
        <v>0</v>
      </c>
      <c r="P683" s="50">
        <v>0</v>
      </c>
      <c r="Q683" s="46" t="s">
        <v>102</v>
      </c>
      <c r="R683" s="46" t="s">
        <v>102</v>
      </c>
      <c r="S683" s="46" t="s">
        <v>102</v>
      </c>
      <c r="T683" s="46" t="s">
        <v>182</v>
      </c>
      <c r="U683" s="51">
        <v>4</v>
      </c>
    </row>
    <row r="684" spans="2:21" ht="14.5" outlineLevel="3">
      <c r="B684" s="44" t="s">
        <v>2641</v>
      </c>
      <c r="C684" s="45" t="s">
        <v>256</v>
      </c>
      <c r="D684" s="46" t="s">
        <v>111</v>
      </c>
      <c r="E684" s="47" t="s">
        <v>102</v>
      </c>
      <c r="F684" s="46" t="s">
        <v>102</v>
      </c>
      <c r="G684" s="47" t="s">
        <v>102</v>
      </c>
      <c r="H684" s="48">
        <v>0</v>
      </c>
      <c r="I684" s="48">
        <v>0</v>
      </c>
      <c r="J684" s="47" t="s">
        <v>2613</v>
      </c>
      <c r="K684" s="49">
        <v>1</v>
      </c>
      <c r="L684" s="49" t="s">
        <v>2614</v>
      </c>
      <c r="M684" s="46" t="s">
        <v>117</v>
      </c>
      <c r="N684" s="50">
        <v>0</v>
      </c>
      <c r="O684" s="50">
        <v>0</v>
      </c>
      <c r="P684" s="50">
        <v>0</v>
      </c>
      <c r="Q684" s="46" t="s">
        <v>102</v>
      </c>
      <c r="R684" s="46" t="s">
        <v>102</v>
      </c>
      <c r="S684" s="46" t="s">
        <v>102</v>
      </c>
      <c r="T684" s="46" t="s">
        <v>259</v>
      </c>
      <c r="U684" s="51">
        <v>4</v>
      </c>
    </row>
    <row r="685" spans="2:21" ht="14.5" outlineLevel="3">
      <c r="B685" s="44" t="s">
        <v>2642</v>
      </c>
      <c r="C685" s="45" t="s">
        <v>261</v>
      </c>
      <c r="D685" s="46" t="s">
        <v>111</v>
      </c>
      <c r="E685" s="47" t="s">
        <v>102</v>
      </c>
      <c r="F685" s="46" t="s">
        <v>102</v>
      </c>
      <c r="G685" s="47" t="s">
        <v>102</v>
      </c>
      <c r="H685" s="48">
        <v>0</v>
      </c>
      <c r="I685" s="48">
        <v>0</v>
      </c>
      <c r="J685" s="47" t="s">
        <v>2613</v>
      </c>
      <c r="K685" s="49">
        <v>1</v>
      </c>
      <c r="L685" s="49" t="s">
        <v>2614</v>
      </c>
      <c r="M685" s="46" t="s">
        <v>117</v>
      </c>
      <c r="N685" s="50">
        <v>0</v>
      </c>
      <c r="O685" s="50">
        <v>0</v>
      </c>
      <c r="P685" s="50">
        <v>0</v>
      </c>
      <c r="Q685" s="46" t="s">
        <v>102</v>
      </c>
      <c r="R685" s="46" t="s">
        <v>102</v>
      </c>
      <c r="S685" s="46" t="s">
        <v>102</v>
      </c>
      <c r="T685" s="46" t="s">
        <v>192</v>
      </c>
      <c r="U685" s="51">
        <v>4</v>
      </c>
    </row>
    <row r="686" spans="2:21" ht="14.5" outlineLevel="3">
      <c r="B686" s="44" t="s">
        <v>2643</v>
      </c>
      <c r="C686" s="45" t="s">
        <v>265</v>
      </c>
      <c r="D686" s="46" t="s">
        <v>111</v>
      </c>
      <c r="E686" s="47" t="s">
        <v>102</v>
      </c>
      <c r="F686" s="46" t="s">
        <v>102</v>
      </c>
      <c r="G686" s="47" t="s">
        <v>102</v>
      </c>
      <c r="H686" s="48">
        <v>0</v>
      </c>
      <c r="I686" s="48">
        <v>0</v>
      </c>
      <c r="J686" s="47" t="s">
        <v>2613</v>
      </c>
      <c r="K686" s="49">
        <v>1</v>
      </c>
      <c r="L686" s="49" t="s">
        <v>2614</v>
      </c>
      <c r="M686" s="46" t="s">
        <v>117</v>
      </c>
      <c r="N686" s="50">
        <v>0</v>
      </c>
      <c r="O686" s="50">
        <v>0</v>
      </c>
      <c r="P686" s="50">
        <v>0</v>
      </c>
      <c r="Q686" s="46" t="s">
        <v>102</v>
      </c>
      <c r="R686" s="46" t="s">
        <v>102</v>
      </c>
      <c r="S686" s="46" t="s">
        <v>102</v>
      </c>
      <c r="T686" s="46" t="s">
        <v>268</v>
      </c>
      <c r="U686" s="51">
        <v>4</v>
      </c>
    </row>
    <row r="687" spans="2:21" ht="14.5" outlineLevel="3">
      <c r="B687" s="44" t="s">
        <v>2644</v>
      </c>
      <c r="C687" s="45" t="s">
        <v>270</v>
      </c>
      <c r="D687" s="46" t="s">
        <v>165</v>
      </c>
      <c r="E687" s="47" t="s">
        <v>102</v>
      </c>
      <c r="F687" s="46" t="s">
        <v>102</v>
      </c>
      <c r="G687" s="47" t="s">
        <v>102</v>
      </c>
      <c r="H687" s="48">
        <v>0</v>
      </c>
      <c r="I687" s="48">
        <v>0</v>
      </c>
      <c r="J687" s="47" t="s">
        <v>2613</v>
      </c>
      <c r="K687" s="49">
        <v>1</v>
      </c>
      <c r="L687" s="49" t="s">
        <v>2614</v>
      </c>
      <c r="M687" s="46" t="s">
        <v>117</v>
      </c>
      <c r="N687" s="50">
        <v>0</v>
      </c>
      <c r="O687" s="50">
        <v>0</v>
      </c>
      <c r="P687" s="50">
        <v>0</v>
      </c>
      <c r="Q687" s="46" t="s">
        <v>102</v>
      </c>
      <c r="R687" s="46" t="s">
        <v>102</v>
      </c>
      <c r="S687" s="46" t="s">
        <v>102</v>
      </c>
      <c r="T687" s="46" t="s">
        <v>273</v>
      </c>
      <c r="U687" s="51">
        <v>4</v>
      </c>
    </row>
    <row r="688" spans="2:21" ht="14.5" outlineLevel="3">
      <c r="B688" s="44" t="s">
        <v>2645</v>
      </c>
      <c r="C688" s="45" t="s">
        <v>275</v>
      </c>
      <c r="D688" s="46" t="s">
        <v>276</v>
      </c>
      <c r="E688" s="47" t="s">
        <v>102</v>
      </c>
      <c r="F688" s="46" t="s">
        <v>102</v>
      </c>
      <c r="G688" s="47" t="s">
        <v>102</v>
      </c>
      <c r="H688" s="48">
        <v>0</v>
      </c>
      <c r="I688" s="48">
        <v>0</v>
      </c>
      <c r="J688" s="47" t="s">
        <v>2613</v>
      </c>
      <c r="K688" s="49">
        <v>1</v>
      </c>
      <c r="L688" s="49" t="s">
        <v>2614</v>
      </c>
      <c r="M688" s="46" t="s">
        <v>117</v>
      </c>
      <c r="N688" s="50">
        <v>0</v>
      </c>
      <c r="O688" s="50">
        <v>0</v>
      </c>
      <c r="P688" s="50">
        <v>0</v>
      </c>
      <c r="Q688" s="46" t="s">
        <v>102</v>
      </c>
      <c r="R688" s="46" t="s">
        <v>102</v>
      </c>
      <c r="S688" s="46" t="s">
        <v>102</v>
      </c>
      <c r="T688" s="46" t="s">
        <v>198</v>
      </c>
      <c r="U688" s="51">
        <v>4</v>
      </c>
    </row>
    <row r="689" spans="2:21" ht="14.5" outlineLevel="3">
      <c r="B689" s="44" t="s">
        <v>2646</v>
      </c>
      <c r="C689" s="45" t="s">
        <v>280</v>
      </c>
      <c r="D689" s="46" t="s">
        <v>276</v>
      </c>
      <c r="E689" s="47" t="s">
        <v>102</v>
      </c>
      <c r="F689" s="46" t="s">
        <v>102</v>
      </c>
      <c r="G689" s="47" t="s">
        <v>102</v>
      </c>
      <c r="H689" s="48">
        <v>0</v>
      </c>
      <c r="I689" s="48">
        <v>0</v>
      </c>
      <c r="J689" s="47" t="s">
        <v>2613</v>
      </c>
      <c r="K689" s="49">
        <v>1</v>
      </c>
      <c r="L689" s="49" t="s">
        <v>2614</v>
      </c>
      <c r="M689" s="46" t="s">
        <v>117</v>
      </c>
      <c r="N689" s="50">
        <v>0</v>
      </c>
      <c r="O689" s="50">
        <v>0</v>
      </c>
      <c r="P689" s="50">
        <v>0</v>
      </c>
      <c r="Q689" s="46" t="s">
        <v>102</v>
      </c>
      <c r="R689" s="46" t="s">
        <v>102</v>
      </c>
      <c r="S689" s="46" t="s">
        <v>102</v>
      </c>
      <c r="T689" s="46" t="s">
        <v>283</v>
      </c>
      <c r="U689" s="51">
        <v>4</v>
      </c>
    </row>
    <row r="690" spans="2:21" ht="14.5" outlineLevel="3">
      <c r="B690" s="44" t="s">
        <v>2647</v>
      </c>
      <c r="C690" s="45" t="s">
        <v>285</v>
      </c>
      <c r="D690" s="46" t="s">
        <v>179</v>
      </c>
      <c r="E690" s="47" t="s">
        <v>102</v>
      </c>
      <c r="F690" s="46" t="s">
        <v>102</v>
      </c>
      <c r="G690" s="47" t="s">
        <v>102</v>
      </c>
      <c r="H690" s="48">
        <v>0</v>
      </c>
      <c r="I690" s="48">
        <v>0</v>
      </c>
      <c r="J690" s="47" t="s">
        <v>2613</v>
      </c>
      <c r="K690" s="49">
        <v>1</v>
      </c>
      <c r="L690" s="49" t="s">
        <v>2614</v>
      </c>
      <c r="M690" s="46" t="s">
        <v>117</v>
      </c>
      <c r="N690" s="50">
        <v>0</v>
      </c>
      <c r="O690" s="50">
        <v>0</v>
      </c>
      <c r="P690" s="50">
        <v>0</v>
      </c>
      <c r="Q690" s="46" t="s">
        <v>102</v>
      </c>
      <c r="R690" s="46" t="s">
        <v>102</v>
      </c>
      <c r="S690" s="46" t="s">
        <v>102</v>
      </c>
      <c r="T690" s="46" t="s">
        <v>288</v>
      </c>
      <c r="U690" s="51">
        <v>4</v>
      </c>
    </row>
    <row r="691" spans="2:21" ht="14.5" outlineLevel="3">
      <c r="B691" s="44" t="s">
        <v>2648</v>
      </c>
      <c r="C691" s="45" t="s">
        <v>290</v>
      </c>
      <c r="D691" s="46" t="s">
        <v>291</v>
      </c>
      <c r="E691" s="47" t="s">
        <v>102</v>
      </c>
      <c r="F691" s="46" t="s">
        <v>102</v>
      </c>
      <c r="G691" s="47" t="s">
        <v>102</v>
      </c>
      <c r="H691" s="48">
        <v>0</v>
      </c>
      <c r="I691" s="48">
        <v>0</v>
      </c>
      <c r="J691" s="47" t="s">
        <v>2613</v>
      </c>
      <c r="K691" s="49">
        <v>1</v>
      </c>
      <c r="L691" s="49" t="s">
        <v>2614</v>
      </c>
      <c r="M691" s="46" t="s">
        <v>117</v>
      </c>
      <c r="N691" s="50">
        <v>0</v>
      </c>
      <c r="O691" s="50">
        <v>0</v>
      </c>
      <c r="P691" s="50">
        <v>0</v>
      </c>
      <c r="Q691" s="46" t="s">
        <v>102</v>
      </c>
      <c r="R691" s="46" t="s">
        <v>102</v>
      </c>
      <c r="S691" s="46" t="s">
        <v>102</v>
      </c>
      <c r="T691" s="46" t="s">
        <v>203</v>
      </c>
      <c r="U691" s="51">
        <v>4</v>
      </c>
    </row>
    <row r="692" spans="2:21" ht="14.5" outlineLevel="3">
      <c r="B692" s="44" t="s">
        <v>2649</v>
      </c>
      <c r="C692" s="45" t="s">
        <v>295</v>
      </c>
      <c r="D692" s="46" t="s">
        <v>165</v>
      </c>
      <c r="E692" s="47" t="s">
        <v>102</v>
      </c>
      <c r="F692" s="46" t="s">
        <v>102</v>
      </c>
      <c r="G692" s="47" t="s">
        <v>102</v>
      </c>
      <c r="H692" s="48">
        <v>0</v>
      </c>
      <c r="I692" s="48">
        <v>0</v>
      </c>
      <c r="J692" s="47" t="s">
        <v>2613</v>
      </c>
      <c r="K692" s="49">
        <v>1</v>
      </c>
      <c r="L692" s="49" t="s">
        <v>2614</v>
      </c>
      <c r="M692" s="46" t="s">
        <v>117</v>
      </c>
      <c r="N692" s="50">
        <v>0</v>
      </c>
      <c r="O692" s="50">
        <v>0</v>
      </c>
      <c r="P692" s="50">
        <v>0</v>
      </c>
      <c r="Q692" s="46" t="s">
        <v>102</v>
      </c>
      <c r="R692" s="46" t="s">
        <v>102</v>
      </c>
      <c r="S692" s="46" t="s">
        <v>102</v>
      </c>
      <c r="T692" s="46" t="s">
        <v>298</v>
      </c>
      <c r="U692" s="51">
        <v>4</v>
      </c>
    </row>
    <row r="693" spans="2:21" ht="14.5" outlineLevel="2">
      <c r="B693" s="36" t="s">
        <v>2650</v>
      </c>
      <c r="C693" s="37" t="s">
        <v>300</v>
      </c>
      <c r="D693" s="38" t="s">
        <v>111</v>
      </c>
      <c r="E693" s="39" t="s">
        <v>102</v>
      </c>
      <c r="F693" s="38" t="s">
        <v>102</v>
      </c>
      <c r="G693" s="39" t="s">
        <v>102</v>
      </c>
      <c r="H693" s="40">
        <v>0</v>
      </c>
      <c r="I693" s="40">
        <v>0</v>
      </c>
      <c r="J693" s="39" t="s">
        <v>2613</v>
      </c>
      <c r="K693" s="41">
        <v>1</v>
      </c>
      <c r="L693" s="41" t="s">
        <v>2614</v>
      </c>
      <c r="M693" s="38" t="s">
        <v>117</v>
      </c>
      <c r="N693" s="42">
        <v>0</v>
      </c>
      <c r="O693" s="42">
        <v>0</v>
      </c>
      <c r="P693" s="42">
        <v>0</v>
      </c>
      <c r="Q693" s="38" t="s">
        <v>102</v>
      </c>
      <c r="R693" s="38" t="s">
        <v>102</v>
      </c>
      <c r="S693" s="38" t="s">
        <v>102</v>
      </c>
      <c r="T693" s="38" t="s">
        <v>303</v>
      </c>
      <c r="U693" s="43">
        <v>4</v>
      </c>
    </row>
    <row r="694" spans="2:21" ht="14.5" outlineLevel="3">
      <c r="B694" s="44" t="s">
        <v>2651</v>
      </c>
      <c r="C694" s="45" t="s">
        <v>2652</v>
      </c>
      <c r="D694" s="46" t="s">
        <v>102</v>
      </c>
      <c r="E694" s="47" t="s">
        <v>102</v>
      </c>
      <c r="F694" s="46" t="s">
        <v>102</v>
      </c>
      <c r="G694" s="47" t="s">
        <v>102</v>
      </c>
      <c r="H694" s="48">
        <v>0</v>
      </c>
      <c r="I694" s="48">
        <v>0</v>
      </c>
      <c r="J694" s="47" t="s">
        <v>102</v>
      </c>
      <c r="K694" s="49">
        <v>0</v>
      </c>
      <c r="L694" s="49" t="s">
        <v>102</v>
      </c>
      <c r="M694" s="46" t="s">
        <v>102</v>
      </c>
      <c r="N694" s="50">
        <v>0</v>
      </c>
      <c r="O694" s="50">
        <v>0</v>
      </c>
      <c r="P694" s="50">
        <v>0</v>
      </c>
      <c r="Q694" s="46" t="s">
        <v>102</v>
      </c>
      <c r="R694" s="46" t="s">
        <v>102</v>
      </c>
      <c r="S694" s="46" t="s">
        <v>306</v>
      </c>
      <c r="T694" s="46" t="s">
        <v>102</v>
      </c>
      <c r="U694" s="51">
        <v>3</v>
      </c>
    </row>
    <row r="695" spans="2:21" ht="14.5" outlineLevel="3">
      <c r="B695" s="44" t="s">
        <v>16</v>
      </c>
      <c r="C695" s="45" t="s">
        <v>308</v>
      </c>
      <c r="D695" s="46" t="s">
        <v>111</v>
      </c>
      <c r="E695" s="47" t="s">
        <v>102</v>
      </c>
      <c r="F695" s="46" t="s">
        <v>102</v>
      </c>
      <c r="G695" s="47" t="s">
        <v>102</v>
      </c>
      <c r="H695" s="48">
        <v>0</v>
      </c>
      <c r="I695" s="48">
        <v>0</v>
      </c>
      <c r="J695" s="47" t="s">
        <v>2613</v>
      </c>
      <c r="K695" s="49">
        <v>1</v>
      </c>
      <c r="L695" s="49" t="s">
        <v>2614</v>
      </c>
      <c r="M695" s="46" t="s">
        <v>117</v>
      </c>
      <c r="N695" s="50">
        <v>0</v>
      </c>
      <c r="O695" s="50">
        <v>0</v>
      </c>
      <c r="P695" s="50">
        <v>0</v>
      </c>
      <c r="Q695" s="46" t="s">
        <v>102</v>
      </c>
      <c r="R695" s="46" t="s">
        <v>102</v>
      </c>
      <c r="S695" s="46" t="s">
        <v>102</v>
      </c>
      <c r="T695" s="46" t="s">
        <v>118</v>
      </c>
      <c r="U695" s="51">
        <v>4</v>
      </c>
    </row>
    <row r="696" spans="2:21" ht="14.5" outlineLevel="3">
      <c r="B696" s="44" t="s">
        <v>17</v>
      </c>
      <c r="C696" s="45" t="s">
        <v>312</v>
      </c>
      <c r="D696" s="46" t="s">
        <v>165</v>
      </c>
      <c r="E696" s="47" t="s">
        <v>102</v>
      </c>
      <c r="F696" s="46" t="s">
        <v>102</v>
      </c>
      <c r="G696" s="47" t="s">
        <v>102</v>
      </c>
      <c r="H696" s="48">
        <v>0</v>
      </c>
      <c r="I696" s="48">
        <v>0</v>
      </c>
      <c r="J696" s="47" t="s">
        <v>2613</v>
      </c>
      <c r="K696" s="49">
        <v>1</v>
      </c>
      <c r="L696" s="49" t="s">
        <v>2614</v>
      </c>
      <c r="M696" s="46" t="s">
        <v>117</v>
      </c>
      <c r="N696" s="50">
        <v>0</v>
      </c>
      <c r="O696" s="50">
        <v>0</v>
      </c>
      <c r="P696" s="50">
        <v>0</v>
      </c>
      <c r="Q696" s="46" t="s">
        <v>102</v>
      </c>
      <c r="R696" s="46" t="s">
        <v>102</v>
      </c>
      <c r="S696" s="46" t="s">
        <v>102</v>
      </c>
      <c r="T696" s="46" t="s">
        <v>123</v>
      </c>
      <c r="U696" s="51">
        <v>4</v>
      </c>
    </row>
    <row r="697" spans="2:21" ht="14.5" outlineLevel="3">
      <c r="B697" s="44" t="s">
        <v>18</v>
      </c>
      <c r="C697" s="45" t="s">
        <v>316</v>
      </c>
      <c r="D697" s="46" t="s">
        <v>179</v>
      </c>
      <c r="E697" s="47" t="s">
        <v>102</v>
      </c>
      <c r="F697" s="46" t="s">
        <v>102</v>
      </c>
      <c r="G697" s="47" t="s">
        <v>102</v>
      </c>
      <c r="H697" s="48">
        <v>0</v>
      </c>
      <c r="I697" s="48">
        <v>0</v>
      </c>
      <c r="J697" s="47" t="s">
        <v>2613</v>
      </c>
      <c r="K697" s="49">
        <v>1</v>
      </c>
      <c r="L697" s="49" t="s">
        <v>2614</v>
      </c>
      <c r="M697" s="46" t="s">
        <v>117</v>
      </c>
      <c r="N697" s="50">
        <v>0</v>
      </c>
      <c r="O697" s="50">
        <v>0</v>
      </c>
      <c r="P697" s="50">
        <v>0</v>
      </c>
      <c r="Q697" s="46" t="s">
        <v>102</v>
      </c>
      <c r="R697" s="46" t="s">
        <v>102</v>
      </c>
      <c r="S697" s="46" t="s">
        <v>102</v>
      </c>
      <c r="T697" s="46" t="s">
        <v>128</v>
      </c>
      <c r="U697" s="51">
        <v>4</v>
      </c>
    </row>
    <row r="698" spans="2:21" ht="14.5" outlineLevel="3">
      <c r="B698" s="44" t="s">
        <v>19</v>
      </c>
      <c r="C698" s="45" t="s">
        <v>320</v>
      </c>
      <c r="D698" s="46" t="s">
        <v>179</v>
      </c>
      <c r="E698" s="47" t="s">
        <v>102</v>
      </c>
      <c r="F698" s="46" t="s">
        <v>102</v>
      </c>
      <c r="G698" s="47" t="s">
        <v>102</v>
      </c>
      <c r="H698" s="48">
        <v>0</v>
      </c>
      <c r="I698" s="48">
        <v>0</v>
      </c>
      <c r="J698" s="47" t="s">
        <v>2613</v>
      </c>
      <c r="K698" s="49">
        <v>1</v>
      </c>
      <c r="L698" s="49" t="s">
        <v>2614</v>
      </c>
      <c r="M698" s="46" t="s">
        <v>117</v>
      </c>
      <c r="N698" s="50">
        <v>0</v>
      </c>
      <c r="O698" s="50">
        <v>0</v>
      </c>
      <c r="P698" s="50">
        <v>0</v>
      </c>
      <c r="Q698" s="46" t="s">
        <v>102</v>
      </c>
      <c r="R698" s="46" t="s">
        <v>102</v>
      </c>
      <c r="S698" s="46" t="s">
        <v>102</v>
      </c>
      <c r="T698" s="46" t="s">
        <v>133</v>
      </c>
      <c r="U698" s="51">
        <v>4</v>
      </c>
    </row>
    <row r="699" spans="2:21" ht="14.5" outlineLevel="3">
      <c r="B699" s="44" t="s">
        <v>20</v>
      </c>
      <c r="C699" s="45" t="s">
        <v>324</v>
      </c>
      <c r="D699" s="46" t="s">
        <v>165</v>
      </c>
      <c r="E699" s="47" t="s">
        <v>102</v>
      </c>
      <c r="F699" s="46" t="s">
        <v>102</v>
      </c>
      <c r="G699" s="47" t="s">
        <v>102</v>
      </c>
      <c r="H699" s="48">
        <v>0</v>
      </c>
      <c r="I699" s="48">
        <v>0</v>
      </c>
      <c r="J699" s="47" t="s">
        <v>2613</v>
      </c>
      <c r="K699" s="49">
        <v>1</v>
      </c>
      <c r="L699" s="49" t="s">
        <v>2614</v>
      </c>
      <c r="M699" s="46" t="s">
        <v>117</v>
      </c>
      <c r="N699" s="50">
        <v>0</v>
      </c>
      <c r="O699" s="50">
        <v>0</v>
      </c>
      <c r="P699" s="50">
        <v>0</v>
      </c>
      <c r="Q699" s="46" t="s">
        <v>102</v>
      </c>
      <c r="R699" s="46" t="s">
        <v>102</v>
      </c>
      <c r="S699" s="46" t="s">
        <v>102</v>
      </c>
      <c r="T699" s="46" t="s">
        <v>138</v>
      </c>
      <c r="U699" s="51">
        <v>4</v>
      </c>
    </row>
    <row r="700" spans="2:21" ht="14.5" outlineLevel="3">
      <c r="B700" s="44" t="s">
        <v>21</v>
      </c>
      <c r="C700" s="45" t="s">
        <v>328</v>
      </c>
      <c r="D700" s="46" t="s">
        <v>111</v>
      </c>
      <c r="E700" s="47" t="s">
        <v>102</v>
      </c>
      <c r="F700" s="46" t="s">
        <v>102</v>
      </c>
      <c r="G700" s="47" t="s">
        <v>102</v>
      </c>
      <c r="H700" s="48">
        <v>0</v>
      </c>
      <c r="I700" s="48">
        <v>0</v>
      </c>
      <c r="J700" s="47" t="s">
        <v>2613</v>
      </c>
      <c r="K700" s="49">
        <v>1</v>
      </c>
      <c r="L700" s="49" t="s">
        <v>2614</v>
      </c>
      <c r="M700" s="46" t="s">
        <v>117</v>
      </c>
      <c r="N700" s="50">
        <v>0</v>
      </c>
      <c r="O700" s="50">
        <v>0</v>
      </c>
      <c r="P700" s="50">
        <v>0</v>
      </c>
      <c r="Q700" s="46" t="s">
        <v>102</v>
      </c>
      <c r="R700" s="46" t="s">
        <v>102</v>
      </c>
      <c r="S700" s="46" t="s">
        <v>102</v>
      </c>
      <c r="T700" s="46" t="s">
        <v>143</v>
      </c>
      <c r="U700" s="51">
        <v>4</v>
      </c>
    </row>
    <row r="701" spans="2:21" ht="14.5" outlineLevel="3">
      <c r="B701" s="44" t="s">
        <v>22</v>
      </c>
      <c r="C701" s="45" t="s">
        <v>332</v>
      </c>
      <c r="D701" s="46" t="s">
        <v>179</v>
      </c>
      <c r="E701" s="47" t="s">
        <v>102</v>
      </c>
      <c r="F701" s="46" t="s">
        <v>102</v>
      </c>
      <c r="G701" s="47" t="s">
        <v>102</v>
      </c>
      <c r="H701" s="48">
        <v>0</v>
      </c>
      <c r="I701" s="48">
        <v>0</v>
      </c>
      <c r="J701" s="47" t="s">
        <v>2613</v>
      </c>
      <c r="K701" s="49">
        <v>1</v>
      </c>
      <c r="L701" s="49" t="s">
        <v>2614</v>
      </c>
      <c r="M701" s="46" t="s">
        <v>117</v>
      </c>
      <c r="N701" s="50">
        <v>0</v>
      </c>
      <c r="O701" s="50">
        <v>0</v>
      </c>
      <c r="P701" s="50">
        <v>0</v>
      </c>
      <c r="Q701" s="46" t="s">
        <v>102</v>
      </c>
      <c r="R701" s="46" t="s">
        <v>102</v>
      </c>
      <c r="S701" s="46" t="s">
        <v>102</v>
      </c>
      <c r="T701" s="46" t="s">
        <v>176</v>
      </c>
      <c r="U701" s="51">
        <v>4</v>
      </c>
    </row>
    <row r="702" spans="2:21" ht="14.5" outlineLevel="3">
      <c r="B702" s="44" t="s">
        <v>23</v>
      </c>
      <c r="C702" s="45" t="s">
        <v>336</v>
      </c>
      <c r="D702" s="46" t="s">
        <v>179</v>
      </c>
      <c r="E702" s="47" t="s">
        <v>102</v>
      </c>
      <c r="F702" s="46" t="s">
        <v>102</v>
      </c>
      <c r="G702" s="47" t="s">
        <v>102</v>
      </c>
      <c r="H702" s="48">
        <v>0</v>
      </c>
      <c r="I702" s="48">
        <v>0</v>
      </c>
      <c r="J702" s="47" t="s">
        <v>2613</v>
      </c>
      <c r="K702" s="49">
        <v>1</v>
      </c>
      <c r="L702" s="49" t="s">
        <v>2614</v>
      </c>
      <c r="M702" s="46" t="s">
        <v>117</v>
      </c>
      <c r="N702" s="50">
        <v>0</v>
      </c>
      <c r="O702" s="50">
        <v>0</v>
      </c>
      <c r="P702" s="50">
        <v>0</v>
      </c>
      <c r="Q702" s="46" t="s">
        <v>102</v>
      </c>
      <c r="R702" s="46" t="s">
        <v>102</v>
      </c>
      <c r="S702" s="46" t="s">
        <v>102</v>
      </c>
      <c r="T702" s="46" t="s">
        <v>187</v>
      </c>
      <c r="U702" s="51">
        <v>4</v>
      </c>
    </row>
    <row r="703" spans="2:21" ht="14.5" outlineLevel="3">
      <c r="B703" s="44" t="s">
        <v>24</v>
      </c>
      <c r="C703" s="45" t="s">
        <v>340</v>
      </c>
      <c r="D703" s="46" t="s">
        <v>276</v>
      </c>
      <c r="E703" s="47" t="s">
        <v>102</v>
      </c>
      <c r="F703" s="46" t="s">
        <v>102</v>
      </c>
      <c r="G703" s="47" t="s">
        <v>102</v>
      </c>
      <c r="H703" s="48">
        <v>0</v>
      </c>
      <c r="I703" s="48">
        <v>0</v>
      </c>
      <c r="J703" s="47" t="s">
        <v>2613</v>
      </c>
      <c r="K703" s="49">
        <v>1</v>
      </c>
      <c r="L703" s="49" t="s">
        <v>2614</v>
      </c>
      <c r="M703" s="46" t="s">
        <v>117</v>
      </c>
      <c r="N703" s="50">
        <v>0</v>
      </c>
      <c r="O703" s="50">
        <v>0</v>
      </c>
      <c r="P703" s="50">
        <v>0</v>
      </c>
      <c r="Q703" s="46" t="s">
        <v>102</v>
      </c>
      <c r="R703" s="46" t="s">
        <v>102</v>
      </c>
      <c r="S703" s="46" t="s">
        <v>102</v>
      </c>
      <c r="T703" s="46" t="s">
        <v>259</v>
      </c>
      <c r="U703" s="51">
        <v>4</v>
      </c>
    </row>
    <row r="704" spans="2:21" ht="14.5" outlineLevel="3">
      <c r="B704" s="44" t="s">
        <v>25</v>
      </c>
      <c r="C704" s="45" t="s">
        <v>344</v>
      </c>
      <c r="D704" s="46" t="s">
        <v>111</v>
      </c>
      <c r="E704" s="47" t="s">
        <v>102</v>
      </c>
      <c r="F704" s="46" t="s">
        <v>102</v>
      </c>
      <c r="G704" s="47" t="s">
        <v>102</v>
      </c>
      <c r="H704" s="48">
        <v>0</v>
      </c>
      <c r="I704" s="48">
        <v>0</v>
      </c>
      <c r="J704" s="47" t="s">
        <v>2613</v>
      </c>
      <c r="K704" s="49">
        <v>1</v>
      </c>
      <c r="L704" s="49" t="s">
        <v>2614</v>
      </c>
      <c r="M704" s="46" t="s">
        <v>117</v>
      </c>
      <c r="N704" s="50">
        <v>0</v>
      </c>
      <c r="O704" s="50">
        <v>0</v>
      </c>
      <c r="P704" s="50">
        <v>0</v>
      </c>
      <c r="Q704" s="46" t="s">
        <v>102</v>
      </c>
      <c r="R704" s="46" t="s">
        <v>102</v>
      </c>
      <c r="S704" s="46" t="s">
        <v>102</v>
      </c>
      <c r="T704" s="46" t="s">
        <v>192</v>
      </c>
      <c r="U704" s="51">
        <v>4</v>
      </c>
    </row>
    <row r="705" spans="2:21" ht="14.5" outlineLevel="3">
      <c r="B705" s="44" t="s">
        <v>26</v>
      </c>
      <c r="C705" s="45" t="s">
        <v>348</v>
      </c>
      <c r="D705" s="46" t="s">
        <v>179</v>
      </c>
      <c r="E705" s="47" t="s">
        <v>102</v>
      </c>
      <c r="F705" s="46" t="s">
        <v>102</v>
      </c>
      <c r="G705" s="47" t="s">
        <v>102</v>
      </c>
      <c r="H705" s="48">
        <v>0</v>
      </c>
      <c r="I705" s="48">
        <v>0</v>
      </c>
      <c r="J705" s="47" t="s">
        <v>2613</v>
      </c>
      <c r="K705" s="49">
        <v>1</v>
      </c>
      <c r="L705" s="49" t="s">
        <v>2614</v>
      </c>
      <c r="M705" s="46" t="s">
        <v>117</v>
      </c>
      <c r="N705" s="50">
        <v>0</v>
      </c>
      <c r="O705" s="50">
        <v>0</v>
      </c>
      <c r="P705" s="50">
        <v>0</v>
      </c>
      <c r="Q705" s="46" t="s">
        <v>102</v>
      </c>
      <c r="R705" s="46" t="s">
        <v>102</v>
      </c>
      <c r="S705" s="46" t="s">
        <v>102</v>
      </c>
      <c r="T705" s="46" t="s">
        <v>268</v>
      </c>
      <c r="U705" s="51">
        <v>4</v>
      </c>
    </row>
    <row r="706" spans="2:21" ht="14.5" outlineLevel="3">
      <c r="B706" s="44" t="s">
        <v>27</v>
      </c>
      <c r="C706" s="45" t="s">
        <v>352</v>
      </c>
      <c r="D706" s="46" t="s">
        <v>165</v>
      </c>
      <c r="E706" s="47" t="s">
        <v>102</v>
      </c>
      <c r="F706" s="46" t="s">
        <v>102</v>
      </c>
      <c r="G706" s="47" t="s">
        <v>102</v>
      </c>
      <c r="H706" s="48">
        <v>0</v>
      </c>
      <c r="I706" s="48">
        <v>0</v>
      </c>
      <c r="J706" s="47" t="s">
        <v>2613</v>
      </c>
      <c r="K706" s="49">
        <v>1</v>
      </c>
      <c r="L706" s="49" t="s">
        <v>2614</v>
      </c>
      <c r="M706" s="46" t="s">
        <v>117</v>
      </c>
      <c r="N706" s="50">
        <v>0</v>
      </c>
      <c r="O706" s="50">
        <v>0</v>
      </c>
      <c r="P706" s="50">
        <v>0</v>
      </c>
      <c r="Q706" s="46" t="s">
        <v>102</v>
      </c>
      <c r="R706" s="46" t="s">
        <v>102</v>
      </c>
      <c r="S706" s="46" t="s">
        <v>102</v>
      </c>
      <c r="T706" s="46" t="s">
        <v>283</v>
      </c>
      <c r="U706" s="51">
        <v>4</v>
      </c>
    </row>
    <row r="707" spans="2:21" ht="14.5" outlineLevel="3">
      <c r="B707" s="44" t="s">
        <v>28</v>
      </c>
      <c r="C707" s="45" t="s">
        <v>356</v>
      </c>
      <c r="D707" s="46" t="s">
        <v>179</v>
      </c>
      <c r="E707" s="47" t="s">
        <v>102</v>
      </c>
      <c r="F707" s="46" t="s">
        <v>102</v>
      </c>
      <c r="G707" s="47" t="s">
        <v>102</v>
      </c>
      <c r="H707" s="48">
        <v>0</v>
      </c>
      <c r="I707" s="48">
        <v>0</v>
      </c>
      <c r="J707" s="47" t="s">
        <v>2613</v>
      </c>
      <c r="K707" s="49">
        <v>1</v>
      </c>
      <c r="L707" s="49" t="s">
        <v>2614</v>
      </c>
      <c r="M707" s="46" t="s">
        <v>117</v>
      </c>
      <c r="N707" s="50">
        <v>0</v>
      </c>
      <c r="O707" s="50">
        <v>0</v>
      </c>
      <c r="P707" s="50">
        <v>0</v>
      </c>
      <c r="Q707" s="46" t="s">
        <v>102</v>
      </c>
      <c r="R707" s="46" t="s">
        <v>102</v>
      </c>
      <c r="S707" s="46" t="s">
        <v>102</v>
      </c>
      <c r="T707" s="46" t="s">
        <v>288</v>
      </c>
      <c r="U707" s="51">
        <v>4</v>
      </c>
    </row>
    <row r="708" spans="2:21" ht="14.5" outlineLevel="2">
      <c r="B708" s="36" t="s">
        <v>29</v>
      </c>
      <c r="C708" s="37" t="s">
        <v>360</v>
      </c>
      <c r="D708" s="38" t="s">
        <v>111</v>
      </c>
      <c r="E708" s="39" t="s">
        <v>102</v>
      </c>
      <c r="F708" s="38" t="s">
        <v>102</v>
      </c>
      <c r="G708" s="39" t="s">
        <v>102</v>
      </c>
      <c r="H708" s="40">
        <v>0</v>
      </c>
      <c r="I708" s="40">
        <v>0</v>
      </c>
      <c r="J708" s="39" t="s">
        <v>2613</v>
      </c>
      <c r="K708" s="41">
        <v>1</v>
      </c>
      <c r="L708" s="41" t="s">
        <v>2614</v>
      </c>
      <c r="M708" s="38" t="s">
        <v>117</v>
      </c>
      <c r="N708" s="42">
        <v>0</v>
      </c>
      <c r="O708" s="42">
        <v>0</v>
      </c>
      <c r="P708" s="42">
        <v>0</v>
      </c>
      <c r="Q708" s="38" t="s">
        <v>102</v>
      </c>
      <c r="R708" s="38" t="s">
        <v>102</v>
      </c>
      <c r="S708" s="38" t="s">
        <v>102</v>
      </c>
      <c r="T708" s="38" t="s">
        <v>203</v>
      </c>
      <c r="U708" s="43">
        <v>4</v>
      </c>
    </row>
    <row r="709" spans="2:21" ht="14.5" outlineLevel="3">
      <c r="B709" s="44" t="s">
        <v>2653</v>
      </c>
      <c r="C709" s="45" t="s">
        <v>2654</v>
      </c>
      <c r="D709" s="46" t="s">
        <v>102</v>
      </c>
      <c r="E709" s="47" t="s">
        <v>102</v>
      </c>
      <c r="F709" s="46" t="s">
        <v>102</v>
      </c>
      <c r="G709" s="47" t="s">
        <v>102</v>
      </c>
      <c r="H709" s="48">
        <v>0</v>
      </c>
      <c r="I709" s="48">
        <v>0</v>
      </c>
      <c r="J709" s="47" t="s">
        <v>102</v>
      </c>
      <c r="K709" s="49">
        <v>0</v>
      </c>
      <c r="L709" s="49" t="s">
        <v>102</v>
      </c>
      <c r="M709" s="46" t="s">
        <v>102</v>
      </c>
      <c r="N709" s="50">
        <v>0</v>
      </c>
      <c r="O709" s="50">
        <v>0</v>
      </c>
      <c r="P709" s="50">
        <v>0</v>
      </c>
      <c r="Q709" s="46" t="s">
        <v>102</v>
      </c>
      <c r="R709" s="46" t="s">
        <v>102</v>
      </c>
      <c r="S709" s="46" t="s">
        <v>365</v>
      </c>
      <c r="T709" s="46" t="s">
        <v>102</v>
      </c>
      <c r="U709" s="51">
        <v>3</v>
      </c>
    </row>
    <row r="710" spans="2:21" ht="14.5" outlineLevel="3">
      <c r="B710" s="44" t="s">
        <v>2655</v>
      </c>
      <c r="C710" s="45" t="s">
        <v>367</v>
      </c>
      <c r="D710" s="46" t="s">
        <v>165</v>
      </c>
      <c r="E710" s="47" t="s">
        <v>102</v>
      </c>
      <c r="F710" s="46" t="s">
        <v>102</v>
      </c>
      <c r="G710" s="47" t="s">
        <v>102</v>
      </c>
      <c r="H710" s="48">
        <v>0</v>
      </c>
      <c r="I710" s="48">
        <v>0</v>
      </c>
      <c r="J710" s="47" t="s">
        <v>2613</v>
      </c>
      <c r="K710" s="49">
        <v>1</v>
      </c>
      <c r="L710" s="49" t="s">
        <v>2614</v>
      </c>
      <c r="M710" s="46" t="s">
        <v>117</v>
      </c>
      <c r="N710" s="50">
        <v>0</v>
      </c>
      <c r="O710" s="50">
        <v>0</v>
      </c>
      <c r="P710" s="50">
        <v>0</v>
      </c>
      <c r="Q710" s="46" t="s">
        <v>102</v>
      </c>
      <c r="R710" s="46" t="s">
        <v>102</v>
      </c>
      <c r="S710" s="46" t="s">
        <v>102</v>
      </c>
      <c r="T710" s="46" t="s">
        <v>118</v>
      </c>
      <c r="U710" s="51">
        <v>4</v>
      </c>
    </row>
    <row r="711" spans="2:21" ht="14.5" outlineLevel="3">
      <c r="B711" s="44" t="s">
        <v>2656</v>
      </c>
      <c r="C711" s="45" t="s">
        <v>371</v>
      </c>
      <c r="D711" s="46" t="s">
        <v>165</v>
      </c>
      <c r="E711" s="47" t="s">
        <v>102</v>
      </c>
      <c r="F711" s="46" t="s">
        <v>102</v>
      </c>
      <c r="G711" s="47" t="s">
        <v>102</v>
      </c>
      <c r="H711" s="48">
        <v>0</v>
      </c>
      <c r="I711" s="48">
        <v>0</v>
      </c>
      <c r="J711" s="47" t="s">
        <v>2613</v>
      </c>
      <c r="K711" s="49">
        <v>1</v>
      </c>
      <c r="L711" s="49" t="s">
        <v>2614</v>
      </c>
      <c r="M711" s="46" t="s">
        <v>117</v>
      </c>
      <c r="N711" s="50">
        <v>0</v>
      </c>
      <c r="O711" s="50">
        <v>0</v>
      </c>
      <c r="P711" s="50">
        <v>0</v>
      </c>
      <c r="Q711" s="46" t="s">
        <v>102</v>
      </c>
      <c r="R711" s="46" t="s">
        <v>102</v>
      </c>
      <c r="S711" s="46" t="s">
        <v>102</v>
      </c>
      <c r="T711" s="46" t="s">
        <v>123</v>
      </c>
      <c r="U711" s="51">
        <v>4</v>
      </c>
    </row>
    <row r="712" spans="2:21" ht="14.5" outlineLevel="3">
      <c r="B712" s="44" t="s">
        <v>2657</v>
      </c>
      <c r="C712" s="45" t="s">
        <v>375</v>
      </c>
      <c r="D712" s="46" t="s">
        <v>165</v>
      </c>
      <c r="E712" s="47" t="s">
        <v>102</v>
      </c>
      <c r="F712" s="46" t="s">
        <v>102</v>
      </c>
      <c r="G712" s="47" t="s">
        <v>102</v>
      </c>
      <c r="H712" s="48">
        <v>0</v>
      </c>
      <c r="I712" s="48">
        <v>0</v>
      </c>
      <c r="J712" s="47" t="s">
        <v>2613</v>
      </c>
      <c r="K712" s="49">
        <v>1</v>
      </c>
      <c r="L712" s="49" t="s">
        <v>2614</v>
      </c>
      <c r="M712" s="46" t="s">
        <v>117</v>
      </c>
      <c r="N712" s="50">
        <v>0</v>
      </c>
      <c r="O712" s="50">
        <v>0</v>
      </c>
      <c r="P712" s="50">
        <v>0</v>
      </c>
      <c r="Q712" s="46" t="s">
        <v>102</v>
      </c>
      <c r="R712" s="46" t="s">
        <v>102</v>
      </c>
      <c r="S712" s="46" t="s">
        <v>102</v>
      </c>
      <c r="T712" s="46" t="s">
        <v>128</v>
      </c>
      <c r="U712" s="51">
        <v>4</v>
      </c>
    </row>
    <row r="713" spans="2:21" ht="14.5" outlineLevel="3">
      <c r="B713" s="44" t="s">
        <v>2658</v>
      </c>
      <c r="C713" s="45" t="s">
        <v>379</v>
      </c>
      <c r="D713" s="46" t="s">
        <v>165</v>
      </c>
      <c r="E713" s="47" t="s">
        <v>102</v>
      </c>
      <c r="F713" s="46" t="s">
        <v>102</v>
      </c>
      <c r="G713" s="47" t="s">
        <v>102</v>
      </c>
      <c r="H713" s="48">
        <v>0</v>
      </c>
      <c r="I713" s="48">
        <v>0</v>
      </c>
      <c r="J713" s="47" t="s">
        <v>2613</v>
      </c>
      <c r="K713" s="49">
        <v>1</v>
      </c>
      <c r="L713" s="49" t="s">
        <v>2614</v>
      </c>
      <c r="M713" s="46" t="s">
        <v>117</v>
      </c>
      <c r="N713" s="50">
        <v>0</v>
      </c>
      <c r="O713" s="50">
        <v>0</v>
      </c>
      <c r="P713" s="50">
        <v>0</v>
      </c>
      <c r="Q713" s="46" t="s">
        <v>102</v>
      </c>
      <c r="R713" s="46" t="s">
        <v>102</v>
      </c>
      <c r="S713" s="46" t="s">
        <v>102</v>
      </c>
      <c r="T713" s="46" t="s">
        <v>133</v>
      </c>
      <c r="U713" s="51">
        <v>4</v>
      </c>
    </row>
    <row r="714" spans="2:21" ht="14.5" outlineLevel="2">
      <c r="B714" s="36" t="s">
        <v>2659</v>
      </c>
      <c r="C714" s="37" t="s">
        <v>383</v>
      </c>
      <c r="D714" s="38" t="s">
        <v>384</v>
      </c>
      <c r="E714" s="39" t="s">
        <v>102</v>
      </c>
      <c r="F714" s="38" t="s">
        <v>102</v>
      </c>
      <c r="G714" s="39" t="s">
        <v>102</v>
      </c>
      <c r="H714" s="40">
        <v>0</v>
      </c>
      <c r="I714" s="40">
        <v>0</v>
      </c>
      <c r="J714" s="39" t="s">
        <v>2613</v>
      </c>
      <c r="K714" s="41">
        <v>1</v>
      </c>
      <c r="L714" s="41" t="s">
        <v>2614</v>
      </c>
      <c r="M714" s="38" t="s">
        <v>117</v>
      </c>
      <c r="N714" s="42">
        <v>0</v>
      </c>
      <c r="O714" s="42">
        <v>0</v>
      </c>
      <c r="P714" s="42">
        <v>0</v>
      </c>
      <c r="Q714" s="38" t="s">
        <v>102</v>
      </c>
      <c r="R714" s="38" t="s">
        <v>102</v>
      </c>
      <c r="S714" s="38" t="s">
        <v>102</v>
      </c>
      <c r="T714" s="38" t="s">
        <v>138</v>
      </c>
      <c r="U714" s="43">
        <v>4</v>
      </c>
    </row>
    <row r="715" spans="2:21" ht="14.5" outlineLevel="3">
      <c r="B715" s="44" t="s">
        <v>2660</v>
      </c>
      <c r="C715" s="45" t="s">
        <v>391</v>
      </c>
      <c r="D715" s="46" t="s">
        <v>102</v>
      </c>
      <c r="E715" s="47" t="s">
        <v>102</v>
      </c>
      <c r="F715" s="46" t="s">
        <v>102</v>
      </c>
      <c r="G715" s="47" t="s">
        <v>102</v>
      </c>
      <c r="H715" s="48">
        <v>0</v>
      </c>
      <c r="I715" s="48">
        <v>0</v>
      </c>
      <c r="J715" s="47" t="s">
        <v>102</v>
      </c>
      <c r="K715" s="49">
        <v>0</v>
      </c>
      <c r="L715" s="49" t="s">
        <v>102</v>
      </c>
      <c r="M715" s="46" t="s">
        <v>102</v>
      </c>
      <c r="N715" s="50">
        <v>0</v>
      </c>
      <c r="O715" s="50">
        <v>0</v>
      </c>
      <c r="P715" s="50">
        <v>0</v>
      </c>
      <c r="Q715" s="46" t="s">
        <v>102</v>
      </c>
      <c r="R715" s="46" t="s">
        <v>102</v>
      </c>
      <c r="S715" s="46" t="s">
        <v>389</v>
      </c>
      <c r="T715" s="46" t="s">
        <v>102</v>
      </c>
      <c r="U715" s="51">
        <v>3</v>
      </c>
    </row>
    <row r="716" spans="2:21" ht="14.5" outlineLevel="2">
      <c r="B716" s="36" t="s">
        <v>2661</v>
      </c>
      <c r="C716" s="37" t="s">
        <v>391</v>
      </c>
      <c r="D716" s="38" t="s">
        <v>392</v>
      </c>
      <c r="E716" s="39" t="s">
        <v>102</v>
      </c>
      <c r="F716" s="38" t="s">
        <v>102</v>
      </c>
      <c r="G716" s="39" t="s">
        <v>102</v>
      </c>
      <c r="H716" s="40">
        <v>-50000000</v>
      </c>
      <c r="I716" s="40">
        <v>0</v>
      </c>
      <c r="J716" s="39" t="s">
        <v>2662</v>
      </c>
      <c r="K716" s="41">
        <v>1</v>
      </c>
      <c r="L716" s="41" t="s">
        <v>2614</v>
      </c>
      <c r="M716" s="38" t="s">
        <v>117</v>
      </c>
      <c r="N716" s="42">
        <v>0</v>
      </c>
      <c r="O716" s="42">
        <v>0</v>
      </c>
      <c r="P716" s="42">
        <v>0</v>
      </c>
      <c r="Q716" s="38" t="s">
        <v>102</v>
      </c>
      <c r="R716" s="38" t="s">
        <v>102</v>
      </c>
      <c r="S716" s="38" t="s">
        <v>102</v>
      </c>
      <c r="T716" s="38" t="s">
        <v>118</v>
      </c>
      <c r="U716" s="43">
        <v>4</v>
      </c>
    </row>
    <row r="717" spans="2:21" ht="14.5" outlineLevel="3">
      <c r="B717" s="44" t="s">
        <v>2663</v>
      </c>
      <c r="C717" s="45" t="s">
        <v>2664</v>
      </c>
      <c r="D717" s="46" t="s">
        <v>102</v>
      </c>
      <c r="E717" s="47" t="s">
        <v>102</v>
      </c>
      <c r="F717" s="46" t="s">
        <v>102</v>
      </c>
      <c r="G717" s="47" t="s">
        <v>102</v>
      </c>
      <c r="H717" s="48">
        <v>0</v>
      </c>
      <c r="I717" s="48">
        <v>0</v>
      </c>
      <c r="J717" s="47" t="s">
        <v>102</v>
      </c>
      <c r="K717" s="49">
        <v>0</v>
      </c>
      <c r="L717" s="49" t="s">
        <v>102</v>
      </c>
      <c r="M717" s="46" t="s">
        <v>102</v>
      </c>
      <c r="N717" s="50">
        <v>0</v>
      </c>
      <c r="O717" s="50">
        <v>0</v>
      </c>
      <c r="P717" s="50">
        <v>0</v>
      </c>
      <c r="Q717" s="46" t="s">
        <v>102</v>
      </c>
      <c r="R717" s="46" t="s">
        <v>102</v>
      </c>
      <c r="S717" s="46" t="s">
        <v>398</v>
      </c>
      <c r="T717" s="46" t="s">
        <v>102</v>
      </c>
      <c r="U717" s="51">
        <v>3</v>
      </c>
    </row>
    <row r="718" spans="2:21" ht="14.5" outlineLevel="3">
      <c r="B718" s="44" t="s">
        <v>2665</v>
      </c>
      <c r="C718" s="45" t="s">
        <v>400</v>
      </c>
      <c r="D718" s="46" t="s">
        <v>392</v>
      </c>
      <c r="E718" s="47" t="s">
        <v>102</v>
      </c>
      <c r="F718" s="46" t="s">
        <v>102</v>
      </c>
      <c r="G718" s="47" t="s">
        <v>102</v>
      </c>
      <c r="H718" s="48">
        <v>-250000000</v>
      </c>
      <c r="I718" s="48">
        <v>0</v>
      </c>
      <c r="J718" s="47" t="s">
        <v>2613</v>
      </c>
      <c r="K718" s="49">
        <v>1</v>
      </c>
      <c r="L718" s="49" t="s">
        <v>2614</v>
      </c>
      <c r="M718" s="46" t="s">
        <v>117</v>
      </c>
      <c r="N718" s="50">
        <v>0</v>
      </c>
      <c r="O718" s="50">
        <v>0</v>
      </c>
      <c r="P718" s="50">
        <v>0</v>
      </c>
      <c r="Q718" s="46" t="s">
        <v>102</v>
      </c>
      <c r="R718" s="46" t="s">
        <v>102</v>
      </c>
      <c r="S718" s="46" t="s">
        <v>102</v>
      </c>
      <c r="T718" s="46" t="s">
        <v>118</v>
      </c>
      <c r="U718" s="51">
        <v>4</v>
      </c>
    </row>
    <row r="719" spans="2:21" ht="14.5" outlineLevel="1">
      <c r="B719" s="28" t="s">
        <v>2667</v>
      </c>
      <c r="C719" s="29" t="s">
        <v>2668</v>
      </c>
      <c r="D719" s="30" t="s">
        <v>102</v>
      </c>
      <c r="E719" s="31" t="s">
        <v>102</v>
      </c>
      <c r="F719" s="30" t="s">
        <v>102</v>
      </c>
      <c r="G719" s="31" t="s">
        <v>102</v>
      </c>
      <c r="H719" s="32">
        <v>0</v>
      </c>
      <c r="I719" s="32">
        <v>0</v>
      </c>
      <c r="J719" s="31" t="s">
        <v>102</v>
      </c>
      <c r="K719" s="33">
        <v>0</v>
      </c>
      <c r="L719" s="33" t="s">
        <v>102</v>
      </c>
      <c r="M719" s="30" t="s">
        <v>102</v>
      </c>
      <c r="N719" s="34">
        <v>0</v>
      </c>
      <c r="O719" s="34">
        <v>0</v>
      </c>
      <c r="P719" s="34">
        <v>0</v>
      </c>
      <c r="Q719" s="30" t="s">
        <v>102</v>
      </c>
      <c r="R719" s="30" t="s">
        <v>405</v>
      </c>
      <c r="S719" s="30" t="s">
        <v>102</v>
      </c>
      <c r="T719" s="30" t="s">
        <v>102</v>
      </c>
      <c r="U719" s="35">
        <v>2</v>
      </c>
    </row>
    <row r="720" spans="2:21" ht="14.5" outlineLevel="2">
      <c r="B720" s="36" t="s">
        <v>2669</v>
      </c>
      <c r="C720" s="37" t="s">
        <v>2670</v>
      </c>
      <c r="D720" s="38" t="s">
        <v>102</v>
      </c>
      <c r="E720" s="39" t="s">
        <v>102</v>
      </c>
      <c r="F720" s="38" t="s">
        <v>102</v>
      </c>
      <c r="G720" s="39" t="s">
        <v>102</v>
      </c>
      <c r="H720" s="40">
        <v>0</v>
      </c>
      <c r="I720" s="40">
        <v>0</v>
      </c>
      <c r="J720" s="39" t="s">
        <v>102</v>
      </c>
      <c r="K720" s="41">
        <v>0</v>
      </c>
      <c r="L720" s="41" t="s">
        <v>102</v>
      </c>
      <c r="M720" s="38" t="s">
        <v>102</v>
      </c>
      <c r="N720" s="42">
        <v>0</v>
      </c>
      <c r="O720" s="42">
        <v>0</v>
      </c>
      <c r="P720" s="42">
        <v>0</v>
      </c>
      <c r="Q720" s="38" t="s">
        <v>102</v>
      </c>
      <c r="R720" s="38" t="s">
        <v>102</v>
      </c>
      <c r="S720" s="38" t="s">
        <v>2671</v>
      </c>
      <c r="T720" s="38" t="s">
        <v>102</v>
      </c>
      <c r="U720" s="43">
        <v>3</v>
      </c>
    </row>
    <row r="721" spans="2:21" ht="14.5" outlineLevel="3">
      <c r="B721" s="44" t="s">
        <v>2672</v>
      </c>
      <c r="C721" s="45" t="s">
        <v>410</v>
      </c>
      <c r="D721" s="46" t="s">
        <v>2673</v>
      </c>
      <c r="E721" s="47" t="s">
        <v>102</v>
      </c>
      <c r="F721" s="46" t="s">
        <v>102</v>
      </c>
      <c r="G721" s="47" t="s">
        <v>102</v>
      </c>
      <c r="H721" s="48">
        <v>0</v>
      </c>
      <c r="I721" s="48">
        <v>0</v>
      </c>
      <c r="J721" s="47" t="s">
        <v>2613</v>
      </c>
      <c r="K721" s="49">
        <v>1</v>
      </c>
      <c r="L721" s="49" t="s">
        <v>2614</v>
      </c>
      <c r="M721" s="46" t="s">
        <v>117</v>
      </c>
      <c r="N721" s="50">
        <v>0</v>
      </c>
      <c r="O721" s="50">
        <v>0</v>
      </c>
      <c r="P721" s="50">
        <v>0</v>
      </c>
      <c r="Q721" s="46" t="s">
        <v>102</v>
      </c>
      <c r="R721" s="46" t="s">
        <v>102</v>
      </c>
      <c r="S721" s="46" t="s">
        <v>102</v>
      </c>
      <c r="T721" s="46" t="s">
        <v>259</v>
      </c>
      <c r="U721" s="51">
        <v>4</v>
      </c>
    </row>
    <row r="722" spans="2:21" ht="14.5" outlineLevel="3">
      <c r="B722" s="44" t="s">
        <v>2674</v>
      </c>
      <c r="C722" s="45" t="s">
        <v>415</v>
      </c>
      <c r="D722" s="46" t="s">
        <v>111</v>
      </c>
      <c r="E722" s="47" t="s">
        <v>102</v>
      </c>
      <c r="F722" s="46" t="s">
        <v>102</v>
      </c>
      <c r="G722" s="47" t="s">
        <v>102</v>
      </c>
      <c r="H722" s="48">
        <v>0</v>
      </c>
      <c r="I722" s="48">
        <v>0</v>
      </c>
      <c r="J722" s="47" t="s">
        <v>2613</v>
      </c>
      <c r="K722" s="49">
        <v>1</v>
      </c>
      <c r="L722" s="49" t="s">
        <v>2614</v>
      </c>
      <c r="M722" s="46" t="s">
        <v>117</v>
      </c>
      <c r="N722" s="50">
        <v>0</v>
      </c>
      <c r="O722" s="50">
        <v>0</v>
      </c>
      <c r="P722" s="50">
        <v>0</v>
      </c>
      <c r="Q722" s="46" t="s">
        <v>102</v>
      </c>
      <c r="R722" s="46" t="s">
        <v>102</v>
      </c>
      <c r="S722" s="46" t="s">
        <v>102</v>
      </c>
      <c r="T722" s="46" t="s">
        <v>418</v>
      </c>
      <c r="U722" s="51">
        <v>4</v>
      </c>
    </row>
    <row r="723" spans="2:21" ht="14.5" outlineLevel="3">
      <c r="B723" s="44" t="s">
        <v>2675</v>
      </c>
      <c r="C723" s="45" t="s">
        <v>420</v>
      </c>
      <c r="D723" s="46" t="s">
        <v>276</v>
      </c>
      <c r="E723" s="47" t="s">
        <v>102</v>
      </c>
      <c r="F723" s="46" t="s">
        <v>102</v>
      </c>
      <c r="G723" s="47" t="s">
        <v>102</v>
      </c>
      <c r="H723" s="48">
        <v>0</v>
      </c>
      <c r="I723" s="48">
        <v>0</v>
      </c>
      <c r="J723" s="47" t="s">
        <v>2613</v>
      </c>
      <c r="K723" s="49">
        <v>1</v>
      </c>
      <c r="L723" s="49" t="s">
        <v>2614</v>
      </c>
      <c r="M723" s="46" t="s">
        <v>117</v>
      </c>
      <c r="N723" s="50">
        <v>0</v>
      </c>
      <c r="O723" s="50">
        <v>0</v>
      </c>
      <c r="P723" s="50">
        <v>0</v>
      </c>
      <c r="Q723" s="46" t="s">
        <v>102</v>
      </c>
      <c r="R723" s="46" t="s">
        <v>102</v>
      </c>
      <c r="S723" s="46" t="s">
        <v>102</v>
      </c>
      <c r="T723" s="46" t="s">
        <v>223</v>
      </c>
      <c r="U723" s="51">
        <v>4</v>
      </c>
    </row>
    <row r="724" spans="2:21" ht="14.5" outlineLevel="3">
      <c r="B724" s="44" t="s">
        <v>2676</v>
      </c>
      <c r="C724" s="45" t="s">
        <v>424</v>
      </c>
      <c r="D724" s="46" t="s">
        <v>276</v>
      </c>
      <c r="E724" s="47" t="s">
        <v>102</v>
      </c>
      <c r="F724" s="46" t="s">
        <v>102</v>
      </c>
      <c r="G724" s="47" t="s">
        <v>102</v>
      </c>
      <c r="H724" s="48">
        <v>0</v>
      </c>
      <c r="I724" s="48">
        <v>0</v>
      </c>
      <c r="J724" s="47" t="s">
        <v>2613</v>
      </c>
      <c r="K724" s="49">
        <v>1</v>
      </c>
      <c r="L724" s="49" t="s">
        <v>2614</v>
      </c>
      <c r="M724" s="46" t="s">
        <v>117</v>
      </c>
      <c r="N724" s="50">
        <v>0</v>
      </c>
      <c r="O724" s="50">
        <v>0</v>
      </c>
      <c r="P724" s="50">
        <v>0</v>
      </c>
      <c r="Q724" s="46" t="s">
        <v>102</v>
      </c>
      <c r="R724" s="46" t="s">
        <v>102</v>
      </c>
      <c r="S724" s="46" t="s">
        <v>102</v>
      </c>
      <c r="T724" s="46" t="s">
        <v>427</v>
      </c>
      <c r="U724" s="51">
        <v>4</v>
      </c>
    </row>
    <row r="725" spans="2:21" ht="14.5" outlineLevel="3">
      <c r="B725" s="44" t="s">
        <v>2677</v>
      </c>
      <c r="C725" s="45" t="s">
        <v>429</v>
      </c>
      <c r="D725" s="46" t="s">
        <v>111</v>
      </c>
      <c r="E725" s="47" t="s">
        <v>102</v>
      </c>
      <c r="F725" s="46" t="s">
        <v>102</v>
      </c>
      <c r="G725" s="47" t="s">
        <v>102</v>
      </c>
      <c r="H725" s="48">
        <v>0</v>
      </c>
      <c r="I725" s="48">
        <v>0</v>
      </c>
      <c r="J725" s="47" t="s">
        <v>2613</v>
      </c>
      <c r="K725" s="49">
        <v>1</v>
      </c>
      <c r="L725" s="49" t="s">
        <v>2614</v>
      </c>
      <c r="M725" s="46" t="s">
        <v>117</v>
      </c>
      <c r="N725" s="50">
        <v>0</v>
      </c>
      <c r="O725" s="50">
        <v>0</v>
      </c>
      <c r="P725" s="50">
        <v>0</v>
      </c>
      <c r="Q725" s="46" t="s">
        <v>102</v>
      </c>
      <c r="R725" s="46" t="s">
        <v>102</v>
      </c>
      <c r="S725" s="46" t="s">
        <v>102</v>
      </c>
      <c r="T725" s="46" t="s">
        <v>432</v>
      </c>
      <c r="U725" s="51">
        <v>4</v>
      </c>
    </row>
    <row r="726" spans="2:21" ht="14.5" outlineLevel="3">
      <c r="B726" s="44" t="s">
        <v>2678</v>
      </c>
      <c r="C726" s="45" t="s">
        <v>434</v>
      </c>
      <c r="D726" s="46" t="s">
        <v>111</v>
      </c>
      <c r="E726" s="47" t="s">
        <v>102</v>
      </c>
      <c r="F726" s="46" t="s">
        <v>102</v>
      </c>
      <c r="G726" s="47" t="s">
        <v>102</v>
      </c>
      <c r="H726" s="48">
        <v>0</v>
      </c>
      <c r="I726" s="48">
        <v>0</v>
      </c>
      <c r="J726" s="47" t="s">
        <v>2613</v>
      </c>
      <c r="K726" s="49">
        <v>1</v>
      </c>
      <c r="L726" s="49" t="s">
        <v>2614</v>
      </c>
      <c r="M726" s="46" t="s">
        <v>117</v>
      </c>
      <c r="N726" s="50">
        <v>0</v>
      </c>
      <c r="O726" s="50">
        <v>0</v>
      </c>
      <c r="P726" s="50">
        <v>0</v>
      </c>
      <c r="Q726" s="46" t="s">
        <v>102</v>
      </c>
      <c r="R726" s="46" t="s">
        <v>102</v>
      </c>
      <c r="S726" s="46" t="s">
        <v>102</v>
      </c>
      <c r="T726" s="46" t="s">
        <v>436</v>
      </c>
      <c r="U726" s="51">
        <v>4</v>
      </c>
    </row>
    <row r="727" spans="2:21" ht="14.5" outlineLevel="3">
      <c r="B727" s="44" t="s">
        <v>2679</v>
      </c>
      <c r="C727" s="45" t="s">
        <v>438</v>
      </c>
      <c r="D727" s="46" t="s">
        <v>2680</v>
      </c>
      <c r="E727" s="47" t="s">
        <v>102</v>
      </c>
      <c r="F727" s="46" t="s">
        <v>102</v>
      </c>
      <c r="G727" s="47" t="s">
        <v>102</v>
      </c>
      <c r="H727" s="48">
        <v>0</v>
      </c>
      <c r="I727" s="48">
        <v>0</v>
      </c>
      <c r="J727" s="47" t="s">
        <v>2613</v>
      </c>
      <c r="K727" s="49">
        <v>1</v>
      </c>
      <c r="L727" s="49" t="s">
        <v>2614</v>
      </c>
      <c r="M727" s="46" t="s">
        <v>117</v>
      </c>
      <c r="N727" s="50">
        <v>0</v>
      </c>
      <c r="O727" s="50">
        <v>0</v>
      </c>
      <c r="P727" s="50">
        <v>0</v>
      </c>
      <c r="Q727" s="46" t="s">
        <v>102</v>
      </c>
      <c r="R727" s="46" t="s">
        <v>102</v>
      </c>
      <c r="S727" s="46" t="s">
        <v>102</v>
      </c>
      <c r="T727" s="46" t="s">
        <v>441</v>
      </c>
      <c r="U727" s="51">
        <v>4</v>
      </c>
    </row>
    <row r="728" spans="2:21" ht="14.5" outlineLevel="3">
      <c r="B728" s="44" t="s">
        <v>2681</v>
      </c>
      <c r="C728" s="45" t="s">
        <v>443</v>
      </c>
      <c r="D728" s="46" t="s">
        <v>2680</v>
      </c>
      <c r="E728" s="47" t="s">
        <v>102</v>
      </c>
      <c r="F728" s="46" t="s">
        <v>102</v>
      </c>
      <c r="G728" s="47" t="s">
        <v>102</v>
      </c>
      <c r="H728" s="48">
        <v>0</v>
      </c>
      <c r="I728" s="48">
        <v>0</v>
      </c>
      <c r="J728" s="47" t="s">
        <v>2613</v>
      </c>
      <c r="K728" s="49">
        <v>1</v>
      </c>
      <c r="L728" s="49" t="s">
        <v>2614</v>
      </c>
      <c r="M728" s="46" t="s">
        <v>117</v>
      </c>
      <c r="N728" s="50">
        <v>0</v>
      </c>
      <c r="O728" s="50">
        <v>0</v>
      </c>
      <c r="P728" s="50">
        <v>0</v>
      </c>
      <c r="Q728" s="46" t="s">
        <v>102</v>
      </c>
      <c r="R728" s="46" t="s">
        <v>102</v>
      </c>
      <c r="S728" s="46" t="s">
        <v>102</v>
      </c>
      <c r="T728" s="46" t="s">
        <v>445</v>
      </c>
      <c r="U728" s="51">
        <v>4</v>
      </c>
    </row>
    <row r="729" spans="2:21" ht="14.5" outlineLevel="3">
      <c r="B729" s="44" t="s">
        <v>2682</v>
      </c>
      <c r="C729" s="45" t="s">
        <v>447</v>
      </c>
      <c r="D729" s="46" t="s">
        <v>2680</v>
      </c>
      <c r="E729" s="47" t="s">
        <v>102</v>
      </c>
      <c r="F729" s="46" t="s">
        <v>102</v>
      </c>
      <c r="G729" s="47" t="s">
        <v>102</v>
      </c>
      <c r="H729" s="48">
        <v>0</v>
      </c>
      <c r="I729" s="48">
        <v>0</v>
      </c>
      <c r="J729" s="47" t="s">
        <v>2613</v>
      </c>
      <c r="K729" s="49">
        <v>1</v>
      </c>
      <c r="L729" s="49" t="s">
        <v>2614</v>
      </c>
      <c r="M729" s="46" t="s">
        <v>117</v>
      </c>
      <c r="N729" s="50">
        <v>0</v>
      </c>
      <c r="O729" s="50">
        <v>0</v>
      </c>
      <c r="P729" s="50">
        <v>0</v>
      </c>
      <c r="Q729" s="46" t="s">
        <v>102</v>
      </c>
      <c r="R729" s="46" t="s">
        <v>102</v>
      </c>
      <c r="S729" s="46" t="s">
        <v>102</v>
      </c>
      <c r="T729" s="46" t="s">
        <v>450</v>
      </c>
      <c r="U729" s="51">
        <v>4</v>
      </c>
    </row>
    <row r="730" spans="2:21" ht="14.5" outlineLevel="3">
      <c r="B730" s="44" t="s">
        <v>2683</v>
      </c>
      <c r="C730" s="45" t="s">
        <v>452</v>
      </c>
      <c r="D730" s="46" t="s">
        <v>111</v>
      </c>
      <c r="E730" s="47" t="s">
        <v>102</v>
      </c>
      <c r="F730" s="46" t="s">
        <v>102</v>
      </c>
      <c r="G730" s="47" t="s">
        <v>102</v>
      </c>
      <c r="H730" s="48">
        <v>0</v>
      </c>
      <c r="I730" s="48">
        <v>0</v>
      </c>
      <c r="J730" s="47" t="s">
        <v>2613</v>
      </c>
      <c r="K730" s="49">
        <v>1</v>
      </c>
      <c r="L730" s="49" t="s">
        <v>2614</v>
      </c>
      <c r="M730" s="46" t="s">
        <v>117</v>
      </c>
      <c r="N730" s="50">
        <v>0</v>
      </c>
      <c r="O730" s="50">
        <v>0</v>
      </c>
      <c r="P730" s="50">
        <v>0</v>
      </c>
      <c r="Q730" s="46" t="s">
        <v>102</v>
      </c>
      <c r="R730" s="46" t="s">
        <v>102</v>
      </c>
      <c r="S730" s="46" t="s">
        <v>102</v>
      </c>
      <c r="T730" s="46" t="s">
        <v>455</v>
      </c>
      <c r="U730" s="51">
        <v>4</v>
      </c>
    </row>
    <row r="731" spans="2:21" ht="14.5" outlineLevel="3">
      <c r="B731" s="44" t="s">
        <v>2684</v>
      </c>
      <c r="C731" s="45" t="s">
        <v>457</v>
      </c>
      <c r="D731" s="46" t="s">
        <v>458</v>
      </c>
      <c r="E731" s="47" t="s">
        <v>102</v>
      </c>
      <c r="F731" s="46" t="s">
        <v>102</v>
      </c>
      <c r="G731" s="47" t="s">
        <v>102</v>
      </c>
      <c r="H731" s="48">
        <v>0</v>
      </c>
      <c r="I731" s="48">
        <v>0</v>
      </c>
      <c r="J731" s="47" t="s">
        <v>2613</v>
      </c>
      <c r="K731" s="49">
        <v>1</v>
      </c>
      <c r="L731" s="49" t="s">
        <v>2614</v>
      </c>
      <c r="M731" s="46" t="s">
        <v>117</v>
      </c>
      <c r="N731" s="50">
        <v>0</v>
      </c>
      <c r="O731" s="50">
        <v>0</v>
      </c>
      <c r="P731" s="50">
        <v>0</v>
      </c>
      <c r="Q731" s="46" t="s">
        <v>102</v>
      </c>
      <c r="R731" s="46" t="s">
        <v>102</v>
      </c>
      <c r="S731" s="46" t="s">
        <v>102</v>
      </c>
      <c r="T731" s="46" t="s">
        <v>461</v>
      </c>
      <c r="U731" s="51">
        <v>4</v>
      </c>
    </row>
    <row r="732" spans="2:21" ht="14.5" outlineLevel="3">
      <c r="B732" s="44" t="s">
        <v>2685</v>
      </c>
      <c r="C732" s="45" t="s">
        <v>463</v>
      </c>
      <c r="D732" s="46" t="s">
        <v>458</v>
      </c>
      <c r="E732" s="47" t="s">
        <v>102</v>
      </c>
      <c r="F732" s="46" t="s">
        <v>102</v>
      </c>
      <c r="G732" s="47" t="s">
        <v>102</v>
      </c>
      <c r="H732" s="48">
        <v>0</v>
      </c>
      <c r="I732" s="48">
        <v>0</v>
      </c>
      <c r="J732" s="47" t="s">
        <v>2613</v>
      </c>
      <c r="K732" s="49">
        <v>1</v>
      </c>
      <c r="L732" s="49" t="s">
        <v>2614</v>
      </c>
      <c r="M732" s="46" t="s">
        <v>117</v>
      </c>
      <c r="N732" s="50">
        <v>0</v>
      </c>
      <c r="O732" s="50">
        <v>0</v>
      </c>
      <c r="P732" s="50">
        <v>0</v>
      </c>
      <c r="Q732" s="46" t="s">
        <v>102</v>
      </c>
      <c r="R732" s="46" t="s">
        <v>102</v>
      </c>
      <c r="S732" s="46" t="s">
        <v>102</v>
      </c>
      <c r="T732" s="46" t="s">
        <v>466</v>
      </c>
      <c r="U732" s="51">
        <v>4</v>
      </c>
    </row>
    <row r="733" spans="2:21" ht="14.5" outlineLevel="3">
      <c r="B733" s="44" t="s">
        <v>2686</v>
      </c>
      <c r="C733" s="45" t="s">
        <v>468</v>
      </c>
      <c r="D733" s="46" t="s">
        <v>469</v>
      </c>
      <c r="E733" s="47" t="s">
        <v>102</v>
      </c>
      <c r="F733" s="46" t="s">
        <v>102</v>
      </c>
      <c r="G733" s="47" t="s">
        <v>102</v>
      </c>
      <c r="H733" s="48">
        <v>0</v>
      </c>
      <c r="I733" s="48">
        <v>0</v>
      </c>
      <c r="J733" s="47" t="s">
        <v>2613</v>
      </c>
      <c r="K733" s="49">
        <v>1</v>
      </c>
      <c r="L733" s="49" t="s">
        <v>2614</v>
      </c>
      <c r="M733" s="46" t="s">
        <v>117</v>
      </c>
      <c r="N733" s="50">
        <v>0</v>
      </c>
      <c r="O733" s="50">
        <v>0</v>
      </c>
      <c r="P733" s="50">
        <v>0</v>
      </c>
      <c r="Q733" s="46" t="s">
        <v>102</v>
      </c>
      <c r="R733" s="46" t="s">
        <v>102</v>
      </c>
      <c r="S733" s="46" t="s">
        <v>102</v>
      </c>
      <c r="T733" s="46" t="s">
        <v>472</v>
      </c>
      <c r="U733" s="51">
        <v>4</v>
      </c>
    </row>
    <row r="734" spans="2:21" ht="14.5" outlineLevel="3">
      <c r="B734" s="44" t="s">
        <v>2687</v>
      </c>
      <c r="C734" s="45" t="s">
        <v>474</v>
      </c>
      <c r="D734" s="46" t="s">
        <v>458</v>
      </c>
      <c r="E734" s="47" t="s">
        <v>102</v>
      </c>
      <c r="F734" s="46" t="s">
        <v>102</v>
      </c>
      <c r="G734" s="47" t="s">
        <v>102</v>
      </c>
      <c r="H734" s="48">
        <v>0</v>
      </c>
      <c r="I734" s="48">
        <v>0</v>
      </c>
      <c r="J734" s="47" t="s">
        <v>2613</v>
      </c>
      <c r="K734" s="49">
        <v>1</v>
      </c>
      <c r="L734" s="49" t="s">
        <v>2614</v>
      </c>
      <c r="M734" s="46" t="s">
        <v>117</v>
      </c>
      <c r="N734" s="50">
        <v>0</v>
      </c>
      <c r="O734" s="50">
        <v>0</v>
      </c>
      <c r="P734" s="50">
        <v>0</v>
      </c>
      <c r="Q734" s="46" t="s">
        <v>102</v>
      </c>
      <c r="R734" s="46" t="s">
        <v>102</v>
      </c>
      <c r="S734" s="46" t="s">
        <v>102</v>
      </c>
      <c r="T734" s="46" t="s">
        <v>477</v>
      </c>
      <c r="U734" s="51">
        <v>4</v>
      </c>
    </row>
    <row r="735" spans="2:21" ht="14.5" outlineLevel="3">
      <c r="B735" s="44" t="s">
        <v>2688</v>
      </c>
      <c r="C735" s="45" t="s">
        <v>479</v>
      </c>
      <c r="D735" s="46" t="s">
        <v>458</v>
      </c>
      <c r="E735" s="47" t="s">
        <v>102</v>
      </c>
      <c r="F735" s="46" t="s">
        <v>102</v>
      </c>
      <c r="G735" s="47" t="s">
        <v>102</v>
      </c>
      <c r="H735" s="48">
        <v>0</v>
      </c>
      <c r="I735" s="48">
        <v>0</v>
      </c>
      <c r="J735" s="47" t="s">
        <v>2613</v>
      </c>
      <c r="K735" s="49">
        <v>1</v>
      </c>
      <c r="L735" s="49" t="s">
        <v>2614</v>
      </c>
      <c r="M735" s="46" t="s">
        <v>117</v>
      </c>
      <c r="N735" s="50">
        <v>0</v>
      </c>
      <c r="O735" s="50">
        <v>0</v>
      </c>
      <c r="P735" s="50">
        <v>0</v>
      </c>
      <c r="Q735" s="46" t="s">
        <v>102</v>
      </c>
      <c r="R735" s="46" t="s">
        <v>102</v>
      </c>
      <c r="S735" s="46" t="s">
        <v>102</v>
      </c>
      <c r="T735" s="46" t="s">
        <v>482</v>
      </c>
      <c r="U735" s="51">
        <v>4</v>
      </c>
    </row>
    <row r="736" spans="2:21" ht="14.5" outlineLevel="3">
      <c r="B736" s="44" t="s">
        <v>2689</v>
      </c>
      <c r="C736" s="45" t="s">
        <v>484</v>
      </c>
      <c r="D736" s="46" t="s">
        <v>469</v>
      </c>
      <c r="E736" s="47" t="s">
        <v>102</v>
      </c>
      <c r="F736" s="46" t="s">
        <v>102</v>
      </c>
      <c r="G736" s="47" t="s">
        <v>102</v>
      </c>
      <c r="H736" s="48">
        <v>0</v>
      </c>
      <c r="I736" s="48">
        <v>0</v>
      </c>
      <c r="J736" s="47" t="s">
        <v>2613</v>
      </c>
      <c r="K736" s="49">
        <v>1</v>
      </c>
      <c r="L736" s="49" t="s">
        <v>2614</v>
      </c>
      <c r="M736" s="46" t="s">
        <v>117</v>
      </c>
      <c r="N736" s="50">
        <v>0</v>
      </c>
      <c r="O736" s="50">
        <v>0</v>
      </c>
      <c r="P736" s="50">
        <v>0</v>
      </c>
      <c r="Q736" s="46" t="s">
        <v>102</v>
      </c>
      <c r="R736" s="46" t="s">
        <v>102</v>
      </c>
      <c r="S736" s="46" t="s">
        <v>102</v>
      </c>
      <c r="T736" s="46" t="s">
        <v>487</v>
      </c>
      <c r="U736" s="51">
        <v>4</v>
      </c>
    </row>
    <row r="737" spans="2:21" ht="14.5" outlineLevel="3">
      <c r="B737" s="44" t="s">
        <v>2690</v>
      </c>
      <c r="C737" s="45" t="s">
        <v>489</v>
      </c>
      <c r="D737" s="46" t="s">
        <v>2680</v>
      </c>
      <c r="E737" s="47" t="s">
        <v>102</v>
      </c>
      <c r="F737" s="46" t="s">
        <v>102</v>
      </c>
      <c r="G737" s="47" t="s">
        <v>102</v>
      </c>
      <c r="H737" s="48">
        <v>0</v>
      </c>
      <c r="I737" s="48">
        <v>0</v>
      </c>
      <c r="J737" s="47" t="s">
        <v>2613</v>
      </c>
      <c r="K737" s="49">
        <v>1</v>
      </c>
      <c r="L737" s="49" t="s">
        <v>2614</v>
      </c>
      <c r="M737" s="46" t="s">
        <v>117</v>
      </c>
      <c r="N737" s="50">
        <v>0</v>
      </c>
      <c r="O737" s="50">
        <v>0</v>
      </c>
      <c r="P737" s="50">
        <v>0</v>
      </c>
      <c r="Q737" s="46" t="s">
        <v>102</v>
      </c>
      <c r="R737" s="46" t="s">
        <v>102</v>
      </c>
      <c r="S737" s="46" t="s">
        <v>102</v>
      </c>
      <c r="T737" s="46" t="s">
        <v>492</v>
      </c>
      <c r="U737" s="51">
        <v>4</v>
      </c>
    </row>
    <row r="738" spans="2:21" ht="14.5" outlineLevel="3">
      <c r="B738" s="44" t="s">
        <v>2691</v>
      </c>
      <c r="C738" s="45" t="s">
        <v>494</v>
      </c>
      <c r="D738" s="46" t="s">
        <v>2680</v>
      </c>
      <c r="E738" s="47" t="s">
        <v>102</v>
      </c>
      <c r="F738" s="46" t="s">
        <v>102</v>
      </c>
      <c r="G738" s="47" t="s">
        <v>102</v>
      </c>
      <c r="H738" s="48">
        <v>0</v>
      </c>
      <c r="I738" s="48">
        <v>0</v>
      </c>
      <c r="J738" s="47" t="s">
        <v>2613</v>
      </c>
      <c r="K738" s="49">
        <v>1</v>
      </c>
      <c r="L738" s="49" t="s">
        <v>2614</v>
      </c>
      <c r="M738" s="46" t="s">
        <v>117</v>
      </c>
      <c r="N738" s="50">
        <v>0</v>
      </c>
      <c r="O738" s="50">
        <v>0</v>
      </c>
      <c r="P738" s="50">
        <v>0</v>
      </c>
      <c r="Q738" s="46" t="s">
        <v>102</v>
      </c>
      <c r="R738" s="46" t="s">
        <v>102</v>
      </c>
      <c r="S738" s="46" t="s">
        <v>102</v>
      </c>
      <c r="T738" s="46" t="s">
        <v>497</v>
      </c>
      <c r="U738" s="51">
        <v>4</v>
      </c>
    </row>
    <row r="739" spans="2:21" ht="14.5" outlineLevel="3">
      <c r="B739" s="44" t="s">
        <v>2692</v>
      </c>
      <c r="C739" s="45" t="s">
        <v>499</v>
      </c>
      <c r="D739" s="46" t="s">
        <v>2680</v>
      </c>
      <c r="E739" s="47" t="s">
        <v>102</v>
      </c>
      <c r="F739" s="46" t="s">
        <v>102</v>
      </c>
      <c r="G739" s="47" t="s">
        <v>102</v>
      </c>
      <c r="H739" s="48">
        <v>0</v>
      </c>
      <c r="I739" s="48">
        <v>0</v>
      </c>
      <c r="J739" s="47" t="s">
        <v>2613</v>
      </c>
      <c r="K739" s="49">
        <v>1</v>
      </c>
      <c r="L739" s="49" t="s">
        <v>2614</v>
      </c>
      <c r="M739" s="46" t="s">
        <v>117</v>
      </c>
      <c r="N739" s="50">
        <v>0</v>
      </c>
      <c r="O739" s="50">
        <v>0</v>
      </c>
      <c r="P739" s="50">
        <v>0</v>
      </c>
      <c r="Q739" s="46" t="s">
        <v>102</v>
      </c>
      <c r="R739" s="46" t="s">
        <v>102</v>
      </c>
      <c r="S739" s="46" t="s">
        <v>102</v>
      </c>
      <c r="T739" s="46" t="s">
        <v>502</v>
      </c>
      <c r="U739" s="51">
        <v>4</v>
      </c>
    </row>
    <row r="740" spans="2:21" ht="14.5" outlineLevel="3">
      <c r="B740" s="44" t="s">
        <v>2693</v>
      </c>
      <c r="C740" s="45" t="s">
        <v>504</v>
      </c>
      <c r="D740" s="46" t="s">
        <v>392</v>
      </c>
      <c r="E740" s="47" t="s">
        <v>102</v>
      </c>
      <c r="F740" s="46" t="s">
        <v>102</v>
      </c>
      <c r="G740" s="47" t="s">
        <v>102</v>
      </c>
      <c r="H740" s="48">
        <v>0</v>
      </c>
      <c r="I740" s="48">
        <v>0</v>
      </c>
      <c r="J740" s="47" t="s">
        <v>2613</v>
      </c>
      <c r="K740" s="49">
        <v>1</v>
      </c>
      <c r="L740" s="49" t="s">
        <v>2614</v>
      </c>
      <c r="M740" s="46" t="s">
        <v>117</v>
      </c>
      <c r="N740" s="50">
        <v>0</v>
      </c>
      <c r="O740" s="50">
        <v>0</v>
      </c>
      <c r="P740" s="50">
        <v>0</v>
      </c>
      <c r="Q740" s="46" t="s">
        <v>102</v>
      </c>
      <c r="R740" s="46" t="s">
        <v>102</v>
      </c>
      <c r="S740" s="46" t="s">
        <v>102</v>
      </c>
      <c r="T740" s="46" t="s">
        <v>507</v>
      </c>
      <c r="U740" s="51">
        <v>4</v>
      </c>
    </row>
    <row r="741" spans="2:21" ht="14.5" outlineLevel="3">
      <c r="B741" s="44" t="s">
        <v>2694</v>
      </c>
      <c r="C741" s="45" t="s">
        <v>509</v>
      </c>
      <c r="D741" s="46" t="s">
        <v>2680</v>
      </c>
      <c r="E741" s="47" t="s">
        <v>102</v>
      </c>
      <c r="F741" s="46" t="s">
        <v>102</v>
      </c>
      <c r="G741" s="47" t="s">
        <v>102</v>
      </c>
      <c r="H741" s="48">
        <v>0</v>
      </c>
      <c r="I741" s="48">
        <v>0</v>
      </c>
      <c r="J741" s="47" t="s">
        <v>2613</v>
      </c>
      <c r="K741" s="49">
        <v>1</v>
      </c>
      <c r="L741" s="49" t="s">
        <v>2614</v>
      </c>
      <c r="M741" s="46" t="s">
        <v>117</v>
      </c>
      <c r="N741" s="50">
        <v>0</v>
      </c>
      <c r="O741" s="50">
        <v>0</v>
      </c>
      <c r="P741" s="50">
        <v>0</v>
      </c>
      <c r="Q741" s="46" t="s">
        <v>102</v>
      </c>
      <c r="R741" s="46" t="s">
        <v>102</v>
      </c>
      <c r="S741" s="46" t="s">
        <v>102</v>
      </c>
      <c r="T741" s="46" t="s">
        <v>512</v>
      </c>
      <c r="U741" s="51">
        <v>4</v>
      </c>
    </row>
    <row r="742" spans="2:21" ht="14.5" outlineLevel="3">
      <c r="B742" s="44" t="s">
        <v>2695</v>
      </c>
      <c r="C742" s="45" t="s">
        <v>514</v>
      </c>
      <c r="D742" s="46" t="s">
        <v>458</v>
      </c>
      <c r="E742" s="47" t="s">
        <v>102</v>
      </c>
      <c r="F742" s="46" t="s">
        <v>102</v>
      </c>
      <c r="G742" s="47" t="s">
        <v>102</v>
      </c>
      <c r="H742" s="48">
        <v>0</v>
      </c>
      <c r="I742" s="48">
        <v>0</v>
      </c>
      <c r="J742" s="47" t="s">
        <v>2613</v>
      </c>
      <c r="K742" s="49">
        <v>1</v>
      </c>
      <c r="L742" s="49" t="s">
        <v>2614</v>
      </c>
      <c r="M742" s="46" t="s">
        <v>117</v>
      </c>
      <c r="N742" s="50">
        <v>0</v>
      </c>
      <c r="O742" s="50">
        <v>0</v>
      </c>
      <c r="P742" s="50">
        <v>0</v>
      </c>
      <c r="Q742" s="46" t="s">
        <v>102</v>
      </c>
      <c r="R742" s="46" t="s">
        <v>102</v>
      </c>
      <c r="S742" s="46" t="s">
        <v>102</v>
      </c>
      <c r="T742" s="46" t="s">
        <v>517</v>
      </c>
      <c r="U742" s="51">
        <v>4</v>
      </c>
    </row>
    <row r="743" spans="2:21" ht="14.5" outlineLevel="3">
      <c r="B743" s="44" t="s">
        <v>2696</v>
      </c>
      <c r="C743" s="45" t="s">
        <v>519</v>
      </c>
      <c r="D743" s="46" t="s">
        <v>2680</v>
      </c>
      <c r="E743" s="47" t="s">
        <v>102</v>
      </c>
      <c r="F743" s="46" t="s">
        <v>102</v>
      </c>
      <c r="G743" s="47" t="s">
        <v>102</v>
      </c>
      <c r="H743" s="48">
        <v>0</v>
      </c>
      <c r="I743" s="48">
        <v>0</v>
      </c>
      <c r="J743" s="47" t="s">
        <v>2613</v>
      </c>
      <c r="K743" s="49">
        <v>1</v>
      </c>
      <c r="L743" s="49" t="s">
        <v>2614</v>
      </c>
      <c r="M743" s="46" t="s">
        <v>117</v>
      </c>
      <c r="N743" s="50">
        <v>0</v>
      </c>
      <c r="O743" s="50">
        <v>0</v>
      </c>
      <c r="P743" s="50">
        <v>0</v>
      </c>
      <c r="Q743" s="46" t="s">
        <v>102</v>
      </c>
      <c r="R743" s="46" t="s">
        <v>102</v>
      </c>
      <c r="S743" s="46" t="s">
        <v>102</v>
      </c>
      <c r="T743" s="46" t="s">
        <v>522</v>
      </c>
      <c r="U743" s="51">
        <v>4</v>
      </c>
    </row>
    <row r="744" spans="2:21" ht="14.5" outlineLevel="3">
      <c r="B744" s="44" t="s">
        <v>2697</v>
      </c>
      <c r="C744" s="45" t="s">
        <v>524</v>
      </c>
      <c r="D744" s="46" t="s">
        <v>276</v>
      </c>
      <c r="E744" s="47" t="s">
        <v>102</v>
      </c>
      <c r="F744" s="46" t="s">
        <v>102</v>
      </c>
      <c r="G744" s="47" t="s">
        <v>102</v>
      </c>
      <c r="H744" s="48">
        <v>0</v>
      </c>
      <c r="I744" s="48">
        <v>0</v>
      </c>
      <c r="J744" s="47" t="s">
        <v>2613</v>
      </c>
      <c r="K744" s="49">
        <v>1</v>
      </c>
      <c r="L744" s="49" t="s">
        <v>2614</v>
      </c>
      <c r="M744" s="46" t="s">
        <v>117</v>
      </c>
      <c r="N744" s="50">
        <v>0</v>
      </c>
      <c r="O744" s="50">
        <v>0</v>
      </c>
      <c r="P744" s="50">
        <v>0</v>
      </c>
      <c r="Q744" s="46" t="s">
        <v>102</v>
      </c>
      <c r="R744" s="46" t="s">
        <v>102</v>
      </c>
      <c r="S744" s="46" t="s">
        <v>102</v>
      </c>
      <c r="T744" s="46" t="s">
        <v>527</v>
      </c>
      <c r="U744" s="51">
        <v>4</v>
      </c>
    </row>
    <row r="745" spans="2:21" ht="14.5" outlineLevel="3">
      <c r="B745" s="44" t="s">
        <v>2698</v>
      </c>
      <c r="C745" s="45" t="s">
        <v>529</v>
      </c>
      <c r="D745" s="46" t="s">
        <v>179</v>
      </c>
      <c r="E745" s="47" t="s">
        <v>102</v>
      </c>
      <c r="F745" s="46" t="s">
        <v>102</v>
      </c>
      <c r="G745" s="47" t="s">
        <v>102</v>
      </c>
      <c r="H745" s="48">
        <v>0</v>
      </c>
      <c r="I745" s="48">
        <v>0</v>
      </c>
      <c r="J745" s="47" t="s">
        <v>2613</v>
      </c>
      <c r="K745" s="49">
        <v>1</v>
      </c>
      <c r="L745" s="49" t="s">
        <v>2614</v>
      </c>
      <c r="M745" s="46" t="s">
        <v>117</v>
      </c>
      <c r="N745" s="50">
        <v>0</v>
      </c>
      <c r="O745" s="50">
        <v>0</v>
      </c>
      <c r="P745" s="50">
        <v>0</v>
      </c>
      <c r="Q745" s="46" t="s">
        <v>102</v>
      </c>
      <c r="R745" s="46" t="s">
        <v>102</v>
      </c>
      <c r="S745" s="46" t="s">
        <v>102</v>
      </c>
      <c r="T745" s="46" t="s">
        <v>532</v>
      </c>
      <c r="U745" s="51">
        <v>4</v>
      </c>
    </row>
    <row r="746" spans="2:21" ht="14.5" outlineLevel="2">
      <c r="B746" s="36" t="s">
        <v>2699</v>
      </c>
      <c r="C746" s="37" t="s">
        <v>2700</v>
      </c>
      <c r="D746" s="38" t="s">
        <v>102</v>
      </c>
      <c r="E746" s="39" t="s">
        <v>102</v>
      </c>
      <c r="F746" s="38" t="s">
        <v>102</v>
      </c>
      <c r="G746" s="39" t="s">
        <v>102</v>
      </c>
      <c r="H746" s="40">
        <v>0</v>
      </c>
      <c r="I746" s="40">
        <v>0</v>
      </c>
      <c r="J746" s="39" t="s">
        <v>102</v>
      </c>
      <c r="K746" s="41">
        <v>0</v>
      </c>
      <c r="L746" s="41" t="s">
        <v>102</v>
      </c>
      <c r="M746" s="38" t="s">
        <v>102</v>
      </c>
      <c r="N746" s="42">
        <v>0</v>
      </c>
      <c r="O746" s="42">
        <v>0</v>
      </c>
      <c r="P746" s="42">
        <v>0</v>
      </c>
      <c r="Q746" s="38" t="s">
        <v>102</v>
      </c>
      <c r="R746" s="38" t="s">
        <v>102</v>
      </c>
      <c r="S746" s="38" t="s">
        <v>535</v>
      </c>
      <c r="T746" s="38" t="s">
        <v>102</v>
      </c>
      <c r="U746" s="43">
        <v>3</v>
      </c>
    </row>
    <row r="747" spans="2:21" ht="14.5" outlineLevel="3">
      <c r="B747" s="44" t="s">
        <v>2701</v>
      </c>
      <c r="C747" s="45" t="s">
        <v>537</v>
      </c>
      <c r="D747" s="46" t="s">
        <v>392</v>
      </c>
      <c r="E747" s="47" t="s">
        <v>102</v>
      </c>
      <c r="F747" s="46" t="s">
        <v>102</v>
      </c>
      <c r="G747" s="47" t="s">
        <v>102</v>
      </c>
      <c r="H747" s="48">
        <v>0</v>
      </c>
      <c r="I747" s="48">
        <v>0</v>
      </c>
      <c r="J747" s="47" t="s">
        <v>2613</v>
      </c>
      <c r="K747" s="49">
        <v>1</v>
      </c>
      <c r="L747" s="49" t="s">
        <v>2614</v>
      </c>
      <c r="M747" s="46" t="s">
        <v>117</v>
      </c>
      <c r="N747" s="50">
        <v>0</v>
      </c>
      <c r="O747" s="50">
        <v>0</v>
      </c>
      <c r="P747" s="50">
        <v>0</v>
      </c>
      <c r="Q747" s="46" t="s">
        <v>102</v>
      </c>
      <c r="R747" s="46" t="s">
        <v>102</v>
      </c>
      <c r="S747" s="46" t="s">
        <v>102</v>
      </c>
      <c r="T747" s="46" t="s">
        <v>118</v>
      </c>
      <c r="U747" s="51">
        <v>4</v>
      </c>
    </row>
    <row r="748" spans="2:21" ht="14.5" outlineLevel="1">
      <c r="B748" s="28" t="s">
        <v>2702</v>
      </c>
      <c r="C748" s="29" t="s">
        <v>2703</v>
      </c>
      <c r="D748" s="30" t="s">
        <v>102</v>
      </c>
      <c r="E748" s="31" t="s">
        <v>102</v>
      </c>
      <c r="F748" s="30" t="s">
        <v>102</v>
      </c>
      <c r="G748" s="31" t="s">
        <v>102</v>
      </c>
      <c r="H748" s="32">
        <v>0</v>
      </c>
      <c r="I748" s="32">
        <v>0</v>
      </c>
      <c r="J748" s="31" t="s">
        <v>102</v>
      </c>
      <c r="K748" s="33">
        <v>0</v>
      </c>
      <c r="L748" s="33" t="s">
        <v>102</v>
      </c>
      <c r="M748" s="30" t="s">
        <v>102</v>
      </c>
      <c r="N748" s="34">
        <v>0</v>
      </c>
      <c r="O748" s="34">
        <v>0</v>
      </c>
      <c r="P748" s="34">
        <v>0</v>
      </c>
      <c r="Q748" s="30" t="s">
        <v>102</v>
      </c>
      <c r="R748" s="30" t="s">
        <v>542</v>
      </c>
      <c r="S748" s="30" t="s">
        <v>102</v>
      </c>
      <c r="T748" s="30" t="s">
        <v>102</v>
      </c>
      <c r="U748" s="35">
        <v>2</v>
      </c>
    </row>
    <row r="749" spans="2:21" ht="14.5" outlineLevel="2">
      <c r="B749" s="36" t="s">
        <v>2704</v>
      </c>
      <c r="C749" s="37" t="s">
        <v>2705</v>
      </c>
      <c r="D749" s="38" t="s">
        <v>102</v>
      </c>
      <c r="E749" s="39" t="s">
        <v>102</v>
      </c>
      <c r="F749" s="38" t="s">
        <v>102</v>
      </c>
      <c r="G749" s="39" t="s">
        <v>102</v>
      </c>
      <c r="H749" s="40">
        <v>0</v>
      </c>
      <c r="I749" s="40">
        <v>0</v>
      </c>
      <c r="J749" s="39" t="s">
        <v>102</v>
      </c>
      <c r="K749" s="41">
        <v>0</v>
      </c>
      <c r="L749" s="41" t="s">
        <v>102</v>
      </c>
      <c r="M749" s="38" t="s">
        <v>102</v>
      </c>
      <c r="N749" s="42">
        <v>0</v>
      </c>
      <c r="O749" s="42">
        <v>0</v>
      </c>
      <c r="P749" s="42">
        <v>0</v>
      </c>
      <c r="Q749" s="38" t="s">
        <v>102</v>
      </c>
      <c r="R749" s="38" t="s">
        <v>102</v>
      </c>
      <c r="S749" s="38" t="s">
        <v>548</v>
      </c>
      <c r="T749" s="38" t="s">
        <v>102</v>
      </c>
      <c r="U749" s="43">
        <v>3</v>
      </c>
    </row>
    <row r="750" spans="2:21" ht="14.5" outlineLevel="3">
      <c r="B750" s="44" t="s">
        <v>2706</v>
      </c>
      <c r="C750" s="45" t="s">
        <v>550</v>
      </c>
      <c r="D750" s="46" t="s">
        <v>392</v>
      </c>
      <c r="E750" s="47" t="s">
        <v>102</v>
      </c>
      <c r="F750" s="46" t="s">
        <v>102</v>
      </c>
      <c r="G750" s="47" t="s">
        <v>102</v>
      </c>
      <c r="H750" s="48">
        <v>0</v>
      </c>
      <c r="I750" s="48">
        <v>0</v>
      </c>
      <c r="J750" s="47" t="s">
        <v>2613</v>
      </c>
      <c r="K750" s="49">
        <v>1</v>
      </c>
      <c r="L750" s="49" t="s">
        <v>2614</v>
      </c>
      <c r="M750" s="46" t="s">
        <v>117</v>
      </c>
      <c r="N750" s="50">
        <v>0</v>
      </c>
      <c r="O750" s="50">
        <v>0</v>
      </c>
      <c r="P750" s="50">
        <v>0</v>
      </c>
      <c r="Q750" s="46" t="s">
        <v>102</v>
      </c>
      <c r="R750" s="46" t="s">
        <v>102</v>
      </c>
      <c r="S750" s="46" t="s">
        <v>102</v>
      </c>
      <c r="T750" s="46" t="s">
        <v>118</v>
      </c>
      <c r="U750" s="51">
        <v>4</v>
      </c>
    </row>
    <row r="751" spans="2:21" ht="14.5" outlineLevel="3">
      <c r="B751" s="44" t="s">
        <v>2707</v>
      </c>
      <c r="C751" s="45" t="s">
        <v>555</v>
      </c>
      <c r="D751" s="46" t="s">
        <v>392</v>
      </c>
      <c r="E751" s="47" t="s">
        <v>102</v>
      </c>
      <c r="F751" s="46" t="s">
        <v>102</v>
      </c>
      <c r="G751" s="47" t="s">
        <v>102</v>
      </c>
      <c r="H751" s="48">
        <v>0</v>
      </c>
      <c r="I751" s="48">
        <v>0</v>
      </c>
      <c r="J751" s="47" t="s">
        <v>2613</v>
      </c>
      <c r="K751" s="49">
        <v>1</v>
      </c>
      <c r="L751" s="49" t="s">
        <v>2614</v>
      </c>
      <c r="M751" s="46" t="s">
        <v>117</v>
      </c>
      <c r="N751" s="50">
        <v>0</v>
      </c>
      <c r="O751" s="50">
        <v>0</v>
      </c>
      <c r="P751" s="50">
        <v>0</v>
      </c>
      <c r="Q751" s="46" t="s">
        <v>102</v>
      </c>
      <c r="R751" s="46" t="s">
        <v>102</v>
      </c>
      <c r="S751" s="46" t="s">
        <v>102</v>
      </c>
      <c r="T751" s="46" t="s">
        <v>123</v>
      </c>
      <c r="U751" s="51">
        <v>4</v>
      </c>
    </row>
    <row r="752" spans="2:21" ht="14.5" outlineLevel="2">
      <c r="B752" s="36" t="s">
        <v>2708</v>
      </c>
      <c r="C752" s="37" t="s">
        <v>2709</v>
      </c>
      <c r="D752" s="38" t="s">
        <v>102</v>
      </c>
      <c r="E752" s="39" t="s">
        <v>102</v>
      </c>
      <c r="F752" s="38" t="s">
        <v>102</v>
      </c>
      <c r="G752" s="39" t="s">
        <v>102</v>
      </c>
      <c r="H752" s="40">
        <v>0</v>
      </c>
      <c r="I752" s="40">
        <v>0</v>
      </c>
      <c r="J752" s="39" t="s">
        <v>102</v>
      </c>
      <c r="K752" s="41">
        <v>0</v>
      </c>
      <c r="L752" s="41" t="s">
        <v>102</v>
      </c>
      <c r="M752" s="38" t="s">
        <v>102</v>
      </c>
      <c r="N752" s="42">
        <v>0</v>
      </c>
      <c r="O752" s="42">
        <v>0</v>
      </c>
      <c r="P752" s="42">
        <v>0</v>
      </c>
      <c r="Q752" s="38" t="s">
        <v>102</v>
      </c>
      <c r="R752" s="38" t="s">
        <v>102</v>
      </c>
      <c r="S752" s="38" t="s">
        <v>535</v>
      </c>
      <c r="T752" s="38" t="s">
        <v>102</v>
      </c>
      <c r="U752" s="43">
        <v>3</v>
      </c>
    </row>
    <row r="753" spans="2:21" ht="14.5" outlineLevel="3">
      <c r="B753" s="44" t="s">
        <v>2710</v>
      </c>
      <c r="C753" s="45" t="s">
        <v>561</v>
      </c>
      <c r="D753" s="46" t="s">
        <v>2711</v>
      </c>
      <c r="E753" s="47" t="s">
        <v>102</v>
      </c>
      <c r="F753" s="46" t="s">
        <v>102</v>
      </c>
      <c r="G753" s="47" t="s">
        <v>102</v>
      </c>
      <c r="H753" s="48">
        <v>0</v>
      </c>
      <c r="I753" s="48">
        <v>0</v>
      </c>
      <c r="J753" s="47" t="s">
        <v>2613</v>
      </c>
      <c r="K753" s="49">
        <v>1</v>
      </c>
      <c r="L753" s="49" t="s">
        <v>2614</v>
      </c>
      <c r="M753" s="46" t="s">
        <v>117</v>
      </c>
      <c r="N753" s="50">
        <v>0</v>
      </c>
      <c r="O753" s="50">
        <v>0</v>
      </c>
      <c r="P753" s="50">
        <v>0</v>
      </c>
      <c r="Q753" s="46" t="s">
        <v>102</v>
      </c>
      <c r="R753" s="46" t="s">
        <v>102</v>
      </c>
      <c r="S753" s="46" t="s">
        <v>102</v>
      </c>
      <c r="T753" s="46" t="s">
        <v>118</v>
      </c>
      <c r="U753" s="51">
        <v>4</v>
      </c>
    </row>
    <row r="754" spans="2:21" ht="14.5" outlineLevel="1">
      <c r="B754" s="28" t="s">
        <v>2712</v>
      </c>
      <c r="C754" s="29" t="s">
        <v>2713</v>
      </c>
      <c r="D754" s="30" t="s">
        <v>102</v>
      </c>
      <c r="E754" s="31" t="s">
        <v>102</v>
      </c>
      <c r="F754" s="30" t="s">
        <v>102</v>
      </c>
      <c r="G754" s="31" t="s">
        <v>102</v>
      </c>
      <c r="H754" s="32">
        <v>0</v>
      </c>
      <c r="I754" s="32">
        <v>0</v>
      </c>
      <c r="J754" s="31" t="s">
        <v>102</v>
      </c>
      <c r="K754" s="33">
        <v>0</v>
      </c>
      <c r="L754" s="33" t="s">
        <v>102</v>
      </c>
      <c r="M754" s="30" t="s">
        <v>102</v>
      </c>
      <c r="N754" s="34">
        <v>0</v>
      </c>
      <c r="O754" s="34">
        <v>0</v>
      </c>
      <c r="P754" s="34">
        <v>0</v>
      </c>
      <c r="Q754" s="30" t="s">
        <v>102</v>
      </c>
      <c r="R754" s="30" t="s">
        <v>566</v>
      </c>
      <c r="S754" s="30" t="s">
        <v>102</v>
      </c>
      <c r="T754" s="30" t="s">
        <v>102</v>
      </c>
      <c r="U754" s="35">
        <v>2</v>
      </c>
    </row>
    <row r="755" spans="2:21" ht="14.5" outlineLevel="2">
      <c r="B755" s="36" t="s">
        <v>2714</v>
      </c>
      <c r="C755" s="37" t="s">
        <v>2715</v>
      </c>
      <c r="D755" s="38" t="s">
        <v>102</v>
      </c>
      <c r="E755" s="39" t="s">
        <v>102</v>
      </c>
      <c r="F755" s="38" t="s">
        <v>102</v>
      </c>
      <c r="G755" s="39" t="s">
        <v>102</v>
      </c>
      <c r="H755" s="40">
        <v>0</v>
      </c>
      <c r="I755" s="40">
        <v>0</v>
      </c>
      <c r="J755" s="39" t="s">
        <v>102</v>
      </c>
      <c r="K755" s="41">
        <v>0</v>
      </c>
      <c r="L755" s="41" t="s">
        <v>102</v>
      </c>
      <c r="M755" s="38" t="s">
        <v>102</v>
      </c>
      <c r="N755" s="42">
        <v>0</v>
      </c>
      <c r="O755" s="42">
        <v>0</v>
      </c>
      <c r="P755" s="42">
        <v>0</v>
      </c>
      <c r="Q755" s="38" t="s">
        <v>102</v>
      </c>
      <c r="R755" s="38" t="s">
        <v>102</v>
      </c>
      <c r="S755" s="38" t="s">
        <v>545</v>
      </c>
      <c r="T755" s="38" t="s">
        <v>102</v>
      </c>
      <c r="U755" s="43">
        <v>3</v>
      </c>
    </row>
    <row r="756" spans="2:21" ht="14.5" outlineLevel="3">
      <c r="B756" s="44" t="s">
        <v>2716</v>
      </c>
      <c r="C756" s="45" t="s">
        <v>2717</v>
      </c>
      <c r="D756" s="46" t="s">
        <v>392</v>
      </c>
      <c r="E756" s="47" t="s">
        <v>102</v>
      </c>
      <c r="F756" s="46" t="s">
        <v>102</v>
      </c>
      <c r="G756" s="47" t="s">
        <v>102</v>
      </c>
      <c r="H756" s="48">
        <v>0</v>
      </c>
      <c r="I756" s="48">
        <v>0</v>
      </c>
      <c r="J756" s="47" t="s">
        <v>2613</v>
      </c>
      <c r="K756" s="49">
        <v>1</v>
      </c>
      <c r="L756" s="49" t="s">
        <v>2614</v>
      </c>
      <c r="M756" s="46" t="s">
        <v>117</v>
      </c>
      <c r="N756" s="50">
        <v>0</v>
      </c>
      <c r="O756" s="50">
        <v>0</v>
      </c>
      <c r="P756" s="50">
        <v>0</v>
      </c>
      <c r="Q756" s="46" t="s">
        <v>102</v>
      </c>
      <c r="R756" s="46" t="s">
        <v>102</v>
      </c>
      <c r="S756" s="46" t="s">
        <v>102</v>
      </c>
      <c r="T756" s="46" t="s">
        <v>2718</v>
      </c>
      <c r="U756" s="51">
        <v>4</v>
      </c>
    </row>
    <row r="757" spans="2:21" ht="14.5" outlineLevel="1">
      <c r="B757" s="28" t="s">
        <v>2719</v>
      </c>
      <c r="C757" s="29" t="s">
        <v>2720</v>
      </c>
      <c r="D757" s="30" t="s">
        <v>102</v>
      </c>
      <c r="E757" s="31" t="s">
        <v>102</v>
      </c>
      <c r="F757" s="30" t="s">
        <v>102</v>
      </c>
      <c r="G757" s="31" t="s">
        <v>102</v>
      </c>
      <c r="H757" s="32">
        <v>0</v>
      </c>
      <c r="I757" s="32">
        <v>0</v>
      </c>
      <c r="J757" s="31" t="s">
        <v>102</v>
      </c>
      <c r="K757" s="33">
        <v>0</v>
      </c>
      <c r="L757" s="33" t="s">
        <v>102</v>
      </c>
      <c r="M757" s="30" t="s">
        <v>102</v>
      </c>
      <c r="N757" s="34">
        <v>0</v>
      </c>
      <c r="O757" s="34">
        <v>0</v>
      </c>
      <c r="P757" s="34">
        <v>0</v>
      </c>
      <c r="Q757" s="30" t="s">
        <v>102</v>
      </c>
      <c r="R757" s="30" t="s">
        <v>1308</v>
      </c>
      <c r="S757" s="30" t="s">
        <v>102</v>
      </c>
      <c r="T757" s="30" t="s">
        <v>102</v>
      </c>
      <c r="U757" s="35">
        <v>2</v>
      </c>
    </row>
    <row r="758" spans="2:21" ht="14.5" outlineLevel="2">
      <c r="B758" s="36" t="s">
        <v>2721</v>
      </c>
      <c r="C758" s="37" t="s">
        <v>2722</v>
      </c>
      <c r="D758" s="38" t="s">
        <v>102</v>
      </c>
      <c r="E758" s="39" t="s">
        <v>102</v>
      </c>
      <c r="F758" s="38" t="s">
        <v>102</v>
      </c>
      <c r="G758" s="39" t="s">
        <v>102</v>
      </c>
      <c r="H758" s="40">
        <v>0</v>
      </c>
      <c r="I758" s="40">
        <v>0</v>
      </c>
      <c r="J758" s="39" t="s">
        <v>102</v>
      </c>
      <c r="K758" s="41">
        <v>0</v>
      </c>
      <c r="L758" s="41" t="s">
        <v>102</v>
      </c>
      <c r="M758" s="38" t="s">
        <v>102</v>
      </c>
      <c r="N758" s="42">
        <v>0</v>
      </c>
      <c r="O758" s="42">
        <v>0</v>
      </c>
      <c r="P758" s="42">
        <v>0</v>
      </c>
      <c r="Q758" s="38" t="s">
        <v>102</v>
      </c>
      <c r="R758" s="38" t="s">
        <v>102</v>
      </c>
      <c r="S758" s="38" t="s">
        <v>545</v>
      </c>
      <c r="T758" s="38" t="s">
        <v>102</v>
      </c>
      <c r="U758" s="43">
        <v>3</v>
      </c>
    </row>
    <row r="759" spans="2:21" ht="14.5" outlineLevel="3">
      <c r="B759" s="44" t="s">
        <v>2723</v>
      </c>
      <c r="C759" s="45" t="s">
        <v>2724</v>
      </c>
      <c r="D759" s="46" t="s">
        <v>392</v>
      </c>
      <c r="E759" s="47" t="s">
        <v>102</v>
      </c>
      <c r="F759" s="46" t="s">
        <v>102</v>
      </c>
      <c r="G759" s="47" t="s">
        <v>102</v>
      </c>
      <c r="H759" s="48">
        <v>0</v>
      </c>
      <c r="I759" s="48">
        <v>0</v>
      </c>
      <c r="J759" s="47" t="s">
        <v>2613</v>
      </c>
      <c r="K759" s="49">
        <v>1</v>
      </c>
      <c r="L759" s="49" t="s">
        <v>2614</v>
      </c>
      <c r="M759" s="46" t="s">
        <v>117</v>
      </c>
      <c r="N759" s="50">
        <v>0</v>
      </c>
      <c r="O759" s="50">
        <v>0</v>
      </c>
      <c r="P759" s="50">
        <v>0</v>
      </c>
      <c r="Q759" s="46" t="s">
        <v>102</v>
      </c>
      <c r="R759" s="46" t="s">
        <v>102</v>
      </c>
      <c r="S759" s="46" t="s">
        <v>102</v>
      </c>
      <c r="T759" s="46" t="s">
        <v>2718</v>
      </c>
      <c r="U759" s="51">
        <v>4</v>
      </c>
    </row>
    <row r="760" spans="2:21" ht="14.5" outlineLevel="1">
      <c r="B760" s="28" t="s">
        <v>2725</v>
      </c>
      <c r="C760" s="29" t="s">
        <v>2726</v>
      </c>
      <c r="D760" s="30" t="s">
        <v>102</v>
      </c>
      <c r="E760" s="31" t="s">
        <v>102</v>
      </c>
      <c r="F760" s="30" t="s">
        <v>102</v>
      </c>
      <c r="G760" s="31" t="s">
        <v>102</v>
      </c>
      <c r="H760" s="32">
        <v>0</v>
      </c>
      <c r="I760" s="32">
        <v>0</v>
      </c>
      <c r="J760" s="31" t="s">
        <v>102</v>
      </c>
      <c r="K760" s="33">
        <v>0</v>
      </c>
      <c r="L760" s="33" t="s">
        <v>102</v>
      </c>
      <c r="M760" s="30" t="s">
        <v>102</v>
      </c>
      <c r="N760" s="34">
        <v>0</v>
      </c>
      <c r="O760" s="34">
        <v>0</v>
      </c>
      <c r="P760" s="34">
        <v>0</v>
      </c>
      <c r="Q760" s="30" t="s">
        <v>102</v>
      </c>
      <c r="R760" s="30" t="s">
        <v>2727</v>
      </c>
      <c r="S760" s="30" t="s">
        <v>102</v>
      </c>
      <c r="T760" s="30" t="s">
        <v>102</v>
      </c>
      <c r="U760" s="35">
        <v>2</v>
      </c>
    </row>
    <row r="761" spans="2:21" ht="14.5" outlineLevel="2">
      <c r="B761" s="36" t="s">
        <v>2728</v>
      </c>
      <c r="C761" s="37" t="s">
        <v>2729</v>
      </c>
      <c r="D761" s="38" t="s">
        <v>102</v>
      </c>
      <c r="E761" s="39" t="s">
        <v>102</v>
      </c>
      <c r="F761" s="38" t="s">
        <v>102</v>
      </c>
      <c r="G761" s="39" t="s">
        <v>102</v>
      </c>
      <c r="H761" s="40">
        <v>0</v>
      </c>
      <c r="I761" s="40">
        <v>0</v>
      </c>
      <c r="J761" s="39" t="s">
        <v>102</v>
      </c>
      <c r="K761" s="41">
        <v>0</v>
      </c>
      <c r="L761" s="41" t="s">
        <v>102</v>
      </c>
      <c r="M761" s="38" t="s">
        <v>102</v>
      </c>
      <c r="N761" s="42">
        <v>0</v>
      </c>
      <c r="O761" s="42">
        <v>0</v>
      </c>
      <c r="P761" s="42">
        <v>0</v>
      </c>
      <c r="Q761" s="38" t="s">
        <v>102</v>
      </c>
      <c r="R761" s="38" t="s">
        <v>102</v>
      </c>
      <c r="S761" s="38" t="s">
        <v>2730</v>
      </c>
      <c r="T761" s="38" t="s">
        <v>102</v>
      </c>
      <c r="U761" s="43">
        <v>3</v>
      </c>
    </row>
    <row r="762" spans="2:21" ht="14.5" outlineLevel="3">
      <c r="B762" s="44" t="s">
        <v>2731</v>
      </c>
      <c r="C762" s="45" t="s">
        <v>2732</v>
      </c>
      <c r="D762" s="46" t="s">
        <v>2733</v>
      </c>
      <c r="E762" s="47" t="s">
        <v>102</v>
      </c>
      <c r="F762" s="46" t="s">
        <v>102</v>
      </c>
      <c r="G762" s="47" t="s">
        <v>102</v>
      </c>
      <c r="H762" s="48">
        <v>0</v>
      </c>
      <c r="I762" s="48">
        <v>0</v>
      </c>
      <c r="J762" s="47" t="s">
        <v>2613</v>
      </c>
      <c r="K762" s="49">
        <v>1</v>
      </c>
      <c r="L762" s="49" t="s">
        <v>2614</v>
      </c>
      <c r="M762" s="46" t="s">
        <v>117</v>
      </c>
      <c r="N762" s="50">
        <v>0</v>
      </c>
      <c r="O762" s="50">
        <v>0</v>
      </c>
      <c r="P762" s="50">
        <v>0</v>
      </c>
      <c r="Q762" s="46" t="s">
        <v>102</v>
      </c>
      <c r="R762" s="46" t="s">
        <v>102</v>
      </c>
      <c r="S762" s="46" t="s">
        <v>102</v>
      </c>
      <c r="T762" s="46" t="s">
        <v>976</v>
      </c>
      <c r="U762" s="51">
        <v>4</v>
      </c>
    </row>
    <row r="763" spans="2:21" ht="14.5" outlineLevel="3">
      <c r="B763" s="44" t="s">
        <v>2734</v>
      </c>
      <c r="C763" s="45" t="s">
        <v>2735</v>
      </c>
      <c r="D763" s="46" t="s">
        <v>2733</v>
      </c>
      <c r="E763" s="47" t="s">
        <v>102</v>
      </c>
      <c r="F763" s="46" t="s">
        <v>102</v>
      </c>
      <c r="G763" s="47" t="s">
        <v>102</v>
      </c>
      <c r="H763" s="48">
        <v>0</v>
      </c>
      <c r="I763" s="48">
        <v>0</v>
      </c>
      <c r="J763" s="47" t="s">
        <v>2613</v>
      </c>
      <c r="K763" s="49">
        <v>1</v>
      </c>
      <c r="L763" s="49" t="s">
        <v>2614</v>
      </c>
      <c r="M763" s="46" t="s">
        <v>117</v>
      </c>
      <c r="N763" s="50">
        <v>0</v>
      </c>
      <c r="O763" s="50">
        <v>0</v>
      </c>
      <c r="P763" s="50">
        <v>0</v>
      </c>
      <c r="Q763" s="46" t="s">
        <v>102</v>
      </c>
      <c r="R763" s="46" t="s">
        <v>102</v>
      </c>
      <c r="S763" s="46" t="s">
        <v>102</v>
      </c>
      <c r="T763" s="46" t="s">
        <v>980</v>
      </c>
      <c r="U763" s="51">
        <v>4</v>
      </c>
    </row>
    <row r="764" spans="2:21" ht="14.5" outlineLevel="3">
      <c r="B764" s="44" t="s">
        <v>2736</v>
      </c>
      <c r="C764" s="45" t="s">
        <v>2737</v>
      </c>
      <c r="D764" s="46" t="s">
        <v>2733</v>
      </c>
      <c r="E764" s="47" t="s">
        <v>102</v>
      </c>
      <c r="F764" s="46" t="s">
        <v>102</v>
      </c>
      <c r="G764" s="47" t="s">
        <v>102</v>
      </c>
      <c r="H764" s="48">
        <v>0</v>
      </c>
      <c r="I764" s="48">
        <v>0</v>
      </c>
      <c r="J764" s="47" t="s">
        <v>2613</v>
      </c>
      <c r="K764" s="49">
        <v>1</v>
      </c>
      <c r="L764" s="49" t="s">
        <v>2614</v>
      </c>
      <c r="M764" s="46" t="s">
        <v>117</v>
      </c>
      <c r="N764" s="50">
        <v>0</v>
      </c>
      <c r="O764" s="50">
        <v>0</v>
      </c>
      <c r="P764" s="50">
        <v>0</v>
      </c>
      <c r="Q764" s="46" t="s">
        <v>102</v>
      </c>
      <c r="R764" s="46" t="s">
        <v>102</v>
      </c>
      <c r="S764" s="46" t="s">
        <v>102</v>
      </c>
      <c r="T764" s="46" t="s">
        <v>995</v>
      </c>
      <c r="U764" s="51">
        <v>4</v>
      </c>
    </row>
    <row r="765" spans="2:21" ht="14.5" outlineLevel="3">
      <c r="B765" s="44" t="s">
        <v>2738</v>
      </c>
      <c r="C765" s="45" t="s">
        <v>2739</v>
      </c>
      <c r="D765" s="46" t="s">
        <v>2733</v>
      </c>
      <c r="E765" s="47" t="s">
        <v>102</v>
      </c>
      <c r="F765" s="46" t="s">
        <v>102</v>
      </c>
      <c r="G765" s="47" t="s">
        <v>102</v>
      </c>
      <c r="H765" s="48">
        <v>0</v>
      </c>
      <c r="I765" s="48">
        <v>0</v>
      </c>
      <c r="J765" s="47" t="s">
        <v>2613</v>
      </c>
      <c r="K765" s="49">
        <v>1</v>
      </c>
      <c r="L765" s="49" t="s">
        <v>2614</v>
      </c>
      <c r="M765" s="46" t="s">
        <v>117</v>
      </c>
      <c r="N765" s="50">
        <v>0</v>
      </c>
      <c r="O765" s="50">
        <v>0</v>
      </c>
      <c r="P765" s="50">
        <v>0</v>
      </c>
      <c r="Q765" s="46" t="s">
        <v>102</v>
      </c>
      <c r="R765" s="46" t="s">
        <v>102</v>
      </c>
      <c r="S765" s="46" t="s">
        <v>102</v>
      </c>
      <c r="T765" s="46" t="s">
        <v>2740</v>
      </c>
      <c r="U765" s="51">
        <v>4</v>
      </c>
    </row>
    <row r="766" spans="2:21" ht="14.5" outlineLevel="3">
      <c r="B766" s="44" t="s">
        <v>2741</v>
      </c>
      <c r="C766" s="45" t="s">
        <v>2742</v>
      </c>
      <c r="D766" s="46" t="s">
        <v>2733</v>
      </c>
      <c r="E766" s="47" t="s">
        <v>102</v>
      </c>
      <c r="F766" s="46" t="s">
        <v>102</v>
      </c>
      <c r="G766" s="47" t="s">
        <v>102</v>
      </c>
      <c r="H766" s="48">
        <v>0</v>
      </c>
      <c r="I766" s="48">
        <v>0</v>
      </c>
      <c r="J766" s="47" t="s">
        <v>2613</v>
      </c>
      <c r="K766" s="49">
        <v>1</v>
      </c>
      <c r="L766" s="49" t="s">
        <v>2614</v>
      </c>
      <c r="M766" s="46" t="s">
        <v>117</v>
      </c>
      <c r="N766" s="50">
        <v>0</v>
      </c>
      <c r="O766" s="50">
        <v>0</v>
      </c>
      <c r="P766" s="50">
        <v>0</v>
      </c>
      <c r="Q766" s="46" t="s">
        <v>102</v>
      </c>
      <c r="R766" s="46" t="s">
        <v>102</v>
      </c>
      <c r="S766" s="46" t="s">
        <v>102</v>
      </c>
      <c r="T766" s="46" t="s">
        <v>2743</v>
      </c>
      <c r="U766" s="51">
        <v>4</v>
      </c>
    </row>
    <row r="767" spans="2:21" ht="14.5" outlineLevel="3">
      <c r="B767" s="44" t="s">
        <v>2744</v>
      </c>
      <c r="C767" s="45" t="s">
        <v>2745</v>
      </c>
      <c r="D767" s="46" t="s">
        <v>2733</v>
      </c>
      <c r="E767" s="47" t="s">
        <v>102</v>
      </c>
      <c r="F767" s="46" t="s">
        <v>102</v>
      </c>
      <c r="G767" s="47" t="s">
        <v>102</v>
      </c>
      <c r="H767" s="48">
        <v>0</v>
      </c>
      <c r="I767" s="48">
        <v>0</v>
      </c>
      <c r="J767" s="47" t="s">
        <v>2613</v>
      </c>
      <c r="K767" s="49">
        <v>1</v>
      </c>
      <c r="L767" s="49" t="s">
        <v>2614</v>
      </c>
      <c r="M767" s="46" t="s">
        <v>117</v>
      </c>
      <c r="N767" s="50">
        <v>0</v>
      </c>
      <c r="O767" s="50">
        <v>0</v>
      </c>
      <c r="P767" s="50">
        <v>0</v>
      </c>
      <c r="Q767" s="46" t="s">
        <v>102</v>
      </c>
      <c r="R767" s="46" t="s">
        <v>102</v>
      </c>
      <c r="S767" s="46" t="s">
        <v>102</v>
      </c>
      <c r="T767" s="46" t="s">
        <v>2746</v>
      </c>
      <c r="U767" s="51">
        <v>4</v>
      </c>
    </row>
    <row r="768" spans="2:21" ht="14.5" outlineLevel="3">
      <c r="B768" s="44" t="s">
        <v>2747</v>
      </c>
      <c r="C768" s="45" t="s">
        <v>2748</v>
      </c>
      <c r="D768" s="46" t="s">
        <v>2733</v>
      </c>
      <c r="E768" s="47" t="s">
        <v>102</v>
      </c>
      <c r="F768" s="46" t="s">
        <v>102</v>
      </c>
      <c r="G768" s="47" t="s">
        <v>102</v>
      </c>
      <c r="H768" s="48">
        <v>0</v>
      </c>
      <c r="I768" s="48">
        <v>0</v>
      </c>
      <c r="J768" s="47" t="s">
        <v>2613</v>
      </c>
      <c r="K768" s="49">
        <v>1</v>
      </c>
      <c r="L768" s="49" t="s">
        <v>2614</v>
      </c>
      <c r="M768" s="46" t="s">
        <v>117</v>
      </c>
      <c r="N768" s="50">
        <v>0</v>
      </c>
      <c r="O768" s="50">
        <v>0</v>
      </c>
      <c r="P768" s="50">
        <v>0</v>
      </c>
      <c r="Q768" s="46" t="s">
        <v>102</v>
      </c>
      <c r="R768" s="46" t="s">
        <v>102</v>
      </c>
      <c r="S768" s="46" t="s">
        <v>102</v>
      </c>
      <c r="T768" s="46" t="s">
        <v>2749</v>
      </c>
      <c r="U768" s="51">
        <v>4</v>
      </c>
    </row>
    <row r="769" spans="2:21" ht="14.5" outlineLevel="3">
      <c r="B769" s="44" t="s">
        <v>2750</v>
      </c>
      <c r="C769" s="45" t="s">
        <v>2751</v>
      </c>
      <c r="D769" s="46" t="s">
        <v>2733</v>
      </c>
      <c r="E769" s="47" t="s">
        <v>102</v>
      </c>
      <c r="F769" s="46" t="s">
        <v>102</v>
      </c>
      <c r="G769" s="47" t="s">
        <v>102</v>
      </c>
      <c r="H769" s="48">
        <v>0</v>
      </c>
      <c r="I769" s="48">
        <v>0</v>
      </c>
      <c r="J769" s="47" t="s">
        <v>2613</v>
      </c>
      <c r="K769" s="49">
        <v>1</v>
      </c>
      <c r="L769" s="49" t="s">
        <v>2614</v>
      </c>
      <c r="M769" s="46" t="s">
        <v>117</v>
      </c>
      <c r="N769" s="50">
        <v>0</v>
      </c>
      <c r="O769" s="50">
        <v>0</v>
      </c>
      <c r="P769" s="50">
        <v>0</v>
      </c>
      <c r="Q769" s="46" t="s">
        <v>102</v>
      </c>
      <c r="R769" s="46" t="s">
        <v>102</v>
      </c>
      <c r="S769" s="46" t="s">
        <v>102</v>
      </c>
      <c r="T769" s="46" t="s">
        <v>2752</v>
      </c>
      <c r="U769" s="51">
        <v>4</v>
      </c>
    </row>
    <row r="770" spans="2:21" ht="14.5" outlineLevel="3">
      <c r="B770" s="44" t="s">
        <v>2753</v>
      </c>
      <c r="C770" s="45" t="s">
        <v>2754</v>
      </c>
      <c r="D770" s="46" t="s">
        <v>2733</v>
      </c>
      <c r="E770" s="47" t="s">
        <v>102</v>
      </c>
      <c r="F770" s="46" t="s">
        <v>102</v>
      </c>
      <c r="G770" s="47" t="s">
        <v>102</v>
      </c>
      <c r="H770" s="48">
        <v>0</v>
      </c>
      <c r="I770" s="48">
        <v>0</v>
      </c>
      <c r="J770" s="47" t="s">
        <v>2613</v>
      </c>
      <c r="K770" s="49">
        <v>1</v>
      </c>
      <c r="L770" s="49" t="s">
        <v>2614</v>
      </c>
      <c r="M770" s="46" t="s">
        <v>117</v>
      </c>
      <c r="N770" s="50">
        <v>0</v>
      </c>
      <c r="O770" s="50">
        <v>0</v>
      </c>
      <c r="P770" s="50">
        <v>0</v>
      </c>
      <c r="Q770" s="46" t="s">
        <v>102</v>
      </c>
      <c r="R770" s="46" t="s">
        <v>102</v>
      </c>
      <c r="S770" s="46" t="s">
        <v>102</v>
      </c>
      <c r="T770" s="46" t="s">
        <v>2755</v>
      </c>
      <c r="U770" s="51">
        <v>4</v>
      </c>
    </row>
    <row r="771" spans="2:21" ht="14.5" outlineLevel="3">
      <c r="B771" s="44" t="s">
        <v>2756</v>
      </c>
      <c r="C771" s="45" t="s">
        <v>2757</v>
      </c>
      <c r="D771" s="46" t="s">
        <v>2733</v>
      </c>
      <c r="E771" s="47" t="s">
        <v>102</v>
      </c>
      <c r="F771" s="46" t="s">
        <v>102</v>
      </c>
      <c r="G771" s="47" t="s">
        <v>102</v>
      </c>
      <c r="H771" s="48">
        <v>0</v>
      </c>
      <c r="I771" s="48">
        <v>0</v>
      </c>
      <c r="J771" s="47" t="s">
        <v>2613</v>
      </c>
      <c r="K771" s="49">
        <v>1</v>
      </c>
      <c r="L771" s="49" t="s">
        <v>2614</v>
      </c>
      <c r="M771" s="46" t="s">
        <v>117</v>
      </c>
      <c r="N771" s="50">
        <v>0</v>
      </c>
      <c r="O771" s="50">
        <v>0</v>
      </c>
      <c r="P771" s="50">
        <v>0</v>
      </c>
      <c r="Q771" s="46" t="s">
        <v>102</v>
      </c>
      <c r="R771" s="46" t="s">
        <v>102</v>
      </c>
      <c r="S771" s="46" t="s">
        <v>102</v>
      </c>
      <c r="T771" s="46" t="s">
        <v>2758</v>
      </c>
      <c r="U771" s="51">
        <v>4</v>
      </c>
    </row>
    <row r="772" spans="2:21" ht="14.5" outlineLevel="3">
      <c r="B772" s="44" t="s">
        <v>2759</v>
      </c>
      <c r="C772" s="45" t="s">
        <v>2760</v>
      </c>
      <c r="D772" s="46" t="s">
        <v>2733</v>
      </c>
      <c r="E772" s="47" t="s">
        <v>102</v>
      </c>
      <c r="F772" s="46" t="s">
        <v>102</v>
      </c>
      <c r="G772" s="47" t="s">
        <v>102</v>
      </c>
      <c r="H772" s="48">
        <v>0</v>
      </c>
      <c r="I772" s="48">
        <v>0</v>
      </c>
      <c r="J772" s="47" t="s">
        <v>2613</v>
      </c>
      <c r="K772" s="49">
        <v>1</v>
      </c>
      <c r="L772" s="49" t="s">
        <v>2614</v>
      </c>
      <c r="M772" s="46" t="s">
        <v>117</v>
      </c>
      <c r="N772" s="50">
        <v>0</v>
      </c>
      <c r="O772" s="50">
        <v>0</v>
      </c>
      <c r="P772" s="50">
        <v>0</v>
      </c>
      <c r="Q772" s="46" t="s">
        <v>102</v>
      </c>
      <c r="R772" s="46" t="s">
        <v>102</v>
      </c>
      <c r="S772" s="46" t="s">
        <v>102</v>
      </c>
      <c r="T772" s="46" t="s">
        <v>2761</v>
      </c>
      <c r="U772" s="51">
        <v>4</v>
      </c>
    </row>
    <row r="773" spans="2:21" ht="14.5" outlineLevel="3">
      <c r="B773" s="44" t="s">
        <v>2762</v>
      </c>
      <c r="C773" s="45" t="s">
        <v>2763</v>
      </c>
      <c r="D773" s="46" t="s">
        <v>2733</v>
      </c>
      <c r="E773" s="47" t="s">
        <v>102</v>
      </c>
      <c r="F773" s="46" t="s">
        <v>102</v>
      </c>
      <c r="G773" s="47" t="s">
        <v>102</v>
      </c>
      <c r="H773" s="48">
        <v>0</v>
      </c>
      <c r="I773" s="48">
        <v>0</v>
      </c>
      <c r="J773" s="47" t="s">
        <v>2613</v>
      </c>
      <c r="K773" s="49">
        <v>1</v>
      </c>
      <c r="L773" s="49" t="s">
        <v>2614</v>
      </c>
      <c r="M773" s="46" t="s">
        <v>117</v>
      </c>
      <c r="N773" s="50">
        <v>0</v>
      </c>
      <c r="O773" s="50">
        <v>0</v>
      </c>
      <c r="P773" s="50">
        <v>0</v>
      </c>
      <c r="Q773" s="46" t="s">
        <v>102</v>
      </c>
      <c r="R773" s="46" t="s">
        <v>102</v>
      </c>
      <c r="S773" s="46" t="s">
        <v>102</v>
      </c>
      <c r="T773" s="46" t="s">
        <v>2764</v>
      </c>
      <c r="U773" s="51">
        <v>4</v>
      </c>
    </row>
    <row r="774" spans="2:21" ht="14.5" outlineLevel="3">
      <c r="B774" s="44" t="s">
        <v>2765</v>
      </c>
      <c r="C774" s="45" t="s">
        <v>2766</v>
      </c>
      <c r="D774" s="46" t="s">
        <v>2733</v>
      </c>
      <c r="E774" s="47" t="s">
        <v>102</v>
      </c>
      <c r="F774" s="46" t="s">
        <v>102</v>
      </c>
      <c r="G774" s="47" t="s">
        <v>102</v>
      </c>
      <c r="H774" s="48">
        <v>0</v>
      </c>
      <c r="I774" s="48">
        <v>0</v>
      </c>
      <c r="J774" s="47" t="s">
        <v>2613</v>
      </c>
      <c r="K774" s="49">
        <v>1</v>
      </c>
      <c r="L774" s="49" t="s">
        <v>2614</v>
      </c>
      <c r="M774" s="46" t="s">
        <v>117</v>
      </c>
      <c r="N774" s="50">
        <v>0</v>
      </c>
      <c r="O774" s="50">
        <v>0</v>
      </c>
      <c r="P774" s="50">
        <v>0</v>
      </c>
      <c r="Q774" s="46" t="s">
        <v>102</v>
      </c>
      <c r="R774" s="46" t="s">
        <v>102</v>
      </c>
      <c r="S774" s="46" t="s">
        <v>102</v>
      </c>
      <c r="T774" s="46" t="s">
        <v>2767</v>
      </c>
      <c r="U774" s="51">
        <v>4</v>
      </c>
    </row>
    <row r="775" spans="2:21" ht="14.5" outlineLevel="3">
      <c r="B775" s="44" t="s">
        <v>2768</v>
      </c>
      <c r="C775" s="45" t="s">
        <v>2769</v>
      </c>
      <c r="D775" s="46" t="s">
        <v>2733</v>
      </c>
      <c r="E775" s="47" t="s">
        <v>102</v>
      </c>
      <c r="F775" s="46" t="s">
        <v>102</v>
      </c>
      <c r="G775" s="47" t="s">
        <v>102</v>
      </c>
      <c r="H775" s="48">
        <v>0</v>
      </c>
      <c r="I775" s="48">
        <v>0</v>
      </c>
      <c r="J775" s="47" t="s">
        <v>2613</v>
      </c>
      <c r="K775" s="49">
        <v>1</v>
      </c>
      <c r="L775" s="49" t="s">
        <v>2614</v>
      </c>
      <c r="M775" s="46" t="s">
        <v>117</v>
      </c>
      <c r="N775" s="50">
        <v>0</v>
      </c>
      <c r="O775" s="50">
        <v>0</v>
      </c>
      <c r="P775" s="50">
        <v>0</v>
      </c>
      <c r="Q775" s="46" t="s">
        <v>102</v>
      </c>
      <c r="R775" s="46" t="s">
        <v>102</v>
      </c>
      <c r="S775" s="46" t="s">
        <v>102</v>
      </c>
      <c r="T775" s="46" t="s">
        <v>2770</v>
      </c>
      <c r="U775" s="51">
        <v>4</v>
      </c>
    </row>
    <row r="776" spans="2:21" ht="14.5" outlineLevel="3">
      <c r="B776" s="44" t="s">
        <v>2771</v>
      </c>
      <c r="C776" s="45" t="s">
        <v>2772</v>
      </c>
      <c r="D776" s="46" t="s">
        <v>2733</v>
      </c>
      <c r="E776" s="47" t="s">
        <v>102</v>
      </c>
      <c r="F776" s="46" t="s">
        <v>102</v>
      </c>
      <c r="G776" s="47" t="s">
        <v>102</v>
      </c>
      <c r="H776" s="48">
        <v>0</v>
      </c>
      <c r="I776" s="48">
        <v>0</v>
      </c>
      <c r="J776" s="47" t="s">
        <v>2613</v>
      </c>
      <c r="K776" s="49">
        <v>1</v>
      </c>
      <c r="L776" s="49" t="s">
        <v>2614</v>
      </c>
      <c r="M776" s="46" t="s">
        <v>117</v>
      </c>
      <c r="N776" s="50">
        <v>0</v>
      </c>
      <c r="O776" s="50">
        <v>0</v>
      </c>
      <c r="P776" s="50">
        <v>0</v>
      </c>
      <c r="Q776" s="46" t="s">
        <v>102</v>
      </c>
      <c r="R776" s="46" t="s">
        <v>102</v>
      </c>
      <c r="S776" s="46" t="s">
        <v>102</v>
      </c>
      <c r="T776" s="46" t="s">
        <v>2773</v>
      </c>
      <c r="U776" s="51">
        <v>4</v>
      </c>
    </row>
    <row r="777" spans="2:21" ht="14.5" outlineLevel="2">
      <c r="B777" s="36" t="s">
        <v>2774</v>
      </c>
      <c r="C777" s="37" t="s">
        <v>2775</v>
      </c>
      <c r="D777" s="38" t="s">
        <v>102</v>
      </c>
      <c r="E777" s="39" t="s">
        <v>102</v>
      </c>
      <c r="F777" s="38" t="s">
        <v>102</v>
      </c>
      <c r="G777" s="39" t="s">
        <v>102</v>
      </c>
      <c r="H777" s="40">
        <v>0</v>
      </c>
      <c r="I777" s="40">
        <v>0</v>
      </c>
      <c r="J777" s="39" t="s">
        <v>102</v>
      </c>
      <c r="K777" s="41">
        <v>0</v>
      </c>
      <c r="L777" s="41" t="s">
        <v>102</v>
      </c>
      <c r="M777" s="38" t="s">
        <v>102</v>
      </c>
      <c r="N777" s="42">
        <v>0</v>
      </c>
      <c r="O777" s="42">
        <v>0</v>
      </c>
      <c r="P777" s="42">
        <v>0</v>
      </c>
      <c r="Q777" s="38" t="s">
        <v>102</v>
      </c>
      <c r="R777" s="38" t="s">
        <v>102</v>
      </c>
      <c r="S777" s="38" t="s">
        <v>2776</v>
      </c>
      <c r="T777" s="38" t="s">
        <v>102</v>
      </c>
      <c r="U777" s="43">
        <v>3</v>
      </c>
    </row>
    <row r="778" spans="2:21" ht="14.5" outlineLevel="3">
      <c r="B778" s="44" t="s">
        <v>2777</v>
      </c>
      <c r="C778" s="45" t="s">
        <v>2778</v>
      </c>
      <c r="D778" s="46" t="s">
        <v>2733</v>
      </c>
      <c r="E778" s="47" t="s">
        <v>102</v>
      </c>
      <c r="F778" s="46" t="s">
        <v>102</v>
      </c>
      <c r="G778" s="47" t="s">
        <v>102</v>
      </c>
      <c r="H778" s="48">
        <v>0</v>
      </c>
      <c r="I778" s="48">
        <v>0</v>
      </c>
      <c r="J778" s="47" t="s">
        <v>2613</v>
      </c>
      <c r="K778" s="49">
        <v>1</v>
      </c>
      <c r="L778" s="49" t="s">
        <v>2614</v>
      </c>
      <c r="M778" s="46" t="s">
        <v>117</v>
      </c>
      <c r="N778" s="50">
        <v>0</v>
      </c>
      <c r="O778" s="50">
        <v>0</v>
      </c>
      <c r="P778" s="50">
        <v>0</v>
      </c>
      <c r="Q778" s="46" t="s">
        <v>102</v>
      </c>
      <c r="R778" s="46" t="s">
        <v>102</v>
      </c>
      <c r="S778" s="46" t="s">
        <v>102</v>
      </c>
      <c r="T778" s="46" t="s">
        <v>976</v>
      </c>
      <c r="U778" s="51">
        <v>4</v>
      </c>
    </row>
    <row r="779" spans="2:21" ht="14.5" outlineLevel="3">
      <c r="B779" s="44" t="s">
        <v>2779</v>
      </c>
      <c r="C779" s="45" t="s">
        <v>2780</v>
      </c>
      <c r="D779" s="46" t="s">
        <v>2733</v>
      </c>
      <c r="E779" s="47" t="s">
        <v>102</v>
      </c>
      <c r="F779" s="46" t="s">
        <v>102</v>
      </c>
      <c r="G779" s="47" t="s">
        <v>102</v>
      </c>
      <c r="H779" s="48">
        <v>0</v>
      </c>
      <c r="I779" s="48">
        <v>0</v>
      </c>
      <c r="J779" s="47" t="s">
        <v>2613</v>
      </c>
      <c r="K779" s="49">
        <v>1</v>
      </c>
      <c r="L779" s="49" t="s">
        <v>2614</v>
      </c>
      <c r="M779" s="46" t="s">
        <v>117</v>
      </c>
      <c r="N779" s="50">
        <v>0</v>
      </c>
      <c r="O779" s="50">
        <v>0</v>
      </c>
      <c r="P779" s="50">
        <v>0</v>
      </c>
      <c r="Q779" s="46" t="s">
        <v>102</v>
      </c>
      <c r="R779" s="46" t="s">
        <v>102</v>
      </c>
      <c r="S779" s="46" t="s">
        <v>102</v>
      </c>
      <c r="T779" s="46" t="s">
        <v>2781</v>
      </c>
      <c r="U779" s="51">
        <v>4</v>
      </c>
    </row>
    <row r="780" spans="2:21" ht="14.5" outlineLevel="3">
      <c r="B780" s="44" t="s">
        <v>2782</v>
      </c>
      <c r="C780" s="45" t="s">
        <v>2783</v>
      </c>
      <c r="D780" s="46" t="s">
        <v>2733</v>
      </c>
      <c r="E780" s="47" t="s">
        <v>102</v>
      </c>
      <c r="F780" s="46" t="s">
        <v>102</v>
      </c>
      <c r="G780" s="47" t="s">
        <v>102</v>
      </c>
      <c r="H780" s="48">
        <v>0</v>
      </c>
      <c r="I780" s="48">
        <v>0</v>
      </c>
      <c r="J780" s="47" t="s">
        <v>2613</v>
      </c>
      <c r="K780" s="49">
        <v>1</v>
      </c>
      <c r="L780" s="49" t="s">
        <v>2614</v>
      </c>
      <c r="M780" s="46" t="s">
        <v>117</v>
      </c>
      <c r="N780" s="50">
        <v>0</v>
      </c>
      <c r="O780" s="50">
        <v>0</v>
      </c>
      <c r="P780" s="50">
        <v>0</v>
      </c>
      <c r="Q780" s="46" t="s">
        <v>102</v>
      </c>
      <c r="R780" s="46" t="s">
        <v>102</v>
      </c>
      <c r="S780" s="46" t="s">
        <v>102</v>
      </c>
      <c r="T780" s="46" t="s">
        <v>2784</v>
      </c>
      <c r="U780" s="51">
        <v>4</v>
      </c>
    </row>
    <row r="781" spans="2:21" ht="14.5" outlineLevel="3">
      <c r="B781" s="44" t="s">
        <v>2785</v>
      </c>
      <c r="C781" s="45" t="s">
        <v>2786</v>
      </c>
      <c r="D781" s="46" t="s">
        <v>2733</v>
      </c>
      <c r="E781" s="47" t="s">
        <v>102</v>
      </c>
      <c r="F781" s="46" t="s">
        <v>102</v>
      </c>
      <c r="G781" s="47" t="s">
        <v>102</v>
      </c>
      <c r="H781" s="48">
        <v>0</v>
      </c>
      <c r="I781" s="48">
        <v>0</v>
      </c>
      <c r="J781" s="47" t="s">
        <v>2613</v>
      </c>
      <c r="K781" s="49">
        <v>1</v>
      </c>
      <c r="L781" s="49" t="s">
        <v>2614</v>
      </c>
      <c r="M781" s="46" t="s">
        <v>117</v>
      </c>
      <c r="N781" s="50">
        <v>0</v>
      </c>
      <c r="O781" s="50">
        <v>0</v>
      </c>
      <c r="P781" s="50">
        <v>0</v>
      </c>
      <c r="Q781" s="46" t="s">
        <v>102</v>
      </c>
      <c r="R781" s="46" t="s">
        <v>102</v>
      </c>
      <c r="S781" s="46" t="s">
        <v>102</v>
      </c>
      <c r="T781" s="46" t="s">
        <v>2787</v>
      </c>
      <c r="U781" s="51">
        <v>4</v>
      </c>
    </row>
    <row r="782" spans="2:21" ht="14.5" outlineLevel="3">
      <c r="B782" s="44" t="s">
        <v>2788</v>
      </c>
      <c r="C782" s="45" t="s">
        <v>2789</v>
      </c>
      <c r="D782" s="46" t="s">
        <v>2733</v>
      </c>
      <c r="E782" s="47" t="s">
        <v>102</v>
      </c>
      <c r="F782" s="46" t="s">
        <v>102</v>
      </c>
      <c r="G782" s="47" t="s">
        <v>102</v>
      </c>
      <c r="H782" s="48">
        <v>0</v>
      </c>
      <c r="I782" s="48">
        <v>0</v>
      </c>
      <c r="J782" s="47" t="s">
        <v>2613</v>
      </c>
      <c r="K782" s="49">
        <v>1</v>
      </c>
      <c r="L782" s="49" t="s">
        <v>2614</v>
      </c>
      <c r="M782" s="46" t="s">
        <v>117</v>
      </c>
      <c r="N782" s="50">
        <v>0</v>
      </c>
      <c r="O782" s="50">
        <v>0</v>
      </c>
      <c r="P782" s="50">
        <v>0</v>
      </c>
      <c r="Q782" s="46" t="s">
        <v>102</v>
      </c>
      <c r="R782" s="46" t="s">
        <v>102</v>
      </c>
      <c r="S782" s="46" t="s">
        <v>102</v>
      </c>
      <c r="T782" s="46" t="s">
        <v>2790</v>
      </c>
      <c r="U782" s="51">
        <v>4</v>
      </c>
    </row>
    <row r="783" spans="2:21" ht="14.5" outlineLevel="3">
      <c r="B783" s="44" t="s">
        <v>2791</v>
      </c>
      <c r="C783" s="45" t="s">
        <v>2792</v>
      </c>
      <c r="D783" s="46" t="s">
        <v>2733</v>
      </c>
      <c r="E783" s="47" t="s">
        <v>102</v>
      </c>
      <c r="F783" s="46" t="s">
        <v>102</v>
      </c>
      <c r="G783" s="47" t="s">
        <v>102</v>
      </c>
      <c r="H783" s="48">
        <v>0</v>
      </c>
      <c r="I783" s="48">
        <v>0</v>
      </c>
      <c r="J783" s="47" t="s">
        <v>2613</v>
      </c>
      <c r="K783" s="49">
        <v>1</v>
      </c>
      <c r="L783" s="49" t="s">
        <v>2614</v>
      </c>
      <c r="M783" s="46" t="s">
        <v>117</v>
      </c>
      <c r="N783" s="50">
        <v>0</v>
      </c>
      <c r="O783" s="50">
        <v>0</v>
      </c>
      <c r="P783" s="50">
        <v>0</v>
      </c>
      <c r="Q783" s="46" t="s">
        <v>102</v>
      </c>
      <c r="R783" s="46" t="s">
        <v>102</v>
      </c>
      <c r="S783" s="46" t="s">
        <v>102</v>
      </c>
      <c r="T783" s="46" t="s">
        <v>2749</v>
      </c>
      <c r="U783" s="51">
        <v>4</v>
      </c>
    </row>
    <row r="784" spans="2:21" ht="14.5" outlineLevel="3">
      <c r="B784" s="44" t="s">
        <v>2793</v>
      </c>
      <c r="C784" s="45" t="s">
        <v>2794</v>
      </c>
      <c r="D784" s="46" t="s">
        <v>2733</v>
      </c>
      <c r="E784" s="47" t="s">
        <v>102</v>
      </c>
      <c r="F784" s="46" t="s">
        <v>102</v>
      </c>
      <c r="G784" s="47" t="s">
        <v>102</v>
      </c>
      <c r="H784" s="48">
        <v>0</v>
      </c>
      <c r="I784" s="48">
        <v>0</v>
      </c>
      <c r="J784" s="47" t="s">
        <v>2613</v>
      </c>
      <c r="K784" s="49">
        <v>1</v>
      </c>
      <c r="L784" s="49" t="s">
        <v>2614</v>
      </c>
      <c r="M784" s="46" t="s">
        <v>117</v>
      </c>
      <c r="N784" s="50">
        <v>0</v>
      </c>
      <c r="O784" s="50">
        <v>0</v>
      </c>
      <c r="P784" s="50">
        <v>0</v>
      </c>
      <c r="Q784" s="46" t="s">
        <v>102</v>
      </c>
      <c r="R784" s="46" t="s">
        <v>102</v>
      </c>
      <c r="S784" s="46" t="s">
        <v>102</v>
      </c>
      <c r="T784" s="46" t="s">
        <v>2795</v>
      </c>
      <c r="U784" s="51">
        <v>4</v>
      </c>
    </row>
    <row r="785" spans="2:21" ht="14.5" outlineLevel="1">
      <c r="B785" s="28" t="s">
        <v>2796</v>
      </c>
      <c r="C785" s="29" t="s">
        <v>2797</v>
      </c>
      <c r="D785" s="30" t="s">
        <v>102</v>
      </c>
      <c r="E785" s="31" t="s">
        <v>102</v>
      </c>
      <c r="F785" s="30" t="s">
        <v>102</v>
      </c>
      <c r="G785" s="31" t="s">
        <v>102</v>
      </c>
      <c r="H785" s="32">
        <v>0</v>
      </c>
      <c r="I785" s="32">
        <v>0</v>
      </c>
      <c r="J785" s="31" t="s">
        <v>102</v>
      </c>
      <c r="K785" s="33">
        <v>0</v>
      </c>
      <c r="L785" s="33" t="s">
        <v>102</v>
      </c>
      <c r="M785" s="30" t="s">
        <v>102</v>
      </c>
      <c r="N785" s="34">
        <v>0</v>
      </c>
      <c r="O785" s="34">
        <v>0</v>
      </c>
      <c r="P785" s="34">
        <v>0</v>
      </c>
      <c r="Q785" s="30" t="s">
        <v>102</v>
      </c>
      <c r="R785" s="30" t="s">
        <v>2798</v>
      </c>
      <c r="S785" s="30" t="s">
        <v>102</v>
      </c>
      <c r="T785" s="30" t="s">
        <v>102</v>
      </c>
      <c r="U785" s="35">
        <v>2</v>
      </c>
    </row>
    <row r="786" spans="2:21" ht="14.5" outlineLevel="2">
      <c r="B786" s="36" t="s">
        <v>2799</v>
      </c>
      <c r="C786" s="37" t="s">
        <v>2800</v>
      </c>
      <c r="D786" s="38" t="s">
        <v>102</v>
      </c>
      <c r="E786" s="39" t="s">
        <v>102</v>
      </c>
      <c r="F786" s="38" t="s">
        <v>102</v>
      </c>
      <c r="G786" s="39" t="s">
        <v>102</v>
      </c>
      <c r="H786" s="40">
        <v>0</v>
      </c>
      <c r="I786" s="40">
        <v>0</v>
      </c>
      <c r="J786" s="39" t="s">
        <v>102</v>
      </c>
      <c r="K786" s="41">
        <v>0</v>
      </c>
      <c r="L786" s="41" t="s">
        <v>102</v>
      </c>
      <c r="M786" s="38" t="s">
        <v>102</v>
      </c>
      <c r="N786" s="42">
        <v>0</v>
      </c>
      <c r="O786" s="42">
        <v>0</v>
      </c>
      <c r="P786" s="42">
        <v>0</v>
      </c>
      <c r="Q786" s="38" t="s">
        <v>102</v>
      </c>
      <c r="R786" s="38" t="s">
        <v>102</v>
      </c>
      <c r="S786" s="38" t="s">
        <v>2801</v>
      </c>
      <c r="T786" s="38" t="s">
        <v>102</v>
      </c>
      <c r="U786" s="43">
        <v>3</v>
      </c>
    </row>
    <row r="787" spans="2:21" ht="14.5" outlineLevel="3">
      <c r="B787" s="44" t="s">
        <v>2802</v>
      </c>
      <c r="C787" s="45" t="s">
        <v>2803</v>
      </c>
      <c r="D787" s="46" t="s">
        <v>2804</v>
      </c>
      <c r="E787" s="47" t="s">
        <v>102</v>
      </c>
      <c r="F787" s="46" t="s">
        <v>102</v>
      </c>
      <c r="G787" s="47" t="s">
        <v>102</v>
      </c>
      <c r="H787" s="48">
        <v>0</v>
      </c>
      <c r="I787" s="48">
        <v>0</v>
      </c>
      <c r="J787" s="47" t="s">
        <v>2805</v>
      </c>
      <c r="K787" s="49">
        <v>1</v>
      </c>
      <c r="L787" s="49" t="s">
        <v>2614</v>
      </c>
      <c r="M787" s="46" t="s">
        <v>117</v>
      </c>
      <c r="N787" s="50">
        <v>0</v>
      </c>
      <c r="O787" s="50">
        <v>0</v>
      </c>
      <c r="P787" s="50">
        <v>0</v>
      </c>
      <c r="Q787" s="46" t="s">
        <v>102</v>
      </c>
      <c r="R787" s="46" t="s">
        <v>102</v>
      </c>
      <c r="S787" s="46" t="s">
        <v>102</v>
      </c>
      <c r="T787" s="46" t="s">
        <v>1019</v>
      </c>
      <c r="U787" s="51">
        <v>4</v>
      </c>
    </row>
    <row r="788" spans="2:21" ht="14.5" outlineLevel="3">
      <c r="B788" s="44" t="s">
        <v>2806</v>
      </c>
      <c r="C788" s="45" t="s">
        <v>2807</v>
      </c>
      <c r="D788" s="46" t="s">
        <v>2804</v>
      </c>
      <c r="E788" s="47" t="s">
        <v>102</v>
      </c>
      <c r="F788" s="46" t="s">
        <v>102</v>
      </c>
      <c r="G788" s="47" t="s">
        <v>102</v>
      </c>
      <c r="H788" s="48">
        <v>0</v>
      </c>
      <c r="I788" s="48">
        <v>0</v>
      </c>
      <c r="J788" s="47" t="s">
        <v>2805</v>
      </c>
      <c r="K788" s="49">
        <v>1</v>
      </c>
      <c r="L788" s="49" t="s">
        <v>2614</v>
      </c>
      <c r="M788" s="46" t="s">
        <v>117</v>
      </c>
      <c r="N788" s="50">
        <v>0</v>
      </c>
      <c r="O788" s="50">
        <v>0</v>
      </c>
      <c r="P788" s="50">
        <v>0</v>
      </c>
      <c r="Q788" s="46" t="s">
        <v>102</v>
      </c>
      <c r="R788" s="46" t="s">
        <v>102</v>
      </c>
      <c r="S788" s="46" t="s">
        <v>102</v>
      </c>
      <c r="T788" s="46" t="s">
        <v>2743</v>
      </c>
      <c r="U788" s="51">
        <v>4</v>
      </c>
    </row>
    <row r="789" spans="2:21" ht="14.5" outlineLevel="2">
      <c r="B789" s="36" t="s">
        <v>2808</v>
      </c>
      <c r="C789" s="37" t="s">
        <v>2809</v>
      </c>
      <c r="D789" s="38" t="s">
        <v>102</v>
      </c>
      <c r="E789" s="39" t="s">
        <v>102</v>
      </c>
      <c r="F789" s="38" t="s">
        <v>102</v>
      </c>
      <c r="G789" s="39" t="s">
        <v>102</v>
      </c>
      <c r="H789" s="40">
        <v>0</v>
      </c>
      <c r="I789" s="40">
        <v>0</v>
      </c>
      <c r="J789" s="39" t="s">
        <v>102</v>
      </c>
      <c r="K789" s="41">
        <v>0</v>
      </c>
      <c r="L789" s="41" t="s">
        <v>102</v>
      </c>
      <c r="M789" s="38" t="s">
        <v>102</v>
      </c>
      <c r="N789" s="42">
        <v>0</v>
      </c>
      <c r="O789" s="42">
        <v>0</v>
      </c>
      <c r="P789" s="42">
        <v>0</v>
      </c>
      <c r="Q789" s="38" t="s">
        <v>102</v>
      </c>
      <c r="R789" s="38" t="s">
        <v>102</v>
      </c>
      <c r="S789" s="38" t="s">
        <v>2810</v>
      </c>
      <c r="T789" s="38" t="s">
        <v>102</v>
      </c>
      <c r="U789" s="43">
        <v>3</v>
      </c>
    </row>
    <row r="790" spans="2:21" ht="14.5" outlineLevel="3">
      <c r="B790" s="44" t="s">
        <v>2811</v>
      </c>
      <c r="C790" s="45" t="s">
        <v>2812</v>
      </c>
      <c r="D790" s="46" t="s">
        <v>2804</v>
      </c>
      <c r="E790" s="47" t="s">
        <v>102</v>
      </c>
      <c r="F790" s="46" t="s">
        <v>102</v>
      </c>
      <c r="G790" s="47" t="s">
        <v>102</v>
      </c>
      <c r="H790" s="48">
        <v>0</v>
      </c>
      <c r="I790" s="48">
        <v>0</v>
      </c>
      <c r="J790" s="47" t="s">
        <v>2805</v>
      </c>
      <c r="K790" s="49">
        <v>1</v>
      </c>
      <c r="L790" s="49" t="s">
        <v>2614</v>
      </c>
      <c r="M790" s="46" t="s">
        <v>117</v>
      </c>
      <c r="N790" s="50">
        <v>0</v>
      </c>
      <c r="O790" s="50">
        <v>0</v>
      </c>
      <c r="P790" s="50">
        <v>0</v>
      </c>
      <c r="Q790" s="46" t="s">
        <v>102</v>
      </c>
      <c r="R790" s="46" t="s">
        <v>102</v>
      </c>
      <c r="S790" s="46" t="s">
        <v>102</v>
      </c>
      <c r="T790" s="46" t="s">
        <v>1019</v>
      </c>
      <c r="U790" s="51">
        <v>4</v>
      </c>
    </row>
    <row r="791" spans="2:21" ht="14.5" outlineLevel="3">
      <c r="B791" s="44" t="s">
        <v>2813</v>
      </c>
      <c r="C791" s="45" t="s">
        <v>2814</v>
      </c>
      <c r="D791" s="46" t="s">
        <v>2804</v>
      </c>
      <c r="E791" s="47" t="s">
        <v>102</v>
      </c>
      <c r="F791" s="46" t="s">
        <v>102</v>
      </c>
      <c r="G791" s="47" t="s">
        <v>102</v>
      </c>
      <c r="H791" s="48">
        <v>0</v>
      </c>
      <c r="I791" s="48">
        <v>0</v>
      </c>
      <c r="J791" s="47" t="s">
        <v>2805</v>
      </c>
      <c r="K791" s="49">
        <v>1</v>
      </c>
      <c r="L791" s="49" t="s">
        <v>2614</v>
      </c>
      <c r="M791" s="46" t="s">
        <v>117</v>
      </c>
      <c r="N791" s="50">
        <v>0</v>
      </c>
      <c r="O791" s="50">
        <v>0</v>
      </c>
      <c r="P791" s="50">
        <v>0</v>
      </c>
      <c r="Q791" s="46" t="s">
        <v>102</v>
      </c>
      <c r="R791" s="46" t="s">
        <v>102</v>
      </c>
      <c r="S791" s="46" t="s">
        <v>102</v>
      </c>
      <c r="T791" s="46" t="s">
        <v>2815</v>
      </c>
      <c r="U791" s="51">
        <v>4</v>
      </c>
    </row>
    <row r="792" spans="2:21" ht="14.5" outlineLevel="2">
      <c r="B792" s="36" t="s">
        <v>2816</v>
      </c>
      <c r="C792" s="37" t="s">
        <v>2817</v>
      </c>
      <c r="D792" s="38" t="s">
        <v>102</v>
      </c>
      <c r="E792" s="39" t="s">
        <v>102</v>
      </c>
      <c r="F792" s="38" t="s">
        <v>102</v>
      </c>
      <c r="G792" s="39" t="s">
        <v>102</v>
      </c>
      <c r="H792" s="40">
        <v>0</v>
      </c>
      <c r="I792" s="40">
        <v>0</v>
      </c>
      <c r="J792" s="39" t="s">
        <v>102</v>
      </c>
      <c r="K792" s="41">
        <v>0</v>
      </c>
      <c r="L792" s="41" t="s">
        <v>102</v>
      </c>
      <c r="M792" s="38" t="s">
        <v>102</v>
      </c>
      <c r="N792" s="42">
        <v>0</v>
      </c>
      <c r="O792" s="42">
        <v>0</v>
      </c>
      <c r="P792" s="42">
        <v>0</v>
      </c>
      <c r="Q792" s="38" t="s">
        <v>102</v>
      </c>
      <c r="R792" s="38" t="s">
        <v>102</v>
      </c>
      <c r="S792" s="38" t="s">
        <v>2818</v>
      </c>
      <c r="T792" s="38" t="s">
        <v>102</v>
      </c>
      <c r="U792" s="43">
        <v>3</v>
      </c>
    </row>
    <row r="793" spans="2:21" ht="14.5" outlineLevel="3">
      <c r="B793" s="44" t="s">
        <v>2819</v>
      </c>
      <c r="C793" s="45" t="s">
        <v>2820</v>
      </c>
      <c r="D793" s="46" t="s">
        <v>2804</v>
      </c>
      <c r="E793" s="47" t="s">
        <v>102</v>
      </c>
      <c r="F793" s="46" t="s">
        <v>102</v>
      </c>
      <c r="G793" s="47" t="s">
        <v>102</v>
      </c>
      <c r="H793" s="48">
        <v>0</v>
      </c>
      <c r="I793" s="48">
        <v>0</v>
      </c>
      <c r="J793" s="47" t="s">
        <v>2805</v>
      </c>
      <c r="K793" s="49">
        <v>1</v>
      </c>
      <c r="L793" s="49" t="s">
        <v>2614</v>
      </c>
      <c r="M793" s="46" t="s">
        <v>117</v>
      </c>
      <c r="N793" s="50">
        <v>0</v>
      </c>
      <c r="O793" s="50">
        <v>0</v>
      </c>
      <c r="P793" s="50">
        <v>0</v>
      </c>
      <c r="Q793" s="46" t="s">
        <v>102</v>
      </c>
      <c r="R793" s="46" t="s">
        <v>102</v>
      </c>
      <c r="S793" s="46" t="s">
        <v>102</v>
      </c>
      <c r="T793" s="46" t="s">
        <v>1019</v>
      </c>
      <c r="U793" s="51">
        <v>4</v>
      </c>
    </row>
    <row r="794" spans="2:21" ht="14.5" outlineLevel="3">
      <c r="B794" s="44" t="s">
        <v>2821</v>
      </c>
      <c r="C794" s="45" t="s">
        <v>2822</v>
      </c>
      <c r="D794" s="46" t="s">
        <v>2804</v>
      </c>
      <c r="E794" s="47" t="s">
        <v>102</v>
      </c>
      <c r="F794" s="46" t="s">
        <v>102</v>
      </c>
      <c r="G794" s="47" t="s">
        <v>102</v>
      </c>
      <c r="H794" s="48">
        <v>0</v>
      </c>
      <c r="I794" s="48">
        <v>0</v>
      </c>
      <c r="J794" s="47" t="s">
        <v>2805</v>
      </c>
      <c r="K794" s="49">
        <v>1</v>
      </c>
      <c r="L794" s="49" t="s">
        <v>2614</v>
      </c>
      <c r="M794" s="46" t="s">
        <v>117</v>
      </c>
      <c r="N794" s="50">
        <v>0</v>
      </c>
      <c r="O794" s="50">
        <v>0</v>
      </c>
      <c r="P794" s="50">
        <v>0</v>
      </c>
      <c r="Q794" s="46" t="s">
        <v>102</v>
      </c>
      <c r="R794" s="46" t="s">
        <v>102</v>
      </c>
      <c r="S794" s="46" t="s">
        <v>102</v>
      </c>
      <c r="T794" s="46" t="s">
        <v>2815</v>
      </c>
      <c r="U794" s="51">
        <v>4</v>
      </c>
    </row>
    <row r="795" spans="2:21" ht="14.5" outlineLevel="3">
      <c r="B795" s="44" t="s">
        <v>2823</v>
      </c>
      <c r="C795" s="45" t="s">
        <v>2824</v>
      </c>
      <c r="D795" s="46" t="s">
        <v>2804</v>
      </c>
      <c r="E795" s="47" t="s">
        <v>102</v>
      </c>
      <c r="F795" s="46" t="s">
        <v>102</v>
      </c>
      <c r="G795" s="47" t="s">
        <v>102</v>
      </c>
      <c r="H795" s="48">
        <v>0</v>
      </c>
      <c r="I795" s="48">
        <v>0</v>
      </c>
      <c r="J795" s="47" t="s">
        <v>2805</v>
      </c>
      <c r="K795" s="49">
        <v>1</v>
      </c>
      <c r="L795" s="49" t="s">
        <v>2614</v>
      </c>
      <c r="M795" s="46" t="s">
        <v>117</v>
      </c>
      <c r="N795" s="50">
        <v>0</v>
      </c>
      <c r="O795" s="50">
        <v>0</v>
      </c>
      <c r="P795" s="50">
        <v>0</v>
      </c>
      <c r="Q795" s="46" t="s">
        <v>102</v>
      </c>
      <c r="R795" s="46" t="s">
        <v>102</v>
      </c>
      <c r="S795" s="46" t="s">
        <v>102</v>
      </c>
      <c r="T795" s="46" t="s">
        <v>2825</v>
      </c>
      <c r="U795" s="51">
        <v>4</v>
      </c>
    </row>
    <row r="796" spans="2:21" ht="14.5" outlineLevel="3">
      <c r="B796" s="44" t="s">
        <v>2826</v>
      </c>
      <c r="C796" s="45" t="s">
        <v>2827</v>
      </c>
      <c r="D796" s="46" t="s">
        <v>2804</v>
      </c>
      <c r="E796" s="47" t="s">
        <v>102</v>
      </c>
      <c r="F796" s="46" t="s">
        <v>102</v>
      </c>
      <c r="G796" s="47" t="s">
        <v>102</v>
      </c>
      <c r="H796" s="48">
        <v>0</v>
      </c>
      <c r="I796" s="48">
        <v>0</v>
      </c>
      <c r="J796" s="47" t="s">
        <v>2805</v>
      </c>
      <c r="K796" s="49">
        <v>1</v>
      </c>
      <c r="L796" s="49" t="s">
        <v>2614</v>
      </c>
      <c r="M796" s="46" t="s">
        <v>117</v>
      </c>
      <c r="N796" s="50">
        <v>0</v>
      </c>
      <c r="O796" s="50">
        <v>0</v>
      </c>
      <c r="P796" s="50">
        <v>0</v>
      </c>
      <c r="Q796" s="46" t="s">
        <v>102</v>
      </c>
      <c r="R796" s="46" t="s">
        <v>102</v>
      </c>
      <c r="S796" s="46" t="s">
        <v>102</v>
      </c>
      <c r="T796" s="46" t="s">
        <v>2828</v>
      </c>
      <c r="U796" s="51">
        <v>4</v>
      </c>
    </row>
    <row r="797" spans="2:21" ht="14.5" outlineLevel="3">
      <c r="B797" s="44" t="s">
        <v>2829</v>
      </c>
      <c r="C797" s="45" t="s">
        <v>2830</v>
      </c>
      <c r="D797" s="46" t="s">
        <v>2804</v>
      </c>
      <c r="E797" s="47" t="s">
        <v>102</v>
      </c>
      <c r="F797" s="46" t="s">
        <v>102</v>
      </c>
      <c r="G797" s="47" t="s">
        <v>102</v>
      </c>
      <c r="H797" s="48">
        <v>0</v>
      </c>
      <c r="I797" s="48">
        <v>0</v>
      </c>
      <c r="J797" s="47" t="s">
        <v>2805</v>
      </c>
      <c r="K797" s="49">
        <v>1</v>
      </c>
      <c r="L797" s="49" t="s">
        <v>2614</v>
      </c>
      <c r="M797" s="46" t="s">
        <v>117</v>
      </c>
      <c r="N797" s="50">
        <v>0</v>
      </c>
      <c r="O797" s="50">
        <v>0</v>
      </c>
      <c r="P797" s="50">
        <v>0</v>
      </c>
      <c r="Q797" s="46" t="s">
        <v>102</v>
      </c>
      <c r="R797" s="46" t="s">
        <v>102</v>
      </c>
      <c r="S797" s="46" t="s">
        <v>102</v>
      </c>
      <c r="T797" s="46" t="s">
        <v>2831</v>
      </c>
      <c r="U797" s="51">
        <v>4</v>
      </c>
    </row>
    <row r="798" spans="2:21" ht="14.5" outlineLevel="3">
      <c r="B798" s="44" t="s">
        <v>2832</v>
      </c>
      <c r="C798" s="45" t="s">
        <v>2833</v>
      </c>
      <c r="D798" s="46" t="s">
        <v>2804</v>
      </c>
      <c r="E798" s="47" t="s">
        <v>102</v>
      </c>
      <c r="F798" s="46" t="s">
        <v>102</v>
      </c>
      <c r="G798" s="47" t="s">
        <v>102</v>
      </c>
      <c r="H798" s="48">
        <v>0</v>
      </c>
      <c r="I798" s="48">
        <v>0</v>
      </c>
      <c r="J798" s="47" t="s">
        <v>2805</v>
      </c>
      <c r="K798" s="49">
        <v>1</v>
      </c>
      <c r="L798" s="49" t="s">
        <v>2614</v>
      </c>
      <c r="M798" s="46" t="s">
        <v>117</v>
      </c>
      <c r="N798" s="50">
        <v>0</v>
      </c>
      <c r="O798" s="50">
        <v>0</v>
      </c>
      <c r="P798" s="50">
        <v>0</v>
      </c>
      <c r="Q798" s="46" t="s">
        <v>102</v>
      </c>
      <c r="R798" s="46" t="s">
        <v>102</v>
      </c>
      <c r="S798" s="46" t="s">
        <v>102</v>
      </c>
      <c r="T798" s="46" t="s">
        <v>527</v>
      </c>
      <c r="U798" s="51">
        <v>4</v>
      </c>
    </row>
    <row r="799" spans="2:21" ht="14.5" outlineLevel="3">
      <c r="B799" s="44" t="s">
        <v>2834</v>
      </c>
      <c r="C799" s="45" t="s">
        <v>2835</v>
      </c>
      <c r="D799" s="46" t="s">
        <v>2804</v>
      </c>
      <c r="E799" s="47" t="s">
        <v>102</v>
      </c>
      <c r="F799" s="46" t="s">
        <v>102</v>
      </c>
      <c r="G799" s="47" t="s">
        <v>102</v>
      </c>
      <c r="H799" s="48">
        <v>0</v>
      </c>
      <c r="I799" s="48">
        <v>0</v>
      </c>
      <c r="J799" s="47" t="s">
        <v>102</v>
      </c>
      <c r="K799" s="49">
        <v>0</v>
      </c>
      <c r="L799" s="49" t="s">
        <v>116</v>
      </c>
      <c r="M799" s="46" t="s">
        <v>102</v>
      </c>
      <c r="N799" s="50">
        <v>0</v>
      </c>
      <c r="O799" s="50">
        <v>0</v>
      </c>
      <c r="P799" s="50">
        <v>0</v>
      </c>
      <c r="Q799" s="46" t="s">
        <v>102</v>
      </c>
      <c r="R799" s="46" t="s">
        <v>102</v>
      </c>
      <c r="S799" s="46" t="s">
        <v>102</v>
      </c>
      <c r="T799" s="46" t="s">
        <v>2666</v>
      </c>
      <c r="U799" s="51">
        <v>4</v>
      </c>
    </row>
    <row r="800" spans="2:21" ht="14.5" outlineLevel="2">
      <c r="B800" s="36" t="s">
        <v>5172</v>
      </c>
      <c r="C800" s="37" t="s">
        <v>5173</v>
      </c>
      <c r="D800" s="38" t="s">
        <v>2804</v>
      </c>
      <c r="E800" s="39" t="s">
        <v>102</v>
      </c>
      <c r="F800" s="38" t="s">
        <v>102</v>
      </c>
      <c r="G800" s="39" t="s">
        <v>102</v>
      </c>
      <c r="H800" s="40">
        <v>0</v>
      </c>
      <c r="I800" s="40">
        <v>0</v>
      </c>
      <c r="J800" s="39" t="s">
        <v>102</v>
      </c>
      <c r="K800" s="41">
        <v>0</v>
      </c>
      <c r="L800" s="41" t="s">
        <v>116</v>
      </c>
      <c r="M800" s="38" t="s">
        <v>102</v>
      </c>
      <c r="N800" s="42">
        <v>0</v>
      </c>
      <c r="O800" s="42">
        <v>0</v>
      </c>
      <c r="P800" s="42">
        <v>0</v>
      </c>
      <c r="Q800" s="38" t="s">
        <v>102</v>
      </c>
      <c r="R800" s="38" t="s">
        <v>102</v>
      </c>
      <c r="S800" s="38" t="s">
        <v>102</v>
      </c>
      <c r="T800" s="38" t="s">
        <v>2854</v>
      </c>
      <c r="U800" s="43">
        <v>4</v>
      </c>
    </row>
    <row r="801" spans="2:21" ht="14.5" outlineLevel="3">
      <c r="B801" s="44" t="s">
        <v>2836</v>
      </c>
      <c r="C801" s="45" t="s">
        <v>2837</v>
      </c>
      <c r="D801" s="46" t="s">
        <v>102</v>
      </c>
      <c r="E801" s="47" t="s">
        <v>102</v>
      </c>
      <c r="F801" s="46" t="s">
        <v>102</v>
      </c>
      <c r="G801" s="47" t="s">
        <v>102</v>
      </c>
      <c r="H801" s="48">
        <v>0</v>
      </c>
      <c r="I801" s="48">
        <v>0</v>
      </c>
      <c r="J801" s="47" t="s">
        <v>102</v>
      </c>
      <c r="K801" s="49">
        <v>0</v>
      </c>
      <c r="L801" s="49" t="s">
        <v>102</v>
      </c>
      <c r="M801" s="46" t="s">
        <v>102</v>
      </c>
      <c r="N801" s="50">
        <v>0</v>
      </c>
      <c r="O801" s="50">
        <v>0</v>
      </c>
      <c r="P801" s="50">
        <v>0</v>
      </c>
      <c r="Q801" s="46" t="s">
        <v>102</v>
      </c>
      <c r="R801" s="46" t="s">
        <v>102</v>
      </c>
      <c r="S801" s="46" t="s">
        <v>2838</v>
      </c>
      <c r="T801" s="46" t="s">
        <v>102</v>
      </c>
      <c r="U801" s="51">
        <v>3</v>
      </c>
    </row>
    <row r="802" spans="2:21" ht="14.5" outlineLevel="3">
      <c r="B802" s="44" t="s">
        <v>2839</v>
      </c>
      <c r="C802" s="45" t="s">
        <v>2840</v>
      </c>
      <c r="D802" s="46" t="s">
        <v>2804</v>
      </c>
      <c r="E802" s="47" t="s">
        <v>102</v>
      </c>
      <c r="F802" s="46" t="s">
        <v>102</v>
      </c>
      <c r="G802" s="47" t="s">
        <v>102</v>
      </c>
      <c r="H802" s="48">
        <v>0</v>
      </c>
      <c r="I802" s="48">
        <v>0</v>
      </c>
      <c r="J802" s="47" t="s">
        <v>2805</v>
      </c>
      <c r="K802" s="49">
        <v>1</v>
      </c>
      <c r="L802" s="49" t="s">
        <v>2614</v>
      </c>
      <c r="M802" s="46" t="s">
        <v>117</v>
      </c>
      <c r="N802" s="50">
        <v>0</v>
      </c>
      <c r="O802" s="50">
        <v>0</v>
      </c>
      <c r="P802" s="50">
        <v>0</v>
      </c>
      <c r="Q802" s="46" t="s">
        <v>102</v>
      </c>
      <c r="R802" s="46" t="s">
        <v>102</v>
      </c>
      <c r="S802" s="46" t="s">
        <v>102</v>
      </c>
      <c r="T802" s="46" t="s">
        <v>1019</v>
      </c>
      <c r="U802" s="51">
        <v>4</v>
      </c>
    </row>
    <row r="803" spans="2:21" ht="14.5" outlineLevel="3">
      <c r="B803" s="44" t="s">
        <v>2841</v>
      </c>
      <c r="C803" s="45" t="s">
        <v>2842</v>
      </c>
      <c r="D803" s="46" t="s">
        <v>2804</v>
      </c>
      <c r="E803" s="47" t="s">
        <v>102</v>
      </c>
      <c r="F803" s="46" t="s">
        <v>102</v>
      </c>
      <c r="G803" s="47" t="s">
        <v>102</v>
      </c>
      <c r="H803" s="48">
        <v>0</v>
      </c>
      <c r="I803" s="48">
        <v>0</v>
      </c>
      <c r="J803" s="47" t="s">
        <v>2805</v>
      </c>
      <c r="K803" s="49">
        <v>1</v>
      </c>
      <c r="L803" s="49" t="s">
        <v>2614</v>
      </c>
      <c r="M803" s="46" t="s">
        <v>117</v>
      </c>
      <c r="N803" s="50">
        <v>0</v>
      </c>
      <c r="O803" s="50">
        <v>0</v>
      </c>
      <c r="P803" s="50">
        <v>0</v>
      </c>
      <c r="Q803" s="46" t="s">
        <v>102</v>
      </c>
      <c r="R803" s="46" t="s">
        <v>102</v>
      </c>
      <c r="S803" s="46" t="s">
        <v>102</v>
      </c>
      <c r="T803" s="46" t="s">
        <v>2815</v>
      </c>
      <c r="U803" s="51">
        <v>4</v>
      </c>
    </row>
    <row r="804" spans="2:21" ht="14.5" outlineLevel="2">
      <c r="B804" s="36" t="s">
        <v>2843</v>
      </c>
      <c r="C804" s="37" t="s">
        <v>2844</v>
      </c>
      <c r="D804" s="38" t="s">
        <v>2804</v>
      </c>
      <c r="E804" s="39" t="s">
        <v>102</v>
      </c>
      <c r="F804" s="38" t="s">
        <v>102</v>
      </c>
      <c r="G804" s="39" t="s">
        <v>102</v>
      </c>
      <c r="H804" s="40">
        <v>0</v>
      </c>
      <c r="I804" s="40">
        <v>0</v>
      </c>
      <c r="J804" s="39" t="s">
        <v>2805</v>
      </c>
      <c r="K804" s="41">
        <v>1</v>
      </c>
      <c r="L804" s="41" t="s">
        <v>2614</v>
      </c>
      <c r="M804" s="38" t="s">
        <v>117</v>
      </c>
      <c r="N804" s="42">
        <v>0</v>
      </c>
      <c r="O804" s="42">
        <v>0</v>
      </c>
      <c r="P804" s="42">
        <v>0</v>
      </c>
      <c r="Q804" s="38" t="s">
        <v>102</v>
      </c>
      <c r="R804" s="38" t="s">
        <v>102</v>
      </c>
      <c r="S804" s="38" t="s">
        <v>102</v>
      </c>
      <c r="T804" s="38" t="s">
        <v>461</v>
      </c>
      <c r="U804" s="43">
        <v>4</v>
      </c>
    </row>
    <row r="805" spans="2:21" ht="14.5" outlineLevel="3">
      <c r="B805" s="44" t="s">
        <v>5174</v>
      </c>
      <c r="C805" s="45" t="s">
        <v>2837</v>
      </c>
      <c r="D805" s="46" t="s">
        <v>2804</v>
      </c>
      <c r="E805" s="47" t="s">
        <v>102</v>
      </c>
      <c r="F805" s="46" t="s">
        <v>102</v>
      </c>
      <c r="G805" s="47" t="s">
        <v>102</v>
      </c>
      <c r="H805" s="48">
        <v>0</v>
      </c>
      <c r="I805" s="48">
        <v>0</v>
      </c>
      <c r="J805" s="47" t="s">
        <v>102</v>
      </c>
      <c r="K805" s="49">
        <v>0</v>
      </c>
      <c r="L805" s="49" t="s">
        <v>116</v>
      </c>
      <c r="M805" s="46" t="s">
        <v>102</v>
      </c>
      <c r="N805" s="50">
        <v>0</v>
      </c>
      <c r="O805" s="50">
        <v>0</v>
      </c>
      <c r="P805" s="50">
        <v>0</v>
      </c>
      <c r="Q805" s="46" t="s">
        <v>102</v>
      </c>
      <c r="R805" s="46" t="s">
        <v>102</v>
      </c>
      <c r="S805" s="46" t="s">
        <v>102</v>
      </c>
      <c r="T805" s="46" t="s">
        <v>2854</v>
      </c>
      <c r="U805" s="51">
        <v>4</v>
      </c>
    </row>
    <row r="806" spans="2:21" ht="14.5" outlineLevel="3">
      <c r="B806" s="44" t="s">
        <v>2845</v>
      </c>
      <c r="C806" s="45" t="s">
        <v>2846</v>
      </c>
      <c r="D806" s="46" t="s">
        <v>102</v>
      </c>
      <c r="E806" s="47" t="s">
        <v>102</v>
      </c>
      <c r="F806" s="46" t="s">
        <v>102</v>
      </c>
      <c r="G806" s="47" t="s">
        <v>102</v>
      </c>
      <c r="H806" s="48">
        <v>0</v>
      </c>
      <c r="I806" s="48">
        <v>0</v>
      </c>
      <c r="J806" s="47" t="s">
        <v>102</v>
      </c>
      <c r="K806" s="49">
        <v>0</v>
      </c>
      <c r="L806" s="49" t="s">
        <v>102</v>
      </c>
      <c r="M806" s="46" t="s">
        <v>102</v>
      </c>
      <c r="N806" s="50">
        <v>0</v>
      </c>
      <c r="O806" s="50">
        <v>0</v>
      </c>
      <c r="P806" s="50">
        <v>0</v>
      </c>
      <c r="Q806" s="46" t="s">
        <v>102</v>
      </c>
      <c r="R806" s="46" t="s">
        <v>102</v>
      </c>
      <c r="S806" s="46" t="s">
        <v>2847</v>
      </c>
      <c r="T806" s="46" t="s">
        <v>102</v>
      </c>
      <c r="U806" s="51">
        <v>3</v>
      </c>
    </row>
    <row r="807" spans="2:21" ht="14.5" outlineLevel="3">
      <c r="B807" s="44" t="s">
        <v>2848</v>
      </c>
      <c r="C807" s="45" t="s">
        <v>2849</v>
      </c>
      <c r="D807" s="46" t="s">
        <v>2804</v>
      </c>
      <c r="E807" s="47" t="s">
        <v>102</v>
      </c>
      <c r="F807" s="46" t="s">
        <v>102</v>
      </c>
      <c r="G807" s="47" t="s">
        <v>102</v>
      </c>
      <c r="H807" s="48">
        <v>0</v>
      </c>
      <c r="I807" s="48">
        <v>0</v>
      </c>
      <c r="J807" s="47" t="s">
        <v>2805</v>
      </c>
      <c r="K807" s="49">
        <v>1</v>
      </c>
      <c r="L807" s="49" t="s">
        <v>2614</v>
      </c>
      <c r="M807" s="46" t="s">
        <v>117</v>
      </c>
      <c r="N807" s="50">
        <v>0</v>
      </c>
      <c r="O807" s="50">
        <v>0</v>
      </c>
      <c r="P807" s="50">
        <v>0</v>
      </c>
      <c r="Q807" s="46" t="s">
        <v>102</v>
      </c>
      <c r="R807" s="46" t="s">
        <v>102</v>
      </c>
      <c r="S807" s="46" t="s">
        <v>102</v>
      </c>
      <c r="T807" s="46" t="s">
        <v>1019</v>
      </c>
      <c r="U807" s="51">
        <v>4</v>
      </c>
    </row>
    <row r="808" spans="2:21" ht="14.5" outlineLevel="2">
      <c r="B808" s="36" t="s">
        <v>2850</v>
      </c>
      <c r="C808" s="37" t="s">
        <v>2851</v>
      </c>
      <c r="D808" s="38" t="s">
        <v>2804</v>
      </c>
      <c r="E808" s="39" t="s">
        <v>102</v>
      </c>
      <c r="F808" s="38" t="s">
        <v>102</v>
      </c>
      <c r="G808" s="39" t="s">
        <v>102</v>
      </c>
      <c r="H808" s="40">
        <v>0</v>
      </c>
      <c r="I808" s="40">
        <v>0</v>
      </c>
      <c r="J808" s="39" t="s">
        <v>2805</v>
      </c>
      <c r="K808" s="41">
        <v>1</v>
      </c>
      <c r="L808" s="41" t="s">
        <v>2614</v>
      </c>
      <c r="M808" s="38" t="s">
        <v>117</v>
      </c>
      <c r="N808" s="42">
        <v>0</v>
      </c>
      <c r="O808" s="42">
        <v>0</v>
      </c>
      <c r="P808" s="42">
        <v>0</v>
      </c>
      <c r="Q808" s="38" t="s">
        <v>102</v>
      </c>
      <c r="R808" s="38" t="s">
        <v>102</v>
      </c>
      <c r="S808" s="38" t="s">
        <v>102</v>
      </c>
      <c r="T808" s="38" t="s">
        <v>2815</v>
      </c>
      <c r="U808" s="43">
        <v>4</v>
      </c>
    </row>
    <row r="809" spans="2:21" ht="14.5" outlineLevel="3">
      <c r="B809" s="44" t="s">
        <v>2852</v>
      </c>
      <c r="C809" s="45" t="s">
        <v>2853</v>
      </c>
      <c r="D809" s="46" t="s">
        <v>2804</v>
      </c>
      <c r="E809" s="47" t="s">
        <v>102</v>
      </c>
      <c r="F809" s="46" t="s">
        <v>102</v>
      </c>
      <c r="G809" s="47" t="s">
        <v>102</v>
      </c>
      <c r="H809" s="48">
        <v>0</v>
      </c>
      <c r="I809" s="48">
        <v>0</v>
      </c>
      <c r="J809" s="47" t="s">
        <v>2805</v>
      </c>
      <c r="K809" s="49">
        <v>1</v>
      </c>
      <c r="L809" s="49" t="s">
        <v>2614</v>
      </c>
      <c r="M809" s="46" t="s">
        <v>117</v>
      </c>
      <c r="N809" s="50">
        <v>0</v>
      </c>
      <c r="O809" s="50">
        <v>0</v>
      </c>
      <c r="P809" s="50">
        <v>0</v>
      </c>
      <c r="Q809" s="46" t="s">
        <v>102</v>
      </c>
      <c r="R809" s="46" t="s">
        <v>102</v>
      </c>
      <c r="S809" s="46" t="s">
        <v>102</v>
      </c>
      <c r="T809" s="46" t="s">
        <v>2854</v>
      </c>
      <c r="U809" s="51">
        <v>4</v>
      </c>
    </row>
    <row r="810" spans="2:21" ht="14.5" outlineLevel="3">
      <c r="B810" s="44" t="s">
        <v>2855</v>
      </c>
      <c r="C810" s="45" t="s">
        <v>2856</v>
      </c>
      <c r="D810" s="46" t="s">
        <v>102</v>
      </c>
      <c r="E810" s="47" t="s">
        <v>102</v>
      </c>
      <c r="F810" s="46" t="s">
        <v>102</v>
      </c>
      <c r="G810" s="47" t="s">
        <v>102</v>
      </c>
      <c r="H810" s="48">
        <v>0</v>
      </c>
      <c r="I810" s="48">
        <v>0</v>
      </c>
      <c r="J810" s="47" t="s">
        <v>102</v>
      </c>
      <c r="K810" s="49">
        <v>0</v>
      </c>
      <c r="L810" s="49" t="s">
        <v>102</v>
      </c>
      <c r="M810" s="46" t="s">
        <v>102</v>
      </c>
      <c r="N810" s="50">
        <v>0</v>
      </c>
      <c r="O810" s="50">
        <v>0</v>
      </c>
      <c r="P810" s="50">
        <v>0</v>
      </c>
      <c r="Q810" s="46" t="s">
        <v>102</v>
      </c>
      <c r="R810" s="46" t="s">
        <v>102</v>
      </c>
      <c r="S810" s="46" t="s">
        <v>2857</v>
      </c>
      <c r="T810" s="46" t="s">
        <v>102</v>
      </c>
      <c r="U810" s="51">
        <v>3</v>
      </c>
    </row>
    <row r="811" spans="2:21" ht="14.5" outlineLevel="2">
      <c r="B811" s="36" t="s">
        <v>2858</v>
      </c>
      <c r="C811" s="37" t="s">
        <v>2859</v>
      </c>
      <c r="D811" s="38" t="s">
        <v>2804</v>
      </c>
      <c r="E811" s="39" t="s">
        <v>102</v>
      </c>
      <c r="F811" s="38" t="s">
        <v>102</v>
      </c>
      <c r="G811" s="39" t="s">
        <v>102</v>
      </c>
      <c r="H811" s="40">
        <v>0</v>
      </c>
      <c r="I811" s="40">
        <v>0</v>
      </c>
      <c r="J811" s="39" t="s">
        <v>2805</v>
      </c>
      <c r="K811" s="41">
        <v>1</v>
      </c>
      <c r="L811" s="41" t="s">
        <v>2614</v>
      </c>
      <c r="M811" s="38" t="s">
        <v>117</v>
      </c>
      <c r="N811" s="42">
        <v>0</v>
      </c>
      <c r="O811" s="42">
        <v>0</v>
      </c>
      <c r="P811" s="42">
        <v>0</v>
      </c>
      <c r="Q811" s="38" t="s">
        <v>102</v>
      </c>
      <c r="R811" s="38" t="s">
        <v>102</v>
      </c>
      <c r="S811" s="38" t="s">
        <v>102</v>
      </c>
      <c r="T811" s="38" t="s">
        <v>1019</v>
      </c>
      <c r="U811" s="43">
        <v>4</v>
      </c>
    </row>
    <row r="812" spans="2:21" ht="14.5" outlineLevel="3">
      <c r="B812" s="44" t="s">
        <v>2860</v>
      </c>
      <c r="C812" s="45" t="s">
        <v>2861</v>
      </c>
      <c r="D812" s="46" t="s">
        <v>2804</v>
      </c>
      <c r="E812" s="47" t="s">
        <v>102</v>
      </c>
      <c r="F812" s="46" t="s">
        <v>102</v>
      </c>
      <c r="G812" s="47" t="s">
        <v>102</v>
      </c>
      <c r="H812" s="48">
        <v>0</v>
      </c>
      <c r="I812" s="48">
        <v>0</v>
      </c>
      <c r="J812" s="47" t="s">
        <v>2805</v>
      </c>
      <c r="K812" s="49">
        <v>1</v>
      </c>
      <c r="L812" s="49" t="s">
        <v>2614</v>
      </c>
      <c r="M812" s="46" t="s">
        <v>117</v>
      </c>
      <c r="N812" s="50">
        <v>0</v>
      </c>
      <c r="O812" s="50">
        <v>0</v>
      </c>
      <c r="P812" s="50">
        <v>0</v>
      </c>
      <c r="Q812" s="46" t="s">
        <v>102</v>
      </c>
      <c r="R812" s="46" t="s">
        <v>102</v>
      </c>
      <c r="S812" s="46" t="s">
        <v>102</v>
      </c>
      <c r="T812" s="46" t="s">
        <v>2815</v>
      </c>
      <c r="U812" s="51">
        <v>4</v>
      </c>
    </row>
    <row r="813" spans="2:21" ht="14.5" outlineLevel="2">
      <c r="B813" s="36" t="s">
        <v>5175</v>
      </c>
      <c r="C813" s="37" t="s">
        <v>5176</v>
      </c>
      <c r="D813" s="38" t="s">
        <v>2804</v>
      </c>
      <c r="E813" s="39" t="s">
        <v>102</v>
      </c>
      <c r="F813" s="38" t="s">
        <v>102</v>
      </c>
      <c r="G813" s="39" t="s">
        <v>102</v>
      </c>
      <c r="H813" s="40">
        <v>0</v>
      </c>
      <c r="I813" s="40">
        <v>0</v>
      </c>
      <c r="J813" s="39" t="s">
        <v>102</v>
      </c>
      <c r="K813" s="41">
        <v>0</v>
      </c>
      <c r="L813" s="41" t="s">
        <v>116</v>
      </c>
      <c r="M813" s="38" t="s">
        <v>102</v>
      </c>
      <c r="N813" s="42">
        <v>0</v>
      </c>
      <c r="O813" s="42">
        <v>0</v>
      </c>
      <c r="P813" s="42">
        <v>0</v>
      </c>
      <c r="Q813" s="38" t="s">
        <v>102</v>
      </c>
      <c r="R813" s="38" t="s">
        <v>102</v>
      </c>
      <c r="S813" s="38" t="s">
        <v>102</v>
      </c>
      <c r="T813" s="38" t="s">
        <v>2854</v>
      </c>
      <c r="U813" s="43">
        <v>4</v>
      </c>
    </row>
    <row r="814" spans="2:21" ht="14.5" outlineLevel="3">
      <c r="B814" s="44" t="s">
        <v>2862</v>
      </c>
      <c r="C814" s="45" t="s">
        <v>2863</v>
      </c>
      <c r="D814" s="46" t="s">
        <v>102</v>
      </c>
      <c r="E814" s="47" t="s">
        <v>102</v>
      </c>
      <c r="F814" s="46" t="s">
        <v>102</v>
      </c>
      <c r="G814" s="47" t="s">
        <v>102</v>
      </c>
      <c r="H814" s="48">
        <v>0</v>
      </c>
      <c r="I814" s="48">
        <v>0</v>
      </c>
      <c r="J814" s="47" t="s">
        <v>102</v>
      </c>
      <c r="K814" s="49">
        <v>0</v>
      </c>
      <c r="L814" s="49" t="s">
        <v>102</v>
      </c>
      <c r="M814" s="46" t="s">
        <v>102</v>
      </c>
      <c r="N814" s="50">
        <v>0</v>
      </c>
      <c r="O814" s="50">
        <v>0</v>
      </c>
      <c r="P814" s="50">
        <v>0</v>
      </c>
      <c r="Q814" s="46" t="s">
        <v>102</v>
      </c>
      <c r="R814" s="46" t="s">
        <v>102</v>
      </c>
      <c r="S814" s="46" t="s">
        <v>2864</v>
      </c>
      <c r="T814" s="46" t="s">
        <v>102</v>
      </c>
      <c r="U814" s="51">
        <v>3</v>
      </c>
    </row>
    <row r="815" spans="2:21" ht="14.5" outlineLevel="2">
      <c r="B815" s="36" t="s">
        <v>2865</v>
      </c>
      <c r="C815" s="37" t="s">
        <v>2866</v>
      </c>
      <c r="D815" s="38" t="s">
        <v>2804</v>
      </c>
      <c r="E815" s="39" t="s">
        <v>102</v>
      </c>
      <c r="F815" s="38" t="s">
        <v>102</v>
      </c>
      <c r="G815" s="39" t="s">
        <v>102</v>
      </c>
      <c r="H815" s="40">
        <v>0</v>
      </c>
      <c r="I815" s="40">
        <v>0</v>
      </c>
      <c r="J815" s="39" t="s">
        <v>2805</v>
      </c>
      <c r="K815" s="41">
        <v>1</v>
      </c>
      <c r="L815" s="41" t="s">
        <v>2614</v>
      </c>
      <c r="M815" s="38" t="s">
        <v>117</v>
      </c>
      <c r="N815" s="42">
        <v>0</v>
      </c>
      <c r="O815" s="42">
        <v>0</v>
      </c>
      <c r="P815" s="42">
        <v>0</v>
      </c>
      <c r="Q815" s="38" t="s">
        <v>102</v>
      </c>
      <c r="R815" s="38" t="s">
        <v>102</v>
      </c>
      <c r="S815" s="38" t="s">
        <v>102</v>
      </c>
      <c r="T815" s="38" t="s">
        <v>1019</v>
      </c>
      <c r="U815" s="43">
        <v>4</v>
      </c>
    </row>
    <row r="816" spans="2:21" ht="14.5" outlineLevel="2">
      <c r="B816" s="36" t="s">
        <v>2867</v>
      </c>
      <c r="C816" s="37" t="s">
        <v>2868</v>
      </c>
      <c r="D816" s="38" t="s">
        <v>102</v>
      </c>
      <c r="E816" s="39" t="s">
        <v>102</v>
      </c>
      <c r="F816" s="38" t="s">
        <v>102</v>
      </c>
      <c r="G816" s="39" t="s">
        <v>102</v>
      </c>
      <c r="H816" s="40">
        <v>0</v>
      </c>
      <c r="I816" s="40">
        <v>0</v>
      </c>
      <c r="J816" s="39" t="s">
        <v>102</v>
      </c>
      <c r="K816" s="41">
        <v>0</v>
      </c>
      <c r="L816" s="41" t="s">
        <v>102</v>
      </c>
      <c r="M816" s="38" t="s">
        <v>102</v>
      </c>
      <c r="N816" s="42">
        <v>0</v>
      </c>
      <c r="O816" s="42">
        <v>0</v>
      </c>
      <c r="P816" s="42">
        <v>0</v>
      </c>
      <c r="Q816" s="38" t="s">
        <v>102</v>
      </c>
      <c r="R816" s="38" t="s">
        <v>102</v>
      </c>
      <c r="S816" s="38" t="s">
        <v>2869</v>
      </c>
      <c r="T816" s="38" t="s">
        <v>102</v>
      </c>
      <c r="U816" s="43">
        <v>3</v>
      </c>
    </row>
    <row r="817" spans="2:21" ht="14.5" outlineLevel="3">
      <c r="B817" s="44" t="s">
        <v>2870</v>
      </c>
      <c r="C817" s="45" t="s">
        <v>2871</v>
      </c>
      <c r="D817" s="46" t="s">
        <v>2804</v>
      </c>
      <c r="E817" s="47" t="s">
        <v>102</v>
      </c>
      <c r="F817" s="46" t="s">
        <v>102</v>
      </c>
      <c r="G817" s="47" t="s">
        <v>102</v>
      </c>
      <c r="H817" s="48">
        <v>0</v>
      </c>
      <c r="I817" s="48">
        <v>0</v>
      </c>
      <c r="J817" s="47" t="s">
        <v>2805</v>
      </c>
      <c r="K817" s="49">
        <v>1</v>
      </c>
      <c r="L817" s="49" t="s">
        <v>2614</v>
      </c>
      <c r="M817" s="46" t="s">
        <v>117</v>
      </c>
      <c r="N817" s="50">
        <v>0</v>
      </c>
      <c r="O817" s="50">
        <v>0</v>
      </c>
      <c r="P817" s="50">
        <v>0</v>
      </c>
      <c r="Q817" s="46" t="s">
        <v>102</v>
      </c>
      <c r="R817" s="46" t="s">
        <v>102</v>
      </c>
      <c r="S817" s="46" t="s">
        <v>102</v>
      </c>
      <c r="T817" s="46" t="s">
        <v>1019</v>
      </c>
      <c r="U817" s="51">
        <v>4</v>
      </c>
    </row>
    <row r="818" spans="2:21" ht="14.5" outlineLevel="2">
      <c r="B818" s="36" t="s">
        <v>2872</v>
      </c>
      <c r="C818" s="37" t="s">
        <v>2873</v>
      </c>
      <c r="D818" s="38" t="s">
        <v>102</v>
      </c>
      <c r="E818" s="39" t="s">
        <v>102</v>
      </c>
      <c r="F818" s="38" t="s">
        <v>102</v>
      </c>
      <c r="G818" s="39" t="s">
        <v>102</v>
      </c>
      <c r="H818" s="40">
        <v>0</v>
      </c>
      <c r="I818" s="40">
        <v>0</v>
      </c>
      <c r="J818" s="39" t="s">
        <v>102</v>
      </c>
      <c r="K818" s="41">
        <v>0</v>
      </c>
      <c r="L818" s="41" t="s">
        <v>102</v>
      </c>
      <c r="M818" s="38" t="s">
        <v>102</v>
      </c>
      <c r="N818" s="42">
        <v>0</v>
      </c>
      <c r="O818" s="42">
        <v>0</v>
      </c>
      <c r="P818" s="42">
        <v>0</v>
      </c>
      <c r="Q818" s="38" t="s">
        <v>102</v>
      </c>
      <c r="R818" s="38" t="s">
        <v>102</v>
      </c>
      <c r="S818" s="38" t="s">
        <v>2874</v>
      </c>
      <c r="T818" s="38" t="s">
        <v>102</v>
      </c>
      <c r="U818" s="43">
        <v>3</v>
      </c>
    </row>
    <row r="819" spans="2:21" ht="14.5" outlineLevel="3">
      <c r="B819" s="44" t="s">
        <v>2875</v>
      </c>
      <c r="C819" s="45" t="s">
        <v>2876</v>
      </c>
      <c r="D819" s="46" t="s">
        <v>102</v>
      </c>
      <c r="E819" s="47" t="s">
        <v>102</v>
      </c>
      <c r="F819" s="46" t="s">
        <v>102</v>
      </c>
      <c r="G819" s="47" t="s">
        <v>102</v>
      </c>
      <c r="H819" s="48">
        <v>0</v>
      </c>
      <c r="I819" s="48">
        <v>0</v>
      </c>
      <c r="J819" s="47" t="s">
        <v>102</v>
      </c>
      <c r="K819" s="49">
        <v>0</v>
      </c>
      <c r="L819" s="49" t="s">
        <v>102</v>
      </c>
      <c r="M819" s="46" t="s">
        <v>102</v>
      </c>
      <c r="N819" s="50">
        <v>0</v>
      </c>
      <c r="O819" s="50">
        <v>0</v>
      </c>
      <c r="P819" s="50">
        <v>0</v>
      </c>
      <c r="Q819" s="46" t="s">
        <v>102</v>
      </c>
      <c r="R819" s="46" t="s">
        <v>102</v>
      </c>
      <c r="S819" s="46" t="s">
        <v>2877</v>
      </c>
      <c r="T819" s="46" t="s">
        <v>102</v>
      </c>
      <c r="U819" s="51">
        <v>3</v>
      </c>
    </row>
    <row r="820" spans="2:21" ht="14.5" outlineLevel="3">
      <c r="B820" s="44" t="s">
        <v>2878</v>
      </c>
      <c r="C820" s="45" t="s">
        <v>2879</v>
      </c>
      <c r="D820" s="46" t="s">
        <v>2804</v>
      </c>
      <c r="E820" s="47" t="s">
        <v>102</v>
      </c>
      <c r="F820" s="46" t="s">
        <v>102</v>
      </c>
      <c r="G820" s="47" t="s">
        <v>102</v>
      </c>
      <c r="H820" s="48">
        <v>0</v>
      </c>
      <c r="I820" s="48">
        <v>0</v>
      </c>
      <c r="J820" s="47" t="s">
        <v>2805</v>
      </c>
      <c r="K820" s="49">
        <v>1</v>
      </c>
      <c r="L820" s="49" t="s">
        <v>2614</v>
      </c>
      <c r="M820" s="46" t="s">
        <v>117</v>
      </c>
      <c r="N820" s="50">
        <v>0</v>
      </c>
      <c r="O820" s="50">
        <v>0</v>
      </c>
      <c r="P820" s="50">
        <v>0</v>
      </c>
      <c r="Q820" s="46" t="s">
        <v>102</v>
      </c>
      <c r="R820" s="46" t="s">
        <v>102</v>
      </c>
      <c r="S820" s="46" t="s">
        <v>102</v>
      </c>
      <c r="T820" s="46" t="s">
        <v>1019</v>
      </c>
      <c r="U820" s="51">
        <v>4</v>
      </c>
    </row>
    <row r="821" spans="2:21" ht="14.5" outlineLevel="2">
      <c r="B821" s="36" t="s">
        <v>2880</v>
      </c>
      <c r="C821" s="37" t="s">
        <v>2881</v>
      </c>
      <c r="D821" s="38" t="s">
        <v>102</v>
      </c>
      <c r="E821" s="39" t="s">
        <v>102</v>
      </c>
      <c r="F821" s="38" t="s">
        <v>102</v>
      </c>
      <c r="G821" s="39" t="s">
        <v>102</v>
      </c>
      <c r="H821" s="40">
        <v>0</v>
      </c>
      <c r="I821" s="40">
        <v>0</v>
      </c>
      <c r="J821" s="39" t="s">
        <v>102</v>
      </c>
      <c r="K821" s="41">
        <v>0</v>
      </c>
      <c r="L821" s="41" t="s">
        <v>102</v>
      </c>
      <c r="M821" s="38" t="s">
        <v>102</v>
      </c>
      <c r="N821" s="42">
        <v>0</v>
      </c>
      <c r="O821" s="42">
        <v>0</v>
      </c>
      <c r="P821" s="42">
        <v>0</v>
      </c>
      <c r="Q821" s="38" t="s">
        <v>102</v>
      </c>
      <c r="R821" s="38" t="s">
        <v>102</v>
      </c>
      <c r="S821" s="38" t="s">
        <v>2882</v>
      </c>
      <c r="T821" s="38" t="s">
        <v>102</v>
      </c>
      <c r="U821" s="43">
        <v>3</v>
      </c>
    </row>
    <row r="822" spans="2:21" ht="14.5" outlineLevel="3">
      <c r="B822" s="44" t="s">
        <v>2883</v>
      </c>
      <c r="C822" s="45" t="s">
        <v>2884</v>
      </c>
      <c r="D822" s="46" t="s">
        <v>2804</v>
      </c>
      <c r="E822" s="47" t="s">
        <v>102</v>
      </c>
      <c r="F822" s="46" t="s">
        <v>102</v>
      </c>
      <c r="G822" s="47" t="s">
        <v>102</v>
      </c>
      <c r="H822" s="48">
        <v>0</v>
      </c>
      <c r="I822" s="48">
        <v>0</v>
      </c>
      <c r="J822" s="47" t="s">
        <v>2805</v>
      </c>
      <c r="K822" s="49">
        <v>1</v>
      </c>
      <c r="L822" s="49" t="s">
        <v>2614</v>
      </c>
      <c r="M822" s="46" t="s">
        <v>117</v>
      </c>
      <c r="N822" s="50">
        <v>0</v>
      </c>
      <c r="O822" s="50">
        <v>0</v>
      </c>
      <c r="P822" s="50">
        <v>0</v>
      </c>
      <c r="Q822" s="46" t="s">
        <v>102</v>
      </c>
      <c r="R822" s="46" t="s">
        <v>102</v>
      </c>
      <c r="S822" s="46" t="s">
        <v>102</v>
      </c>
      <c r="T822" s="46" t="s">
        <v>1019</v>
      </c>
      <c r="U822" s="51">
        <v>4</v>
      </c>
    </row>
    <row r="823" spans="2:21" ht="14.5" outlineLevel="2">
      <c r="B823" s="36" t="s">
        <v>2885</v>
      </c>
      <c r="C823" s="37" t="s">
        <v>2886</v>
      </c>
      <c r="D823" s="38" t="s">
        <v>2804</v>
      </c>
      <c r="E823" s="39" t="s">
        <v>102</v>
      </c>
      <c r="F823" s="38" t="s">
        <v>102</v>
      </c>
      <c r="G823" s="39" t="s">
        <v>102</v>
      </c>
      <c r="H823" s="40">
        <v>0</v>
      </c>
      <c r="I823" s="40">
        <v>0</v>
      </c>
      <c r="J823" s="39" t="s">
        <v>2805</v>
      </c>
      <c r="K823" s="41">
        <v>1</v>
      </c>
      <c r="L823" s="41" t="s">
        <v>2614</v>
      </c>
      <c r="M823" s="38" t="s">
        <v>117</v>
      </c>
      <c r="N823" s="42">
        <v>0</v>
      </c>
      <c r="O823" s="42">
        <v>0</v>
      </c>
      <c r="P823" s="42">
        <v>0</v>
      </c>
      <c r="Q823" s="38" t="s">
        <v>102</v>
      </c>
      <c r="R823" s="38" t="s">
        <v>102</v>
      </c>
      <c r="S823" s="38" t="s">
        <v>102</v>
      </c>
      <c r="T823" s="38" t="s">
        <v>2743</v>
      </c>
      <c r="U823" s="43">
        <v>4</v>
      </c>
    </row>
    <row r="824" spans="2:21" ht="14.5" outlineLevel="3">
      <c r="B824" s="44" t="s">
        <v>2887</v>
      </c>
      <c r="C824" s="45" t="s">
        <v>2888</v>
      </c>
      <c r="D824" s="46" t="s">
        <v>102</v>
      </c>
      <c r="E824" s="47" t="s">
        <v>102</v>
      </c>
      <c r="F824" s="46" t="s">
        <v>102</v>
      </c>
      <c r="G824" s="47" t="s">
        <v>102</v>
      </c>
      <c r="H824" s="48">
        <v>0</v>
      </c>
      <c r="I824" s="48">
        <v>0</v>
      </c>
      <c r="J824" s="47" t="s">
        <v>102</v>
      </c>
      <c r="K824" s="49">
        <v>0</v>
      </c>
      <c r="L824" s="49" t="s">
        <v>102</v>
      </c>
      <c r="M824" s="46" t="s">
        <v>102</v>
      </c>
      <c r="N824" s="50">
        <v>0</v>
      </c>
      <c r="O824" s="50">
        <v>0</v>
      </c>
      <c r="P824" s="50">
        <v>0</v>
      </c>
      <c r="Q824" s="46" t="s">
        <v>102</v>
      </c>
      <c r="R824" s="46" t="s">
        <v>102</v>
      </c>
      <c r="S824" s="46" t="s">
        <v>2889</v>
      </c>
      <c r="T824" s="46" t="s">
        <v>102</v>
      </c>
      <c r="U824" s="51">
        <v>3</v>
      </c>
    </row>
    <row r="825" spans="2:21" ht="14.5" outlineLevel="3">
      <c r="B825" s="44" t="s">
        <v>2890</v>
      </c>
      <c r="C825" s="45" t="s">
        <v>2891</v>
      </c>
      <c r="D825" s="46" t="s">
        <v>2804</v>
      </c>
      <c r="E825" s="47" t="s">
        <v>102</v>
      </c>
      <c r="F825" s="46" t="s">
        <v>102</v>
      </c>
      <c r="G825" s="47" t="s">
        <v>102</v>
      </c>
      <c r="H825" s="48">
        <v>0</v>
      </c>
      <c r="I825" s="48">
        <v>0</v>
      </c>
      <c r="J825" s="47" t="s">
        <v>2805</v>
      </c>
      <c r="K825" s="49">
        <v>1</v>
      </c>
      <c r="L825" s="49" t="s">
        <v>2614</v>
      </c>
      <c r="M825" s="46" t="s">
        <v>117</v>
      </c>
      <c r="N825" s="50">
        <v>0</v>
      </c>
      <c r="O825" s="50">
        <v>0</v>
      </c>
      <c r="P825" s="50">
        <v>0</v>
      </c>
      <c r="Q825" s="46" t="s">
        <v>102</v>
      </c>
      <c r="R825" s="46" t="s">
        <v>102</v>
      </c>
      <c r="S825" s="46" t="s">
        <v>102</v>
      </c>
      <c r="T825" s="46" t="s">
        <v>1019</v>
      </c>
      <c r="U825" s="51">
        <v>4</v>
      </c>
    </row>
    <row r="826" spans="2:21" ht="14.5" outlineLevel="2">
      <c r="B826" s="36" t="s">
        <v>2892</v>
      </c>
      <c r="C826" s="37" t="s">
        <v>2893</v>
      </c>
      <c r="D826" s="38" t="s">
        <v>102</v>
      </c>
      <c r="E826" s="39" t="s">
        <v>102</v>
      </c>
      <c r="F826" s="38" t="s">
        <v>102</v>
      </c>
      <c r="G826" s="39" t="s">
        <v>102</v>
      </c>
      <c r="H826" s="40">
        <v>0</v>
      </c>
      <c r="I826" s="40">
        <v>0</v>
      </c>
      <c r="J826" s="39" t="s">
        <v>102</v>
      </c>
      <c r="K826" s="41">
        <v>0</v>
      </c>
      <c r="L826" s="41" t="s">
        <v>102</v>
      </c>
      <c r="M826" s="38" t="s">
        <v>102</v>
      </c>
      <c r="N826" s="42">
        <v>0</v>
      </c>
      <c r="O826" s="42">
        <v>0</v>
      </c>
      <c r="P826" s="42">
        <v>0</v>
      </c>
      <c r="Q826" s="38" t="s">
        <v>102</v>
      </c>
      <c r="R826" s="38" t="s">
        <v>102</v>
      </c>
      <c r="S826" s="38" t="s">
        <v>2894</v>
      </c>
      <c r="T826" s="38" t="s">
        <v>102</v>
      </c>
      <c r="U826" s="43">
        <v>3</v>
      </c>
    </row>
    <row r="827" spans="2:21" ht="14.5" outlineLevel="3">
      <c r="B827" s="44" t="s">
        <v>2895</v>
      </c>
      <c r="C827" s="45" t="s">
        <v>2896</v>
      </c>
      <c r="D827" s="46" t="s">
        <v>2804</v>
      </c>
      <c r="E827" s="47" t="s">
        <v>102</v>
      </c>
      <c r="F827" s="46" t="s">
        <v>102</v>
      </c>
      <c r="G827" s="47" t="s">
        <v>102</v>
      </c>
      <c r="H827" s="48">
        <v>0</v>
      </c>
      <c r="I827" s="48">
        <v>0</v>
      </c>
      <c r="J827" s="47" t="s">
        <v>2805</v>
      </c>
      <c r="K827" s="49">
        <v>1</v>
      </c>
      <c r="L827" s="49" t="s">
        <v>2614</v>
      </c>
      <c r="M827" s="46" t="s">
        <v>117</v>
      </c>
      <c r="N827" s="50">
        <v>0</v>
      </c>
      <c r="O827" s="50">
        <v>0</v>
      </c>
      <c r="P827" s="50">
        <v>0</v>
      </c>
      <c r="Q827" s="46" t="s">
        <v>102</v>
      </c>
      <c r="R827" s="46" t="s">
        <v>102</v>
      </c>
      <c r="S827" s="46" t="s">
        <v>102</v>
      </c>
      <c r="T827" s="46" t="s">
        <v>1019</v>
      </c>
      <c r="U827" s="51">
        <v>4</v>
      </c>
    </row>
    <row r="828" spans="2:21" ht="14.5" outlineLevel="1">
      <c r="B828" s="28" t="s">
        <v>2897</v>
      </c>
      <c r="C828" s="29" t="s">
        <v>2898</v>
      </c>
      <c r="D828" s="30" t="s">
        <v>2804</v>
      </c>
      <c r="E828" s="31" t="s">
        <v>102</v>
      </c>
      <c r="F828" s="30" t="s">
        <v>102</v>
      </c>
      <c r="G828" s="31" t="s">
        <v>102</v>
      </c>
      <c r="H828" s="32">
        <v>0</v>
      </c>
      <c r="I828" s="32">
        <v>0</v>
      </c>
      <c r="J828" s="31" t="s">
        <v>2805</v>
      </c>
      <c r="K828" s="33">
        <v>1</v>
      </c>
      <c r="L828" s="33" t="s">
        <v>2614</v>
      </c>
      <c r="M828" s="30" t="s">
        <v>117</v>
      </c>
      <c r="N828" s="34">
        <v>0</v>
      </c>
      <c r="O828" s="34">
        <v>0</v>
      </c>
      <c r="P828" s="34">
        <v>0</v>
      </c>
      <c r="Q828" s="30" t="s">
        <v>102</v>
      </c>
      <c r="R828" s="30" t="s">
        <v>102</v>
      </c>
      <c r="S828" s="30" t="s">
        <v>102</v>
      </c>
      <c r="T828" s="30" t="s">
        <v>2743</v>
      </c>
      <c r="U828" s="35">
        <v>4</v>
      </c>
    </row>
    <row r="829" spans="2:21" ht="14.5" outlineLevel="2">
      <c r="B829" s="36" t="s">
        <v>2899</v>
      </c>
      <c r="C829" s="37" t="s">
        <v>2900</v>
      </c>
      <c r="D829" s="38" t="s">
        <v>102</v>
      </c>
      <c r="E829" s="39" t="s">
        <v>102</v>
      </c>
      <c r="F829" s="38" t="s">
        <v>102</v>
      </c>
      <c r="G829" s="39" t="s">
        <v>102</v>
      </c>
      <c r="H829" s="40">
        <v>0</v>
      </c>
      <c r="I829" s="40">
        <v>0</v>
      </c>
      <c r="J829" s="39" t="s">
        <v>102</v>
      </c>
      <c r="K829" s="41">
        <v>0</v>
      </c>
      <c r="L829" s="41" t="s">
        <v>102</v>
      </c>
      <c r="M829" s="38" t="s">
        <v>102</v>
      </c>
      <c r="N829" s="42">
        <v>0</v>
      </c>
      <c r="O829" s="42">
        <v>0</v>
      </c>
      <c r="P829" s="42">
        <v>0</v>
      </c>
      <c r="Q829" s="38" t="s">
        <v>102</v>
      </c>
      <c r="R829" s="38" t="s">
        <v>102</v>
      </c>
      <c r="S829" s="38" t="s">
        <v>2901</v>
      </c>
      <c r="T829" s="38" t="s">
        <v>102</v>
      </c>
      <c r="U829" s="43">
        <v>3</v>
      </c>
    </row>
    <row r="830" spans="2:21" ht="14.5" outlineLevel="3">
      <c r="B830" s="44" t="s">
        <v>2902</v>
      </c>
      <c r="C830" s="45" t="s">
        <v>2903</v>
      </c>
      <c r="D830" s="46" t="s">
        <v>2804</v>
      </c>
      <c r="E830" s="47" t="s">
        <v>102</v>
      </c>
      <c r="F830" s="46" t="s">
        <v>102</v>
      </c>
      <c r="G830" s="47" t="s">
        <v>102</v>
      </c>
      <c r="H830" s="48">
        <v>0</v>
      </c>
      <c r="I830" s="48">
        <v>0</v>
      </c>
      <c r="J830" s="47" t="s">
        <v>102</v>
      </c>
      <c r="K830" s="49">
        <v>0</v>
      </c>
      <c r="L830" s="49" t="s">
        <v>116</v>
      </c>
      <c r="M830" s="46" t="s">
        <v>102</v>
      </c>
      <c r="N830" s="50">
        <v>0</v>
      </c>
      <c r="O830" s="50">
        <v>0</v>
      </c>
      <c r="P830" s="50">
        <v>0</v>
      </c>
      <c r="Q830" s="46" t="s">
        <v>102</v>
      </c>
      <c r="R830" s="46" t="s">
        <v>102</v>
      </c>
      <c r="S830" s="46" t="s">
        <v>102</v>
      </c>
      <c r="T830" s="46" t="s">
        <v>2904</v>
      </c>
      <c r="U830" s="51">
        <v>4</v>
      </c>
    </row>
    <row r="831" spans="2:21" ht="14.5" outlineLevel="3">
      <c r="B831" s="44" t="s">
        <v>2905</v>
      </c>
      <c r="C831" s="45" t="s">
        <v>2906</v>
      </c>
      <c r="D831" s="46" t="s">
        <v>102</v>
      </c>
      <c r="E831" s="47" t="s">
        <v>102</v>
      </c>
      <c r="F831" s="46" t="s">
        <v>102</v>
      </c>
      <c r="G831" s="47" t="s">
        <v>102</v>
      </c>
      <c r="H831" s="48">
        <v>0</v>
      </c>
      <c r="I831" s="48">
        <v>0</v>
      </c>
      <c r="J831" s="47" t="s">
        <v>102</v>
      </c>
      <c r="K831" s="49">
        <v>0</v>
      </c>
      <c r="L831" s="49" t="s">
        <v>102</v>
      </c>
      <c r="M831" s="46" t="s">
        <v>102</v>
      </c>
      <c r="N831" s="50">
        <v>0</v>
      </c>
      <c r="O831" s="50">
        <v>0</v>
      </c>
      <c r="P831" s="50">
        <v>0</v>
      </c>
      <c r="Q831" s="46" t="s">
        <v>102</v>
      </c>
      <c r="R831" s="46" t="s">
        <v>2907</v>
      </c>
      <c r="S831" s="46" t="s">
        <v>102</v>
      </c>
      <c r="T831" s="46" t="s">
        <v>102</v>
      </c>
      <c r="U831" s="51">
        <v>2</v>
      </c>
    </row>
    <row r="832" spans="2:21" ht="14.5" outlineLevel="2">
      <c r="B832" s="36" t="s">
        <v>2908</v>
      </c>
      <c r="C832" s="37" t="s">
        <v>2909</v>
      </c>
      <c r="D832" s="38" t="s">
        <v>102</v>
      </c>
      <c r="E832" s="39" t="s">
        <v>102</v>
      </c>
      <c r="F832" s="38" t="s">
        <v>102</v>
      </c>
      <c r="G832" s="39" t="s">
        <v>102</v>
      </c>
      <c r="H832" s="40">
        <v>0</v>
      </c>
      <c r="I832" s="40">
        <v>0</v>
      </c>
      <c r="J832" s="39" t="s">
        <v>102</v>
      </c>
      <c r="K832" s="41">
        <v>0</v>
      </c>
      <c r="L832" s="41" t="s">
        <v>102</v>
      </c>
      <c r="M832" s="38" t="s">
        <v>102</v>
      </c>
      <c r="N832" s="42">
        <v>0</v>
      </c>
      <c r="O832" s="42">
        <v>0</v>
      </c>
      <c r="P832" s="42">
        <v>0</v>
      </c>
      <c r="Q832" s="38" t="s">
        <v>102</v>
      </c>
      <c r="R832" s="38" t="s">
        <v>102</v>
      </c>
      <c r="S832" s="38" t="s">
        <v>2910</v>
      </c>
      <c r="T832" s="38" t="s">
        <v>102</v>
      </c>
      <c r="U832" s="43">
        <v>3</v>
      </c>
    </row>
    <row r="833" spans="2:21" ht="14.5" outlineLevel="3">
      <c r="B833" s="44" t="s">
        <v>2911</v>
      </c>
      <c r="C833" s="45" t="s">
        <v>2912</v>
      </c>
      <c r="D833" s="46" t="s">
        <v>2804</v>
      </c>
      <c r="E833" s="47" t="s">
        <v>102</v>
      </c>
      <c r="F833" s="46" t="s">
        <v>102</v>
      </c>
      <c r="G833" s="47" t="s">
        <v>102</v>
      </c>
      <c r="H833" s="48">
        <v>0</v>
      </c>
      <c r="I833" s="48">
        <v>0</v>
      </c>
      <c r="J833" s="47" t="s">
        <v>2613</v>
      </c>
      <c r="K833" s="49">
        <v>1</v>
      </c>
      <c r="L833" s="49" t="s">
        <v>2614</v>
      </c>
      <c r="M833" s="46" t="s">
        <v>117</v>
      </c>
      <c r="N833" s="50">
        <v>0</v>
      </c>
      <c r="O833" s="50">
        <v>0</v>
      </c>
      <c r="P833" s="50">
        <v>0</v>
      </c>
      <c r="Q833" s="46" t="s">
        <v>102</v>
      </c>
      <c r="R833" s="46" t="s">
        <v>102</v>
      </c>
      <c r="S833" s="46" t="s">
        <v>102</v>
      </c>
      <c r="T833" s="46" t="s">
        <v>1019</v>
      </c>
      <c r="U833" s="51">
        <v>4</v>
      </c>
    </row>
    <row r="834" spans="2:21" ht="14.5" outlineLevel="3">
      <c r="B834" s="44" t="s">
        <v>2913</v>
      </c>
      <c r="C834" s="45" t="s">
        <v>2914</v>
      </c>
      <c r="D834" s="46" t="s">
        <v>2804</v>
      </c>
      <c r="E834" s="47" t="s">
        <v>102</v>
      </c>
      <c r="F834" s="46" t="s">
        <v>102</v>
      </c>
      <c r="G834" s="47" t="s">
        <v>102</v>
      </c>
      <c r="H834" s="48">
        <v>0</v>
      </c>
      <c r="I834" s="48">
        <v>0</v>
      </c>
      <c r="J834" s="47" t="s">
        <v>2613</v>
      </c>
      <c r="K834" s="49">
        <v>1</v>
      </c>
      <c r="L834" s="49" t="s">
        <v>2614</v>
      </c>
      <c r="M834" s="46" t="s">
        <v>117</v>
      </c>
      <c r="N834" s="50">
        <v>0</v>
      </c>
      <c r="O834" s="50">
        <v>0</v>
      </c>
      <c r="P834" s="50">
        <v>0</v>
      </c>
      <c r="Q834" s="46" t="s">
        <v>102</v>
      </c>
      <c r="R834" s="46" t="s">
        <v>102</v>
      </c>
      <c r="S834" s="46" t="s">
        <v>102</v>
      </c>
      <c r="T834" s="46" t="s">
        <v>2666</v>
      </c>
      <c r="U834" s="51">
        <v>4</v>
      </c>
    </row>
    <row r="835" spans="2:21" ht="14.5" outlineLevel="3">
      <c r="B835" s="44" t="s">
        <v>2915</v>
      </c>
      <c r="C835" s="45" t="s">
        <v>2916</v>
      </c>
      <c r="D835" s="46" t="s">
        <v>102</v>
      </c>
      <c r="E835" s="47" t="s">
        <v>102</v>
      </c>
      <c r="F835" s="46" t="s">
        <v>102</v>
      </c>
      <c r="G835" s="47" t="s">
        <v>102</v>
      </c>
      <c r="H835" s="48">
        <v>0</v>
      </c>
      <c r="I835" s="48">
        <v>0</v>
      </c>
      <c r="J835" s="47" t="s">
        <v>102</v>
      </c>
      <c r="K835" s="49">
        <v>0</v>
      </c>
      <c r="L835" s="49" t="s">
        <v>102</v>
      </c>
      <c r="M835" s="46" t="s">
        <v>102</v>
      </c>
      <c r="N835" s="50">
        <v>0</v>
      </c>
      <c r="O835" s="50">
        <v>0</v>
      </c>
      <c r="P835" s="50">
        <v>0</v>
      </c>
      <c r="Q835" s="46" t="s">
        <v>102</v>
      </c>
      <c r="R835" s="46" t="s">
        <v>102</v>
      </c>
      <c r="S835" s="46" t="s">
        <v>2917</v>
      </c>
      <c r="T835" s="46" t="s">
        <v>102</v>
      </c>
      <c r="U835" s="51">
        <v>3</v>
      </c>
    </row>
    <row r="836" spans="2:21" ht="14.5" outlineLevel="3">
      <c r="B836" s="44" t="s">
        <v>2918</v>
      </c>
      <c r="C836" s="45" t="s">
        <v>2919</v>
      </c>
      <c r="D836" s="46" t="s">
        <v>2804</v>
      </c>
      <c r="E836" s="47" t="s">
        <v>102</v>
      </c>
      <c r="F836" s="46" t="s">
        <v>102</v>
      </c>
      <c r="G836" s="47" t="s">
        <v>102</v>
      </c>
      <c r="H836" s="48">
        <v>0</v>
      </c>
      <c r="I836" s="48">
        <v>0</v>
      </c>
      <c r="J836" s="47" t="s">
        <v>2613</v>
      </c>
      <c r="K836" s="49">
        <v>1</v>
      </c>
      <c r="L836" s="49" t="s">
        <v>2614</v>
      </c>
      <c r="M836" s="46" t="s">
        <v>117</v>
      </c>
      <c r="N836" s="50">
        <v>0</v>
      </c>
      <c r="O836" s="50">
        <v>0</v>
      </c>
      <c r="P836" s="50">
        <v>0</v>
      </c>
      <c r="Q836" s="46" t="s">
        <v>102</v>
      </c>
      <c r="R836" s="46" t="s">
        <v>102</v>
      </c>
      <c r="S836" s="46" t="s">
        <v>102</v>
      </c>
      <c r="T836" s="46" t="s">
        <v>2815</v>
      </c>
      <c r="U836" s="51">
        <v>4</v>
      </c>
    </row>
    <row r="837" spans="2:21" ht="14.5" outlineLevel="3">
      <c r="B837" s="44" t="s">
        <v>2920</v>
      </c>
      <c r="C837" s="45" t="s">
        <v>2921</v>
      </c>
      <c r="D837" s="46" t="s">
        <v>2804</v>
      </c>
      <c r="E837" s="47" t="s">
        <v>102</v>
      </c>
      <c r="F837" s="46" t="s">
        <v>102</v>
      </c>
      <c r="G837" s="47" t="s">
        <v>102</v>
      </c>
      <c r="H837" s="48">
        <v>0</v>
      </c>
      <c r="I837" s="48">
        <v>0</v>
      </c>
      <c r="J837" s="47" t="s">
        <v>2613</v>
      </c>
      <c r="K837" s="49">
        <v>1</v>
      </c>
      <c r="L837" s="49" t="s">
        <v>2614</v>
      </c>
      <c r="M837" s="46" t="s">
        <v>117</v>
      </c>
      <c r="N837" s="50">
        <v>0</v>
      </c>
      <c r="O837" s="50">
        <v>0</v>
      </c>
      <c r="P837" s="50">
        <v>0</v>
      </c>
      <c r="Q837" s="46" t="s">
        <v>102</v>
      </c>
      <c r="R837" s="46" t="s">
        <v>102</v>
      </c>
      <c r="S837" s="46" t="s">
        <v>102</v>
      </c>
      <c r="T837" s="46" t="s">
        <v>461</v>
      </c>
      <c r="U837" s="51">
        <v>4</v>
      </c>
    </row>
    <row r="838" spans="2:21" ht="14.5" outlineLevel="2">
      <c r="B838" s="36" t="s">
        <v>2922</v>
      </c>
      <c r="C838" s="37" t="s">
        <v>2923</v>
      </c>
      <c r="D838" s="38" t="s">
        <v>2804</v>
      </c>
      <c r="E838" s="39" t="s">
        <v>102</v>
      </c>
      <c r="F838" s="38" t="s">
        <v>102</v>
      </c>
      <c r="G838" s="39" t="s">
        <v>102</v>
      </c>
      <c r="H838" s="40">
        <v>0</v>
      </c>
      <c r="I838" s="40">
        <v>0</v>
      </c>
      <c r="J838" s="39" t="s">
        <v>2613</v>
      </c>
      <c r="K838" s="41">
        <v>1</v>
      </c>
      <c r="L838" s="41" t="s">
        <v>2614</v>
      </c>
      <c r="M838" s="38" t="s">
        <v>117</v>
      </c>
      <c r="N838" s="42">
        <v>0</v>
      </c>
      <c r="O838" s="42">
        <v>0</v>
      </c>
      <c r="P838" s="42">
        <v>0</v>
      </c>
      <c r="Q838" s="38" t="s">
        <v>102</v>
      </c>
      <c r="R838" s="38" t="s">
        <v>102</v>
      </c>
      <c r="S838" s="38" t="s">
        <v>102</v>
      </c>
      <c r="T838" s="38" t="s">
        <v>466</v>
      </c>
      <c r="U838" s="43">
        <v>4</v>
      </c>
    </row>
    <row r="839" spans="2:21" ht="14.5" outlineLevel="3">
      <c r="B839" s="44" t="s">
        <v>2924</v>
      </c>
      <c r="C839" s="45" t="s">
        <v>2925</v>
      </c>
      <c r="D839" s="46" t="s">
        <v>2804</v>
      </c>
      <c r="E839" s="47" t="s">
        <v>102</v>
      </c>
      <c r="F839" s="46" t="s">
        <v>102</v>
      </c>
      <c r="G839" s="47" t="s">
        <v>102</v>
      </c>
      <c r="H839" s="48">
        <v>0</v>
      </c>
      <c r="I839" s="48">
        <v>0</v>
      </c>
      <c r="J839" s="47" t="s">
        <v>2613</v>
      </c>
      <c r="K839" s="49">
        <v>1</v>
      </c>
      <c r="L839" s="49" t="s">
        <v>2614</v>
      </c>
      <c r="M839" s="46" t="s">
        <v>117</v>
      </c>
      <c r="N839" s="50">
        <v>0</v>
      </c>
      <c r="O839" s="50">
        <v>0</v>
      </c>
      <c r="P839" s="50">
        <v>0</v>
      </c>
      <c r="Q839" s="46" t="s">
        <v>102</v>
      </c>
      <c r="R839" s="46" t="s">
        <v>102</v>
      </c>
      <c r="S839" s="46" t="s">
        <v>102</v>
      </c>
      <c r="T839" s="46" t="s">
        <v>482</v>
      </c>
      <c r="U839" s="51">
        <v>4</v>
      </c>
    </row>
    <row r="840" spans="2:21" ht="14.5" outlineLevel="3">
      <c r="B840" s="44" t="s">
        <v>2926</v>
      </c>
      <c r="C840" s="45" t="s">
        <v>2927</v>
      </c>
      <c r="D840" s="46" t="s">
        <v>2804</v>
      </c>
      <c r="E840" s="47" t="s">
        <v>102</v>
      </c>
      <c r="F840" s="46" t="s">
        <v>102</v>
      </c>
      <c r="G840" s="47" t="s">
        <v>102</v>
      </c>
      <c r="H840" s="48">
        <v>0</v>
      </c>
      <c r="I840" s="48">
        <v>0</v>
      </c>
      <c r="J840" s="47" t="s">
        <v>2613</v>
      </c>
      <c r="K840" s="49">
        <v>1</v>
      </c>
      <c r="L840" s="49" t="s">
        <v>2614</v>
      </c>
      <c r="M840" s="46" t="s">
        <v>117</v>
      </c>
      <c r="N840" s="50">
        <v>0</v>
      </c>
      <c r="O840" s="50">
        <v>0</v>
      </c>
      <c r="P840" s="50">
        <v>0</v>
      </c>
      <c r="Q840" s="46" t="s">
        <v>102</v>
      </c>
      <c r="R840" s="46" t="s">
        <v>102</v>
      </c>
      <c r="S840" s="46" t="s">
        <v>102</v>
      </c>
      <c r="T840" s="46" t="s">
        <v>2666</v>
      </c>
      <c r="U840" s="51">
        <v>4</v>
      </c>
    </row>
    <row r="841" spans="2:21" ht="14.5" outlineLevel="2">
      <c r="B841" s="36" t="s">
        <v>2928</v>
      </c>
      <c r="C841" s="37" t="s">
        <v>2929</v>
      </c>
      <c r="D841" s="38" t="s">
        <v>102</v>
      </c>
      <c r="E841" s="39" t="s">
        <v>102</v>
      </c>
      <c r="F841" s="38" t="s">
        <v>102</v>
      </c>
      <c r="G841" s="39" t="s">
        <v>102</v>
      </c>
      <c r="H841" s="40">
        <v>0</v>
      </c>
      <c r="I841" s="40">
        <v>0</v>
      </c>
      <c r="J841" s="39" t="s">
        <v>102</v>
      </c>
      <c r="K841" s="41">
        <v>0</v>
      </c>
      <c r="L841" s="41" t="s">
        <v>102</v>
      </c>
      <c r="M841" s="38" t="s">
        <v>102</v>
      </c>
      <c r="N841" s="42">
        <v>0</v>
      </c>
      <c r="O841" s="42">
        <v>0</v>
      </c>
      <c r="P841" s="42">
        <v>0</v>
      </c>
      <c r="Q841" s="38" t="s">
        <v>102</v>
      </c>
      <c r="R841" s="38" t="s">
        <v>102</v>
      </c>
      <c r="S841" s="38" t="s">
        <v>2930</v>
      </c>
      <c r="T841" s="38" t="s">
        <v>102</v>
      </c>
      <c r="U841" s="43">
        <v>3</v>
      </c>
    </row>
    <row r="842" spans="2:21" ht="14.5" outlineLevel="3">
      <c r="B842" s="44" t="s">
        <v>2931</v>
      </c>
      <c r="C842" s="45" t="s">
        <v>2932</v>
      </c>
      <c r="D842" s="46" t="s">
        <v>2804</v>
      </c>
      <c r="E842" s="47" t="s">
        <v>102</v>
      </c>
      <c r="F842" s="46" t="s">
        <v>102</v>
      </c>
      <c r="G842" s="47" t="s">
        <v>102</v>
      </c>
      <c r="H842" s="48">
        <v>0</v>
      </c>
      <c r="I842" s="48">
        <v>0</v>
      </c>
      <c r="J842" s="47" t="s">
        <v>2613</v>
      </c>
      <c r="K842" s="49">
        <v>1</v>
      </c>
      <c r="L842" s="49" t="s">
        <v>2614</v>
      </c>
      <c r="M842" s="46" t="s">
        <v>117</v>
      </c>
      <c r="N842" s="50">
        <v>0</v>
      </c>
      <c r="O842" s="50">
        <v>0</v>
      </c>
      <c r="P842" s="50">
        <v>0</v>
      </c>
      <c r="Q842" s="46" t="s">
        <v>102</v>
      </c>
      <c r="R842" s="46" t="s">
        <v>102</v>
      </c>
      <c r="S842" s="46" t="s">
        <v>102</v>
      </c>
      <c r="T842" s="46" t="s">
        <v>1019</v>
      </c>
      <c r="U842" s="51">
        <v>4</v>
      </c>
    </row>
    <row r="843" spans="2:21" ht="14.5" outlineLevel="2">
      <c r="B843" s="36" t="s">
        <v>2933</v>
      </c>
      <c r="C843" s="37" t="s">
        <v>2934</v>
      </c>
      <c r="D843" s="38" t="s">
        <v>2804</v>
      </c>
      <c r="E843" s="39" t="s">
        <v>102</v>
      </c>
      <c r="F843" s="38" t="s">
        <v>102</v>
      </c>
      <c r="G843" s="39" t="s">
        <v>102</v>
      </c>
      <c r="H843" s="40">
        <v>0</v>
      </c>
      <c r="I843" s="40">
        <v>0</v>
      </c>
      <c r="J843" s="39" t="s">
        <v>2613</v>
      </c>
      <c r="K843" s="41">
        <v>1</v>
      </c>
      <c r="L843" s="41" t="s">
        <v>2614</v>
      </c>
      <c r="M843" s="38" t="s">
        <v>117</v>
      </c>
      <c r="N843" s="42">
        <v>0</v>
      </c>
      <c r="O843" s="42">
        <v>0</v>
      </c>
      <c r="P843" s="42">
        <v>0</v>
      </c>
      <c r="Q843" s="38" t="s">
        <v>102</v>
      </c>
      <c r="R843" s="38" t="s">
        <v>102</v>
      </c>
      <c r="S843" s="38" t="s">
        <v>102</v>
      </c>
      <c r="T843" s="38" t="s">
        <v>2666</v>
      </c>
      <c r="U843" s="43">
        <v>4</v>
      </c>
    </row>
    <row r="844" spans="2:21" ht="14.5" outlineLevel="3">
      <c r="B844" s="44" t="s">
        <v>2935</v>
      </c>
      <c r="C844" s="45" t="s">
        <v>2936</v>
      </c>
      <c r="D844" s="46" t="s">
        <v>102</v>
      </c>
      <c r="E844" s="47" t="s">
        <v>102</v>
      </c>
      <c r="F844" s="46" t="s">
        <v>102</v>
      </c>
      <c r="G844" s="47" t="s">
        <v>102</v>
      </c>
      <c r="H844" s="48">
        <v>0</v>
      </c>
      <c r="I844" s="48">
        <v>0</v>
      </c>
      <c r="J844" s="47" t="s">
        <v>102</v>
      </c>
      <c r="K844" s="49">
        <v>0</v>
      </c>
      <c r="L844" s="49" t="s">
        <v>102</v>
      </c>
      <c r="M844" s="46" t="s">
        <v>102</v>
      </c>
      <c r="N844" s="50">
        <v>0</v>
      </c>
      <c r="O844" s="50">
        <v>0</v>
      </c>
      <c r="P844" s="50">
        <v>0</v>
      </c>
      <c r="Q844" s="46" t="s">
        <v>102</v>
      </c>
      <c r="R844" s="46" t="s">
        <v>102</v>
      </c>
      <c r="S844" s="46" t="s">
        <v>2937</v>
      </c>
      <c r="T844" s="46" t="s">
        <v>102</v>
      </c>
      <c r="U844" s="51">
        <v>3</v>
      </c>
    </row>
    <row r="845" spans="2:21" ht="14.5" outlineLevel="2">
      <c r="B845" s="36" t="s">
        <v>2938</v>
      </c>
      <c r="C845" s="37" t="s">
        <v>2939</v>
      </c>
      <c r="D845" s="38" t="s">
        <v>2804</v>
      </c>
      <c r="E845" s="39" t="s">
        <v>102</v>
      </c>
      <c r="F845" s="38" t="s">
        <v>102</v>
      </c>
      <c r="G845" s="39" t="s">
        <v>102</v>
      </c>
      <c r="H845" s="40">
        <v>0</v>
      </c>
      <c r="I845" s="40">
        <v>0</v>
      </c>
      <c r="J845" s="39" t="s">
        <v>2613</v>
      </c>
      <c r="K845" s="41">
        <v>1</v>
      </c>
      <c r="L845" s="41" t="s">
        <v>2614</v>
      </c>
      <c r="M845" s="38" t="s">
        <v>117</v>
      </c>
      <c r="N845" s="42">
        <v>0</v>
      </c>
      <c r="O845" s="42">
        <v>0</v>
      </c>
      <c r="P845" s="42">
        <v>0</v>
      </c>
      <c r="Q845" s="38" t="s">
        <v>102</v>
      </c>
      <c r="R845" s="38" t="s">
        <v>102</v>
      </c>
      <c r="S845" s="38" t="s">
        <v>102</v>
      </c>
      <c r="T845" s="38" t="s">
        <v>1019</v>
      </c>
      <c r="U845" s="43">
        <v>4</v>
      </c>
    </row>
    <row r="846" spans="2:21" ht="14.5" outlineLevel="3">
      <c r="B846" s="44" t="s">
        <v>2940</v>
      </c>
      <c r="C846" s="45" t="s">
        <v>2941</v>
      </c>
      <c r="D846" s="46" t="s">
        <v>102</v>
      </c>
      <c r="E846" s="47" t="s">
        <v>102</v>
      </c>
      <c r="F846" s="46" t="s">
        <v>102</v>
      </c>
      <c r="G846" s="47" t="s">
        <v>102</v>
      </c>
      <c r="H846" s="48">
        <v>0</v>
      </c>
      <c r="I846" s="48">
        <v>0</v>
      </c>
      <c r="J846" s="47" t="s">
        <v>102</v>
      </c>
      <c r="K846" s="49">
        <v>0</v>
      </c>
      <c r="L846" s="49" t="s">
        <v>102</v>
      </c>
      <c r="M846" s="46" t="s">
        <v>102</v>
      </c>
      <c r="N846" s="50">
        <v>0</v>
      </c>
      <c r="O846" s="50">
        <v>0</v>
      </c>
      <c r="P846" s="50">
        <v>0</v>
      </c>
      <c r="Q846" s="46" t="s">
        <v>102</v>
      </c>
      <c r="R846" s="46" t="s">
        <v>102</v>
      </c>
      <c r="S846" s="46" t="s">
        <v>2942</v>
      </c>
      <c r="T846" s="46" t="s">
        <v>102</v>
      </c>
      <c r="U846" s="51">
        <v>3</v>
      </c>
    </row>
    <row r="847" spans="2:21" ht="14.5" outlineLevel="3">
      <c r="B847" s="44" t="s">
        <v>2943</v>
      </c>
      <c r="C847" s="45" t="s">
        <v>2944</v>
      </c>
      <c r="D847" s="46" t="s">
        <v>2804</v>
      </c>
      <c r="E847" s="47" t="s">
        <v>102</v>
      </c>
      <c r="F847" s="46" t="s">
        <v>102</v>
      </c>
      <c r="G847" s="47" t="s">
        <v>102</v>
      </c>
      <c r="H847" s="48">
        <v>0</v>
      </c>
      <c r="I847" s="48">
        <v>0</v>
      </c>
      <c r="J847" s="47" t="s">
        <v>2613</v>
      </c>
      <c r="K847" s="49">
        <v>1</v>
      </c>
      <c r="L847" s="49" t="s">
        <v>2614</v>
      </c>
      <c r="M847" s="46" t="s">
        <v>117</v>
      </c>
      <c r="N847" s="50">
        <v>0</v>
      </c>
      <c r="O847" s="50">
        <v>0</v>
      </c>
      <c r="P847" s="50">
        <v>0</v>
      </c>
      <c r="Q847" s="46" t="s">
        <v>102</v>
      </c>
      <c r="R847" s="46" t="s">
        <v>102</v>
      </c>
      <c r="S847" s="46" t="s">
        <v>102</v>
      </c>
      <c r="T847" s="46" t="s">
        <v>1019</v>
      </c>
      <c r="U847" s="51">
        <v>4</v>
      </c>
    </row>
    <row r="848" spans="2:21" ht="14.5" outlineLevel="3">
      <c r="B848" s="44" t="s">
        <v>2945</v>
      </c>
      <c r="C848" s="45" t="s">
        <v>2946</v>
      </c>
      <c r="D848" s="46" t="s">
        <v>102</v>
      </c>
      <c r="E848" s="47" t="s">
        <v>102</v>
      </c>
      <c r="F848" s="46" t="s">
        <v>102</v>
      </c>
      <c r="G848" s="47" t="s">
        <v>102</v>
      </c>
      <c r="H848" s="48">
        <v>0</v>
      </c>
      <c r="I848" s="48">
        <v>0</v>
      </c>
      <c r="J848" s="47" t="s">
        <v>102</v>
      </c>
      <c r="K848" s="49">
        <v>0</v>
      </c>
      <c r="L848" s="49" t="s">
        <v>102</v>
      </c>
      <c r="M848" s="46" t="s">
        <v>102</v>
      </c>
      <c r="N848" s="50">
        <v>0</v>
      </c>
      <c r="O848" s="50">
        <v>0</v>
      </c>
      <c r="P848" s="50">
        <v>0</v>
      </c>
      <c r="Q848" s="46" t="s">
        <v>102</v>
      </c>
      <c r="R848" s="46" t="s">
        <v>102</v>
      </c>
      <c r="S848" s="46" t="s">
        <v>2947</v>
      </c>
      <c r="T848" s="46" t="s">
        <v>102</v>
      </c>
      <c r="U848" s="51">
        <v>3</v>
      </c>
    </row>
    <row r="849" spans="2:21" ht="14.5" outlineLevel="2">
      <c r="B849" s="36" t="s">
        <v>2948</v>
      </c>
      <c r="C849" s="37" t="s">
        <v>2949</v>
      </c>
      <c r="D849" s="38" t="s">
        <v>2804</v>
      </c>
      <c r="E849" s="39" t="s">
        <v>102</v>
      </c>
      <c r="F849" s="38" t="s">
        <v>102</v>
      </c>
      <c r="G849" s="39" t="s">
        <v>102</v>
      </c>
      <c r="H849" s="40">
        <v>0</v>
      </c>
      <c r="I849" s="40">
        <v>0</v>
      </c>
      <c r="J849" s="39" t="s">
        <v>2613</v>
      </c>
      <c r="K849" s="41">
        <v>1</v>
      </c>
      <c r="L849" s="41" t="s">
        <v>2614</v>
      </c>
      <c r="M849" s="38" t="s">
        <v>117</v>
      </c>
      <c r="N849" s="42">
        <v>0</v>
      </c>
      <c r="O849" s="42">
        <v>0</v>
      </c>
      <c r="P849" s="42">
        <v>0</v>
      </c>
      <c r="Q849" s="38" t="s">
        <v>102</v>
      </c>
      <c r="R849" s="38" t="s">
        <v>102</v>
      </c>
      <c r="S849" s="38" t="s">
        <v>102</v>
      </c>
      <c r="T849" s="38" t="s">
        <v>1019</v>
      </c>
      <c r="U849" s="43">
        <v>4</v>
      </c>
    </row>
    <row r="850" spans="2:21" ht="14.5" outlineLevel="3">
      <c r="B850" s="44" t="s">
        <v>2950</v>
      </c>
      <c r="C850" s="45" t="s">
        <v>2951</v>
      </c>
      <c r="D850" s="46" t="s">
        <v>2804</v>
      </c>
      <c r="E850" s="47" t="s">
        <v>102</v>
      </c>
      <c r="F850" s="46" t="s">
        <v>102</v>
      </c>
      <c r="G850" s="47" t="s">
        <v>102</v>
      </c>
      <c r="H850" s="48">
        <v>0</v>
      </c>
      <c r="I850" s="48">
        <v>0</v>
      </c>
      <c r="J850" s="47" t="s">
        <v>2613</v>
      </c>
      <c r="K850" s="49">
        <v>1</v>
      </c>
      <c r="L850" s="49" t="s">
        <v>2614</v>
      </c>
      <c r="M850" s="46" t="s">
        <v>117</v>
      </c>
      <c r="N850" s="50">
        <v>0</v>
      </c>
      <c r="O850" s="50">
        <v>0</v>
      </c>
      <c r="P850" s="50">
        <v>0</v>
      </c>
      <c r="Q850" s="46" t="s">
        <v>102</v>
      </c>
      <c r="R850" s="46" t="s">
        <v>102</v>
      </c>
      <c r="S850" s="46" t="s">
        <v>102</v>
      </c>
      <c r="T850" s="46" t="s">
        <v>2815</v>
      </c>
      <c r="U850" s="51">
        <v>4</v>
      </c>
    </row>
    <row r="851" spans="2:21" ht="14.5" outlineLevel="2">
      <c r="B851" s="36" t="s">
        <v>2952</v>
      </c>
      <c r="C851" s="37" t="s">
        <v>2953</v>
      </c>
      <c r="D851" s="38" t="s">
        <v>2804</v>
      </c>
      <c r="E851" s="39" t="s">
        <v>102</v>
      </c>
      <c r="F851" s="38" t="s">
        <v>102</v>
      </c>
      <c r="G851" s="39" t="s">
        <v>102</v>
      </c>
      <c r="H851" s="40">
        <v>0</v>
      </c>
      <c r="I851" s="40">
        <v>0</v>
      </c>
      <c r="J851" s="39" t="s">
        <v>2613</v>
      </c>
      <c r="K851" s="41">
        <v>1</v>
      </c>
      <c r="L851" s="41" t="s">
        <v>2614</v>
      </c>
      <c r="M851" s="38" t="s">
        <v>117</v>
      </c>
      <c r="N851" s="42">
        <v>0</v>
      </c>
      <c r="O851" s="42">
        <v>0</v>
      </c>
      <c r="P851" s="42">
        <v>0</v>
      </c>
      <c r="Q851" s="38" t="s">
        <v>102</v>
      </c>
      <c r="R851" s="38" t="s">
        <v>102</v>
      </c>
      <c r="S851" s="38" t="s">
        <v>102</v>
      </c>
      <c r="T851" s="38" t="s">
        <v>461</v>
      </c>
      <c r="U851" s="43">
        <v>4</v>
      </c>
    </row>
    <row r="852" spans="2:21" ht="14.5" outlineLevel="3">
      <c r="B852" s="44" t="s">
        <v>2954</v>
      </c>
      <c r="C852" s="45" t="s">
        <v>2955</v>
      </c>
      <c r="D852" s="46" t="s">
        <v>102</v>
      </c>
      <c r="E852" s="47" t="s">
        <v>102</v>
      </c>
      <c r="F852" s="46" t="s">
        <v>102</v>
      </c>
      <c r="G852" s="47" t="s">
        <v>102</v>
      </c>
      <c r="H852" s="48">
        <v>0</v>
      </c>
      <c r="I852" s="48">
        <v>0</v>
      </c>
      <c r="J852" s="47" t="s">
        <v>102</v>
      </c>
      <c r="K852" s="49">
        <v>0</v>
      </c>
      <c r="L852" s="49" t="s">
        <v>102</v>
      </c>
      <c r="M852" s="46" t="s">
        <v>102</v>
      </c>
      <c r="N852" s="50">
        <v>0</v>
      </c>
      <c r="O852" s="50">
        <v>0</v>
      </c>
      <c r="P852" s="50">
        <v>0</v>
      </c>
      <c r="Q852" s="46" t="s">
        <v>102</v>
      </c>
      <c r="R852" s="46" t="s">
        <v>102</v>
      </c>
      <c r="S852" s="46" t="s">
        <v>2956</v>
      </c>
      <c r="T852" s="46" t="s">
        <v>102</v>
      </c>
      <c r="U852" s="51">
        <v>3</v>
      </c>
    </row>
    <row r="853" spans="2:21" ht="14.5" outlineLevel="3">
      <c r="B853" s="44" t="s">
        <v>2957</v>
      </c>
      <c r="C853" s="45" t="s">
        <v>2958</v>
      </c>
      <c r="D853" s="46" t="s">
        <v>2804</v>
      </c>
      <c r="E853" s="47" t="s">
        <v>102</v>
      </c>
      <c r="F853" s="46" t="s">
        <v>102</v>
      </c>
      <c r="G853" s="47" t="s">
        <v>102</v>
      </c>
      <c r="H853" s="48">
        <v>0</v>
      </c>
      <c r="I853" s="48">
        <v>0</v>
      </c>
      <c r="J853" s="47" t="s">
        <v>2613</v>
      </c>
      <c r="K853" s="49">
        <v>1</v>
      </c>
      <c r="L853" s="49" t="s">
        <v>2614</v>
      </c>
      <c r="M853" s="46" t="s">
        <v>117</v>
      </c>
      <c r="N853" s="50">
        <v>0</v>
      </c>
      <c r="O853" s="50">
        <v>0</v>
      </c>
      <c r="P853" s="50">
        <v>0</v>
      </c>
      <c r="Q853" s="46" t="s">
        <v>102</v>
      </c>
      <c r="R853" s="46" t="s">
        <v>102</v>
      </c>
      <c r="S853" s="46" t="s">
        <v>102</v>
      </c>
      <c r="T853" s="46" t="s">
        <v>1019</v>
      </c>
      <c r="U853" s="51">
        <v>4</v>
      </c>
    </row>
    <row r="854" spans="2:21" ht="14.5" outlineLevel="2">
      <c r="B854" s="36" t="s">
        <v>2959</v>
      </c>
      <c r="C854" s="37" t="s">
        <v>2960</v>
      </c>
      <c r="D854" s="38" t="s">
        <v>102</v>
      </c>
      <c r="E854" s="39" t="s">
        <v>102</v>
      </c>
      <c r="F854" s="38" t="s">
        <v>102</v>
      </c>
      <c r="G854" s="39" t="s">
        <v>102</v>
      </c>
      <c r="H854" s="40">
        <v>0</v>
      </c>
      <c r="I854" s="40">
        <v>0</v>
      </c>
      <c r="J854" s="39" t="s">
        <v>102</v>
      </c>
      <c r="K854" s="41">
        <v>0</v>
      </c>
      <c r="L854" s="41" t="s">
        <v>102</v>
      </c>
      <c r="M854" s="38" t="s">
        <v>102</v>
      </c>
      <c r="N854" s="42">
        <v>0</v>
      </c>
      <c r="O854" s="42">
        <v>0</v>
      </c>
      <c r="P854" s="42">
        <v>0</v>
      </c>
      <c r="Q854" s="38" t="s">
        <v>102</v>
      </c>
      <c r="R854" s="38" t="s">
        <v>102</v>
      </c>
      <c r="S854" s="38" t="s">
        <v>2961</v>
      </c>
      <c r="T854" s="38" t="s">
        <v>102</v>
      </c>
      <c r="U854" s="43">
        <v>3</v>
      </c>
    </row>
    <row r="855" spans="2:21" ht="14.5" outlineLevel="3">
      <c r="B855" s="44" t="s">
        <v>2962</v>
      </c>
      <c r="C855" s="45" t="s">
        <v>2963</v>
      </c>
      <c r="D855" s="46" t="s">
        <v>2804</v>
      </c>
      <c r="E855" s="47" t="s">
        <v>102</v>
      </c>
      <c r="F855" s="46" t="s">
        <v>102</v>
      </c>
      <c r="G855" s="47" t="s">
        <v>102</v>
      </c>
      <c r="H855" s="48">
        <v>0</v>
      </c>
      <c r="I855" s="48">
        <v>0</v>
      </c>
      <c r="J855" s="47" t="s">
        <v>2613</v>
      </c>
      <c r="K855" s="49">
        <v>1</v>
      </c>
      <c r="L855" s="49" t="s">
        <v>2614</v>
      </c>
      <c r="M855" s="46" t="s">
        <v>117</v>
      </c>
      <c r="N855" s="50">
        <v>0</v>
      </c>
      <c r="O855" s="50">
        <v>0</v>
      </c>
      <c r="P855" s="50">
        <v>0</v>
      </c>
      <c r="Q855" s="46" t="s">
        <v>102</v>
      </c>
      <c r="R855" s="46" t="s">
        <v>102</v>
      </c>
      <c r="S855" s="46" t="s">
        <v>102</v>
      </c>
      <c r="T855" s="46" t="s">
        <v>1019</v>
      </c>
      <c r="U855" s="51">
        <v>4</v>
      </c>
    </row>
    <row r="856" spans="2:21" ht="14.5" outlineLevel="2">
      <c r="B856" s="36" t="s">
        <v>2964</v>
      </c>
      <c r="C856" s="37" t="s">
        <v>2965</v>
      </c>
      <c r="D856" s="38" t="s">
        <v>2804</v>
      </c>
      <c r="E856" s="39" t="s">
        <v>102</v>
      </c>
      <c r="F856" s="38" t="s">
        <v>102</v>
      </c>
      <c r="G856" s="39" t="s">
        <v>102</v>
      </c>
      <c r="H856" s="40">
        <v>0</v>
      </c>
      <c r="I856" s="40">
        <v>0</v>
      </c>
      <c r="J856" s="39" t="s">
        <v>2613</v>
      </c>
      <c r="K856" s="41">
        <v>1</v>
      </c>
      <c r="L856" s="41" t="s">
        <v>2614</v>
      </c>
      <c r="M856" s="38" t="s">
        <v>117</v>
      </c>
      <c r="N856" s="42">
        <v>0</v>
      </c>
      <c r="O856" s="42">
        <v>0</v>
      </c>
      <c r="P856" s="42">
        <v>0</v>
      </c>
      <c r="Q856" s="38" t="s">
        <v>102</v>
      </c>
      <c r="R856" s="38" t="s">
        <v>102</v>
      </c>
      <c r="S856" s="38" t="s">
        <v>102</v>
      </c>
      <c r="T856" s="38" t="s">
        <v>2828</v>
      </c>
      <c r="U856" s="43">
        <v>4</v>
      </c>
    </row>
    <row r="857" spans="2:21" ht="14.5" outlineLevel="3">
      <c r="B857" s="44" t="s">
        <v>2966</v>
      </c>
      <c r="C857" s="45" t="s">
        <v>2967</v>
      </c>
      <c r="D857" s="46" t="s">
        <v>102</v>
      </c>
      <c r="E857" s="47" t="s">
        <v>102</v>
      </c>
      <c r="F857" s="46" t="s">
        <v>102</v>
      </c>
      <c r="G857" s="47" t="s">
        <v>102</v>
      </c>
      <c r="H857" s="48">
        <v>0</v>
      </c>
      <c r="I857" s="48">
        <v>0</v>
      </c>
      <c r="J857" s="47" t="s">
        <v>102</v>
      </c>
      <c r="K857" s="49">
        <v>0</v>
      </c>
      <c r="L857" s="49" t="s">
        <v>102</v>
      </c>
      <c r="M857" s="46" t="s">
        <v>102</v>
      </c>
      <c r="N857" s="50">
        <v>0</v>
      </c>
      <c r="O857" s="50">
        <v>0</v>
      </c>
      <c r="P857" s="50">
        <v>0</v>
      </c>
      <c r="Q857" s="46" t="s">
        <v>102</v>
      </c>
      <c r="R857" s="46" t="s">
        <v>102</v>
      </c>
      <c r="S857" s="46" t="s">
        <v>2968</v>
      </c>
      <c r="T857" s="46" t="s">
        <v>102</v>
      </c>
      <c r="U857" s="51">
        <v>3</v>
      </c>
    </row>
    <row r="858" spans="2:21" ht="14.5" outlineLevel="3">
      <c r="B858" s="44" t="s">
        <v>2969</v>
      </c>
      <c r="C858" s="45" t="s">
        <v>2970</v>
      </c>
      <c r="D858" s="46" t="s">
        <v>2804</v>
      </c>
      <c r="E858" s="47" t="s">
        <v>102</v>
      </c>
      <c r="F858" s="46" t="s">
        <v>102</v>
      </c>
      <c r="G858" s="47" t="s">
        <v>102</v>
      </c>
      <c r="H858" s="48">
        <v>0</v>
      </c>
      <c r="I858" s="48">
        <v>0</v>
      </c>
      <c r="J858" s="47" t="s">
        <v>2613</v>
      </c>
      <c r="K858" s="49">
        <v>1</v>
      </c>
      <c r="L858" s="49" t="s">
        <v>2614</v>
      </c>
      <c r="M858" s="46" t="s">
        <v>117</v>
      </c>
      <c r="N858" s="50">
        <v>0</v>
      </c>
      <c r="O858" s="50">
        <v>0</v>
      </c>
      <c r="P858" s="50">
        <v>0</v>
      </c>
      <c r="Q858" s="46" t="s">
        <v>102</v>
      </c>
      <c r="R858" s="46" t="s">
        <v>102</v>
      </c>
      <c r="S858" s="46" t="s">
        <v>102</v>
      </c>
      <c r="T858" s="46" t="s">
        <v>1019</v>
      </c>
      <c r="U858" s="51">
        <v>4</v>
      </c>
    </row>
    <row r="859" spans="2:21" ht="14.5" outlineLevel="3">
      <c r="B859" s="44" t="s">
        <v>2971</v>
      </c>
      <c r="C859" s="45" t="s">
        <v>2972</v>
      </c>
      <c r="D859" s="46" t="s">
        <v>102</v>
      </c>
      <c r="E859" s="47" t="s">
        <v>102</v>
      </c>
      <c r="F859" s="46" t="s">
        <v>102</v>
      </c>
      <c r="G859" s="47" t="s">
        <v>102</v>
      </c>
      <c r="H859" s="48">
        <v>0</v>
      </c>
      <c r="I859" s="48">
        <v>0</v>
      </c>
      <c r="J859" s="47" t="s">
        <v>102</v>
      </c>
      <c r="K859" s="49">
        <v>0</v>
      </c>
      <c r="L859" s="49" t="s">
        <v>102</v>
      </c>
      <c r="M859" s="46" t="s">
        <v>102</v>
      </c>
      <c r="N859" s="50">
        <v>0</v>
      </c>
      <c r="O859" s="50">
        <v>0</v>
      </c>
      <c r="P859" s="50">
        <v>0</v>
      </c>
      <c r="Q859" s="46" t="s">
        <v>102</v>
      </c>
      <c r="R859" s="46" t="s">
        <v>102</v>
      </c>
      <c r="S859" s="46" t="s">
        <v>2973</v>
      </c>
      <c r="T859" s="46" t="s">
        <v>102</v>
      </c>
      <c r="U859" s="51">
        <v>3</v>
      </c>
    </row>
    <row r="860" spans="2:21" ht="14.5" outlineLevel="3">
      <c r="B860" s="44" t="s">
        <v>2974</v>
      </c>
      <c r="C860" s="45" t="s">
        <v>2975</v>
      </c>
      <c r="D860" s="46" t="s">
        <v>2804</v>
      </c>
      <c r="E860" s="47" t="s">
        <v>102</v>
      </c>
      <c r="F860" s="46" t="s">
        <v>102</v>
      </c>
      <c r="G860" s="47" t="s">
        <v>102</v>
      </c>
      <c r="H860" s="48">
        <v>0</v>
      </c>
      <c r="I860" s="48">
        <v>0</v>
      </c>
      <c r="J860" s="47" t="s">
        <v>2613</v>
      </c>
      <c r="K860" s="49">
        <v>1</v>
      </c>
      <c r="L860" s="49" t="s">
        <v>2614</v>
      </c>
      <c r="M860" s="46" t="s">
        <v>117</v>
      </c>
      <c r="N860" s="50">
        <v>0</v>
      </c>
      <c r="O860" s="50">
        <v>0</v>
      </c>
      <c r="P860" s="50">
        <v>0</v>
      </c>
      <c r="Q860" s="46" t="s">
        <v>102</v>
      </c>
      <c r="R860" s="46" t="s">
        <v>102</v>
      </c>
      <c r="S860" s="46" t="s">
        <v>102</v>
      </c>
      <c r="T860" s="46" t="s">
        <v>1019</v>
      </c>
      <c r="U860" s="51">
        <v>4</v>
      </c>
    </row>
    <row r="861" spans="2:21" ht="14.5" outlineLevel="3">
      <c r="B861" s="44" t="s">
        <v>2976</v>
      </c>
      <c r="C861" s="45" t="s">
        <v>2977</v>
      </c>
      <c r="D861" s="46" t="s">
        <v>2804</v>
      </c>
      <c r="E861" s="47" t="s">
        <v>102</v>
      </c>
      <c r="F861" s="46" t="s">
        <v>102</v>
      </c>
      <c r="G861" s="47" t="s">
        <v>102</v>
      </c>
      <c r="H861" s="48">
        <v>0</v>
      </c>
      <c r="I861" s="48">
        <v>0</v>
      </c>
      <c r="J861" s="47" t="s">
        <v>2613</v>
      </c>
      <c r="K861" s="49">
        <v>1</v>
      </c>
      <c r="L861" s="49" t="s">
        <v>2614</v>
      </c>
      <c r="M861" s="46" t="s">
        <v>117</v>
      </c>
      <c r="N861" s="50">
        <v>0</v>
      </c>
      <c r="O861" s="50">
        <v>0</v>
      </c>
      <c r="P861" s="50">
        <v>0</v>
      </c>
      <c r="Q861" s="46" t="s">
        <v>102</v>
      </c>
      <c r="R861" s="46" t="s">
        <v>102</v>
      </c>
      <c r="S861" s="46" t="s">
        <v>102</v>
      </c>
      <c r="T861" s="46" t="s">
        <v>2740</v>
      </c>
      <c r="U861" s="51">
        <v>4</v>
      </c>
    </row>
    <row r="862" spans="2:21" ht="14.5" outlineLevel="2">
      <c r="B862" s="36" t="s">
        <v>2978</v>
      </c>
      <c r="C862" s="37" t="s">
        <v>2975</v>
      </c>
      <c r="D862" s="38" t="s">
        <v>2804</v>
      </c>
      <c r="E862" s="39" t="s">
        <v>102</v>
      </c>
      <c r="F862" s="38" t="s">
        <v>102</v>
      </c>
      <c r="G862" s="39" t="s">
        <v>102</v>
      </c>
      <c r="H862" s="40">
        <v>0</v>
      </c>
      <c r="I862" s="40">
        <v>0</v>
      </c>
      <c r="J862" s="39" t="s">
        <v>2613</v>
      </c>
      <c r="K862" s="41">
        <v>1</v>
      </c>
      <c r="L862" s="41" t="s">
        <v>2614</v>
      </c>
      <c r="M862" s="38" t="s">
        <v>117</v>
      </c>
      <c r="N862" s="42">
        <v>0</v>
      </c>
      <c r="O862" s="42">
        <v>0</v>
      </c>
      <c r="P862" s="42">
        <v>0</v>
      </c>
      <c r="Q862" s="38" t="s">
        <v>102</v>
      </c>
      <c r="R862" s="38" t="s">
        <v>102</v>
      </c>
      <c r="S862" s="38" t="s">
        <v>102</v>
      </c>
      <c r="T862" s="38" t="s">
        <v>2815</v>
      </c>
      <c r="U862" s="43">
        <v>4</v>
      </c>
    </row>
    <row r="863" spans="2:21" ht="14.5" outlineLevel="3">
      <c r="B863" s="44" t="s">
        <v>2979</v>
      </c>
      <c r="C863" s="45" t="s">
        <v>2980</v>
      </c>
      <c r="D863" s="46" t="s">
        <v>2804</v>
      </c>
      <c r="E863" s="47" t="s">
        <v>102</v>
      </c>
      <c r="F863" s="46" t="s">
        <v>102</v>
      </c>
      <c r="G863" s="47" t="s">
        <v>102</v>
      </c>
      <c r="H863" s="48">
        <v>0</v>
      </c>
      <c r="I863" s="48">
        <v>0</v>
      </c>
      <c r="J863" s="47" t="s">
        <v>2613</v>
      </c>
      <c r="K863" s="49">
        <v>1</v>
      </c>
      <c r="L863" s="49" t="s">
        <v>2614</v>
      </c>
      <c r="M863" s="46" t="s">
        <v>117</v>
      </c>
      <c r="N863" s="50">
        <v>0</v>
      </c>
      <c r="O863" s="50">
        <v>0</v>
      </c>
      <c r="P863" s="50">
        <v>0</v>
      </c>
      <c r="Q863" s="46" t="s">
        <v>102</v>
      </c>
      <c r="R863" s="46" t="s">
        <v>102</v>
      </c>
      <c r="S863" s="46" t="s">
        <v>102</v>
      </c>
      <c r="T863" s="46" t="s">
        <v>2787</v>
      </c>
      <c r="U863" s="51">
        <v>4</v>
      </c>
    </row>
    <row r="864" spans="2:21" ht="14.5" outlineLevel="3">
      <c r="B864" s="44" t="s">
        <v>2981</v>
      </c>
      <c r="C864" s="45" t="s">
        <v>2982</v>
      </c>
      <c r="D864" s="46" t="s">
        <v>2804</v>
      </c>
      <c r="E864" s="47" t="s">
        <v>102</v>
      </c>
      <c r="F864" s="46" t="s">
        <v>102</v>
      </c>
      <c r="G864" s="47" t="s">
        <v>102</v>
      </c>
      <c r="H864" s="48">
        <v>0</v>
      </c>
      <c r="I864" s="48">
        <v>0</v>
      </c>
      <c r="J864" s="47" t="s">
        <v>2613</v>
      </c>
      <c r="K864" s="49">
        <v>1</v>
      </c>
      <c r="L864" s="49" t="s">
        <v>2614</v>
      </c>
      <c r="M864" s="46" t="s">
        <v>117</v>
      </c>
      <c r="N864" s="50">
        <v>0</v>
      </c>
      <c r="O864" s="50">
        <v>0</v>
      </c>
      <c r="P864" s="50">
        <v>0</v>
      </c>
      <c r="Q864" s="46" t="s">
        <v>102</v>
      </c>
      <c r="R864" s="46" t="s">
        <v>102</v>
      </c>
      <c r="S864" s="46" t="s">
        <v>102</v>
      </c>
      <c r="T864" s="46" t="s">
        <v>461</v>
      </c>
      <c r="U864" s="51">
        <v>4</v>
      </c>
    </row>
    <row r="865" spans="2:21" ht="14.5" outlineLevel="2">
      <c r="B865" s="36" t="s">
        <v>2983</v>
      </c>
      <c r="C865" s="37" t="s">
        <v>2984</v>
      </c>
      <c r="D865" s="38" t="s">
        <v>102</v>
      </c>
      <c r="E865" s="39" t="s">
        <v>102</v>
      </c>
      <c r="F865" s="38" t="s">
        <v>102</v>
      </c>
      <c r="G865" s="39" t="s">
        <v>102</v>
      </c>
      <c r="H865" s="40">
        <v>0</v>
      </c>
      <c r="I865" s="40">
        <v>0</v>
      </c>
      <c r="J865" s="39" t="s">
        <v>102</v>
      </c>
      <c r="K865" s="41">
        <v>0</v>
      </c>
      <c r="L865" s="41" t="s">
        <v>102</v>
      </c>
      <c r="M865" s="38" t="s">
        <v>102</v>
      </c>
      <c r="N865" s="42">
        <v>0</v>
      </c>
      <c r="O865" s="42">
        <v>0</v>
      </c>
      <c r="P865" s="42">
        <v>0</v>
      </c>
      <c r="Q865" s="38" t="s">
        <v>102</v>
      </c>
      <c r="R865" s="38" t="s">
        <v>102</v>
      </c>
      <c r="S865" s="38" t="s">
        <v>2985</v>
      </c>
      <c r="T865" s="38" t="s">
        <v>102</v>
      </c>
      <c r="U865" s="43">
        <v>3</v>
      </c>
    </row>
    <row r="866" spans="2:21" ht="14.5" outlineLevel="3">
      <c r="B866" s="44" t="s">
        <v>2986</v>
      </c>
      <c r="C866" s="45" t="s">
        <v>2987</v>
      </c>
      <c r="D866" s="46" t="s">
        <v>2804</v>
      </c>
      <c r="E866" s="47" t="s">
        <v>102</v>
      </c>
      <c r="F866" s="46" t="s">
        <v>102</v>
      </c>
      <c r="G866" s="47" t="s">
        <v>102</v>
      </c>
      <c r="H866" s="48">
        <v>0</v>
      </c>
      <c r="I866" s="48">
        <v>0</v>
      </c>
      <c r="J866" s="47" t="s">
        <v>2613</v>
      </c>
      <c r="K866" s="49">
        <v>1</v>
      </c>
      <c r="L866" s="49" t="s">
        <v>2614</v>
      </c>
      <c r="M866" s="46" t="s">
        <v>117</v>
      </c>
      <c r="N866" s="50">
        <v>0</v>
      </c>
      <c r="O866" s="50">
        <v>0</v>
      </c>
      <c r="P866" s="50">
        <v>0</v>
      </c>
      <c r="Q866" s="46" t="s">
        <v>102</v>
      </c>
      <c r="R866" s="46" t="s">
        <v>102</v>
      </c>
      <c r="S866" s="46" t="s">
        <v>102</v>
      </c>
      <c r="T866" s="46" t="s">
        <v>1019</v>
      </c>
      <c r="U866" s="51">
        <v>4</v>
      </c>
    </row>
    <row r="867" spans="2:21" ht="14.5" outlineLevel="2">
      <c r="B867" s="36" t="s">
        <v>2988</v>
      </c>
      <c r="C867" s="37" t="s">
        <v>2989</v>
      </c>
      <c r="D867" s="38" t="s">
        <v>2804</v>
      </c>
      <c r="E867" s="39" t="s">
        <v>102</v>
      </c>
      <c r="F867" s="38" t="s">
        <v>102</v>
      </c>
      <c r="G867" s="39" t="s">
        <v>102</v>
      </c>
      <c r="H867" s="40">
        <v>0</v>
      </c>
      <c r="I867" s="40">
        <v>0</v>
      </c>
      <c r="J867" s="39" t="s">
        <v>2613</v>
      </c>
      <c r="K867" s="41">
        <v>1</v>
      </c>
      <c r="L867" s="41" t="s">
        <v>2614</v>
      </c>
      <c r="M867" s="38" t="s">
        <v>117</v>
      </c>
      <c r="N867" s="42">
        <v>0</v>
      </c>
      <c r="O867" s="42">
        <v>0</v>
      </c>
      <c r="P867" s="42">
        <v>0</v>
      </c>
      <c r="Q867" s="38" t="s">
        <v>102</v>
      </c>
      <c r="R867" s="38" t="s">
        <v>102</v>
      </c>
      <c r="S867" s="38" t="s">
        <v>102</v>
      </c>
      <c r="T867" s="38" t="s">
        <v>2815</v>
      </c>
      <c r="U867" s="43">
        <v>4</v>
      </c>
    </row>
    <row r="868" spans="2:21" ht="14.5" outlineLevel="3">
      <c r="B868" s="44" t="s">
        <v>2990</v>
      </c>
      <c r="C868" s="45" t="s">
        <v>2991</v>
      </c>
      <c r="D868" s="46" t="s">
        <v>102</v>
      </c>
      <c r="E868" s="47" t="s">
        <v>102</v>
      </c>
      <c r="F868" s="46" t="s">
        <v>102</v>
      </c>
      <c r="G868" s="47" t="s">
        <v>102</v>
      </c>
      <c r="H868" s="48">
        <v>0</v>
      </c>
      <c r="I868" s="48">
        <v>0</v>
      </c>
      <c r="J868" s="47" t="s">
        <v>102</v>
      </c>
      <c r="K868" s="49">
        <v>0</v>
      </c>
      <c r="L868" s="49" t="s">
        <v>102</v>
      </c>
      <c r="M868" s="46" t="s">
        <v>102</v>
      </c>
      <c r="N868" s="50">
        <v>0</v>
      </c>
      <c r="O868" s="50">
        <v>0</v>
      </c>
      <c r="P868" s="50">
        <v>0</v>
      </c>
      <c r="Q868" s="46" t="s">
        <v>102</v>
      </c>
      <c r="R868" s="46" t="s">
        <v>102</v>
      </c>
      <c r="S868" s="46" t="s">
        <v>2992</v>
      </c>
      <c r="T868" s="46" t="s">
        <v>102</v>
      </c>
      <c r="U868" s="51">
        <v>3</v>
      </c>
    </row>
    <row r="869" spans="2:21" ht="14.5" outlineLevel="2">
      <c r="B869" s="36" t="s">
        <v>2993</v>
      </c>
      <c r="C869" s="37" t="s">
        <v>2994</v>
      </c>
      <c r="D869" s="38" t="s">
        <v>2804</v>
      </c>
      <c r="E869" s="39" t="s">
        <v>102</v>
      </c>
      <c r="F869" s="38" t="s">
        <v>102</v>
      </c>
      <c r="G869" s="39" t="s">
        <v>102</v>
      </c>
      <c r="H869" s="40">
        <v>0</v>
      </c>
      <c r="I869" s="40">
        <v>0</v>
      </c>
      <c r="J869" s="39" t="s">
        <v>2613</v>
      </c>
      <c r="K869" s="41">
        <v>1</v>
      </c>
      <c r="L869" s="41" t="s">
        <v>2614</v>
      </c>
      <c r="M869" s="38" t="s">
        <v>117</v>
      </c>
      <c r="N869" s="42">
        <v>0</v>
      </c>
      <c r="O869" s="42">
        <v>0</v>
      </c>
      <c r="P869" s="42">
        <v>0</v>
      </c>
      <c r="Q869" s="38" t="s">
        <v>102</v>
      </c>
      <c r="R869" s="38" t="s">
        <v>102</v>
      </c>
      <c r="S869" s="38" t="s">
        <v>102</v>
      </c>
      <c r="T869" s="38" t="s">
        <v>1019</v>
      </c>
      <c r="U869" s="43">
        <v>4</v>
      </c>
    </row>
    <row r="870" spans="2:21" ht="14.5" outlineLevel="3">
      <c r="B870" s="44" t="s">
        <v>2995</v>
      </c>
      <c r="C870" s="45" t="s">
        <v>2996</v>
      </c>
      <c r="D870" s="46" t="s">
        <v>102</v>
      </c>
      <c r="E870" s="47" t="s">
        <v>102</v>
      </c>
      <c r="F870" s="46" t="s">
        <v>102</v>
      </c>
      <c r="G870" s="47" t="s">
        <v>102</v>
      </c>
      <c r="H870" s="48">
        <v>0</v>
      </c>
      <c r="I870" s="48">
        <v>0</v>
      </c>
      <c r="J870" s="47" t="s">
        <v>102</v>
      </c>
      <c r="K870" s="49">
        <v>0</v>
      </c>
      <c r="L870" s="49" t="s">
        <v>102</v>
      </c>
      <c r="M870" s="46" t="s">
        <v>102</v>
      </c>
      <c r="N870" s="50">
        <v>0</v>
      </c>
      <c r="O870" s="50">
        <v>0</v>
      </c>
      <c r="P870" s="50">
        <v>0</v>
      </c>
      <c r="Q870" s="46" t="s">
        <v>102</v>
      </c>
      <c r="R870" s="46" t="s">
        <v>102</v>
      </c>
      <c r="S870" s="46" t="s">
        <v>2997</v>
      </c>
      <c r="T870" s="46" t="s">
        <v>102</v>
      </c>
      <c r="U870" s="51">
        <v>3</v>
      </c>
    </row>
    <row r="871" spans="2:21" ht="14.5" outlineLevel="2">
      <c r="B871" s="36" t="s">
        <v>2998</v>
      </c>
      <c r="C871" s="37" t="s">
        <v>2999</v>
      </c>
      <c r="D871" s="38" t="s">
        <v>2804</v>
      </c>
      <c r="E871" s="39" t="s">
        <v>102</v>
      </c>
      <c r="F871" s="38" t="s">
        <v>102</v>
      </c>
      <c r="G871" s="39" t="s">
        <v>102</v>
      </c>
      <c r="H871" s="40">
        <v>0</v>
      </c>
      <c r="I871" s="40">
        <v>0</v>
      </c>
      <c r="J871" s="39" t="s">
        <v>2613</v>
      </c>
      <c r="K871" s="41">
        <v>1</v>
      </c>
      <c r="L871" s="41" t="s">
        <v>2614</v>
      </c>
      <c r="M871" s="38" t="s">
        <v>117</v>
      </c>
      <c r="N871" s="42">
        <v>0</v>
      </c>
      <c r="O871" s="42">
        <v>0</v>
      </c>
      <c r="P871" s="42">
        <v>0</v>
      </c>
      <c r="Q871" s="38" t="s">
        <v>102</v>
      </c>
      <c r="R871" s="38" t="s">
        <v>102</v>
      </c>
      <c r="S871" s="38" t="s">
        <v>102</v>
      </c>
      <c r="T871" s="38" t="s">
        <v>1019</v>
      </c>
      <c r="U871" s="43">
        <v>4</v>
      </c>
    </row>
    <row r="872" spans="2:21" ht="14.5" outlineLevel="3">
      <c r="B872" s="44" t="s">
        <v>3000</v>
      </c>
      <c r="C872" s="45" t="s">
        <v>3001</v>
      </c>
      <c r="D872" s="46" t="s">
        <v>102</v>
      </c>
      <c r="E872" s="47" t="s">
        <v>102</v>
      </c>
      <c r="F872" s="46" t="s">
        <v>102</v>
      </c>
      <c r="G872" s="47" t="s">
        <v>102</v>
      </c>
      <c r="H872" s="48">
        <v>0</v>
      </c>
      <c r="I872" s="48">
        <v>0</v>
      </c>
      <c r="J872" s="47" t="s">
        <v>102</v>
      </c>
      <c r="K872" s="49">
        <v>0</v>
      </c>
      <c r="L872" s="49" t="s">
        <v>102</v>
      </c>
      <c r="M872" s="46" t="s">
        <v>102</v>
      </c>
      <c r="N872" s="50">
        <v>0</v>
      </c>
      <c r="O872" s="50">
        <v>0</v>
      </c>
      <c r="P872" s="50">
        <v>0</v>
      </c>
      <c r="Q872" s="46" t="s">
        <v>102</v>
      </c>
      <c r="R872" s="46" t="s">
        <v>102</v>
      </c>
      <c r="S872" s="46" t="s">
        <v>3002</v>
      </c>
      <c r="T872" s="46" t="s">
        <v>102</v>
      </c>
      <c r="U872" s="51">
        <v>3</v>
      </c>
    </row>
    <row r="873" spans="2:21" ht="14.5" outlineLevel="3">
      <c r="B873" s="44" t="s">
        <v>3003</v>
      </c>
      <c r="C873" s="45" t="s">
        <v>3004</v>
      </c>
      <c r="D873" s="46" t="s">
        <v>2804</v>
      </c>
      <c r="E873" s="47" t="s">
        <v>102</v>
      </c>
      <c r="F873" s="46" t="s">
        <v>102</v>
      </c>
      <c r="G873" s="47" t="s">
        <v>102</v>
      </c>
      <c r="H873" s="48">
        <v>0</v>
      </c>
      <c r="I873" s="48">
        <v>0</v>
      </c>
      <c r="J873" s="47" t="s">
        <v>2613</v>
      </c>
      <c r="K873" s="49">
        <v>1</v>
      </c>
      <c r="L873" s="49" t="s">
        <v>2614</v>
      </c>
      <c r="M873" s="46" t="s">
        <v>117</v>
      </c>
      <c r="N873" s="50">
        <v>0</v>
      </c>
      <c r="O873" s="50">
        <v>0</v>
      </c>
      <c r="P873" s="50">
        <v>0</v>
      </c>
      <c r="Q873" s="46" t="s">
        <v>102</v>
      </c>
      <c r="R873" s="46" t="s">
        <v>102</v>
      </c>
      <c r="S873" s="46" t="s">
        <v>102</v>
      </c>
      <c r="T873" s="46" t="s">
        <v>1019</v>
      </c>
      <c r="U873" s="51">
        <v>4</v>
      </c>
    </row>
    <row r="874" spans="2:21" ht="14.5" outlineLevel="3">
      <c r="B874" s="44" t="s">
        <v>3005</v>
      </c>
      <c r="C874" s="45" t="s">
        <v>3006</v>
      </c>
      <c r="D874" s="46" t="s">
        <v>102</v>
      </c>
      <c r="E874" s="47" t="s">
        <v>102</v>
      </c>
      <c r="F874" s="46" t="s">
        <v>102</v>
      </c>
      <c r="G874" s="47" t="s">
        <v>102</v>
      </c>
      <c r="H874" s="48">
        <v>0</v>
      </c>
      <c r="I874" s="48">
        <v>0</v>
      </c>
      <c r="J874" s="47" t="s">
        <v>102</v>
      </c>
      <c r="K874" s="49">
        <v>0</v>
      </c>
      <c r="L874" s="49" t="s">
        <v>102</v>
      </c>
      <c r="M874" s="46" t="s">
        <v>102</v>
      </c>
      <c r="N874" s="50">
        <v>0</v>
      </c>
      <c r="O874" s="50">
        <v>0</v>
      </c>
      <c r="P874" s="50">
        <v>0</v>
      </c>
      <c r="Q874" s="46" t="s">
        <v>102</v>
      </c>
      <c r="R874" s="46" t="s">
        <v>102</v>
      </c>
      <c r="S874" s="46" t="s">
        <v>3007</v>
      </c>
      <c r="T874" s="46" t="s">
        <v>102</v>
      </c>
      <c r="U874" s="51">
        <v>3</v>
      </c>
    </row>
    <row r="875" spans="2:21" ht="14.5" outlineLevel="2">
      <c r="B875" s="36" t="s">
        <v>3008</v>
      </c>
      <c r="C875" s="37" t="s">
        <v>3009</v>
      </c>
      <c r="D875" s="38" t="s">
        <v>2804</v>
      </c>
      <c r="E875" s="39" t="s">
        <v>102</v>
      </c>
      <c r="F875" s="38" t="s">
        <v>102</v>
      </c>
      <c r="G875" s="39" t="s">
        <v>102</v>
      </c>
      <c r="H875" s="40">
        <v>0</v>
      </c>
      <c r="I875" s="40">
        <v>0</v>
      </c>
      <c r="J875" s="39" t="s">
        <v>2613</v>
      </c>
      <c r="K875" s="41">
        <v>1</v>
      </c>
      <c r="L875" s="41" t="s">
        <v>2614</v>
      </c>
      <c r="M875" s="38" t="s">
        <v>117</v>
      </c>
      <c r="N875" s="42">
        <v>0</v>
      </c>
      <c r="O875" s="42">
        <v>0</v>
      </c>
      <c r="P875" s="42">
        <v>0</v>
      </c>
      <c r="Q875" s="38" t="s">
        <v>102</v>
      </c>
      <c r="R875" s="38" t="s">
        <v>102</v>
      </c>
      <c r="S875" s="38" t="s">
        <v>102</v>
      </c>
      <c r="T875" s="38" t="s">
        <v>223</v>
      </c>
      <c r="U875" s="43">
        <v>4</v>
      </c>
    </row>
    <row r="876" spans="2:21" ht="14.5" outlineLevel="3">
      <c r="B876" s="44" t="s">
        <v>3010</v>
      </c>
      <c r="C876" s="45" t="s">
        <v>3011</v>
      </c>
      <c r="D876" s="46" t="s">
        <v>2804</v>
      </c>
      <c r="E876" s="47" t="s">
        <v>102</v>
      </c>
      <c r="F876" s="46" t="s">
        <v>102</v>
      </c>
      <c r="G876" s="47" t="s">
        <v>102</v>
      </c>
      <c r="H876" s="48">
        <v>0</v>
      </c>
      <c r="I876" s="48">
        <v>0</v>
      </c>
      <c r="J876" s="47" t="s">
        <v>2613</v>
      </c>
      <c r="K876" s="49">
        <v>1</v>
      </c>
      <c r="L876" s="49" t="s">
        <v>2614</v>
      </c>
      <c r="M876" s="46" t="s">
        <v>117</v>
      </c>
      <c r="N876" s="50">
        <v>0</v>
      </c>
      <c r="O876" s="50">
        <v>0</v>
      </c>
      <c r="P876" s="50">
        <v>0</v>
      </c>
      <c r="Q876" s="46" t="s">
        <v>102</v>
      </c>
      <c r="R876" s="46" t="s">
        <v>102</v>
      </c>
      <c r="S876" s="46" t="s">
        <v>102</v>
      </c>
      <c r="T876" s="46" t="s">
        <v>778</v>
      </c>
      <c r="U876" s="51">
        <v>4</v>
      </c>
    </row>
    <row r="877" spans="2:21" ht="14.5" outlineLevel="2">
      <c r="B877" s="36" t="s">
        <v>3012</v>
      </c>
      <c r="C877" s="37" t="s">
        <v>3013</v>
      </c>
      <c r="D877" s="38" t="s">
        <v>2804</v>
      </c>
      <c r="E877" s="39" t="s">
        <v>102</v>
      </c>
      <c r="F877" s="38" t="s">
        <v>102</v>
      </c>
      <c r="G877" s="39" t="s">
        <v>102</v>
      </c>
      <c r="H877" s="40">
        <v>0</v>
      </c>
      <c r="I877" s="40">
        <v>0</v>
      </c>
      <c r="J877" s="39" t="s">
        <v>2613</v>
      </c>
      <c r="K877" s="41">
        <v>1</v>
      </c>
      <c r="L877" s="41" t="s">
        <v>2614</v>
      </c>
      <c r="M877" s="38" t="s">
        <v>117</v>
      </c>
      <c r="N877" s="42">
        <v>0</v>
      </c>
      <c r="O877" s="42">
        <v>0</v>
      </c>
      <c r="P877" s="42">
        <v>0</v>
      </c>
      <c r="Q877" s="38" t="s">
        <v>102</v>
      </c>
      <c r="R877" s="38" t="s">
        <v>102</v>
      </c>
      <c r="S877" s="38" t="s">
        <v>102</v>
      </c>
      <c r="T877" s="38" t="s">
        <v>3014</v>
      </c>
      <c r="U877" s="43">
        <v>4</v>
      </c>
    </row>
    <row r="878" spans="2:21" ht="14.5" outlineLevel="3">
      <c r="B878" s="44" t="s">
        <v>3015</v>
      </c>
      <c r="C878" s="45" t="s">
        <v>3016</v>
      </c>
      <c r="D878" s="46" t="s">
        <v>102</v>
      </c>
      <c r="E878" s="47" t="s">
        <v>102</v>
      </c>
      <c r="F878" s="46" t="s">
        <v>102</v>
      </c>
      <c r="G878" s="47" t="s">
        <v>102</v>
      </c>
      <c r="H878" s="48">
        <v>0</v>
      </c>
      <c r="I878" s="48">
        <v>0</v>
      </c>
      <c r="J878" s="47" t="s">
        <v>102</v>
      </c>
      <c r="K878" s="49">
        <v>0</v>
      </c>
      <c r="L878" s="49" t="s">
        <v>102</v>
      </c>
      <c r="M878" s="46" t="s">
        <v>102</v>
      </c>
      <c r="N878" s="50">
        <v>0</v>
      </c>
      <c r="O878" s="50">
        <v>0</v>
      </c>
      <c r="P878" s="50">
        <v>0</v>
      </c>
      <c r="Q878" s="46" t="s">
        <v>102</v>
      </c>
      <c r="R878" s="46" t="s">
        <v>102</v>
      </c>
      <c r="S878" s="46" t="s">
        <v>3017</v>
      </c>
      <c r="T878" s="46" t="s">
        <v>102</v>
      </c>
      <c r="U878" s="51">
        <v>3</v>
      </c>
    </row>
    <row r="879" spans="2:21" ht="14.5" outlineLevel="2">
      <c r="B879" s="36" t="s">
        <v>3018</v>
      </c>
      <c r="C879" s="37" t="s">
        <v>3019</v>
      </c>
      <c r="D879" s="38" t="s">
        <v>2804</v>
      </c>
      <c r="E879" s="39" t="s">
        <v>102</v>
      </c>
      <c r="F879" s="38" t="s">
        <v>102</v>
      </c>
      <c r="G879" s="39" t="s">
        <v>102</v>
      </c>
      <c r="H879" s="40">
        <v>0</v>
      </c>
      <c r="I879" s="40">
        <v>0</v>
      </c>
      <c r="J879" s="39" t="s">
        <v>2613</v>
      </c>
      <c r="K879" s="41">
        <v>1</v>
      </c>
      <c r="L879" s="41" t="s">
        <v>2614</v>
      </c>
      <c r="M879" s="38" t="s">
        <v>117</v>
      </c>
      <c r="N879" s="42">
        <v>0</v>
      </c>
      <c r="O879" s="42">
        <v>0</v>
      </c>
      <c r="P879" s="42">
        <v>0</v>
      </c>
      <c r="Q879" s="38" t="s">
        <v>102</v>
      </c>
      <c r="R879" s="38" t="s">
        <v>102</v>
      </c>
      <c r="S879" s="38" t="s">
        <v>102</v>
      </c>
      <c r="T879" s="38" t="s">
        <v>1019</v>
      </c>
      <c r="U879" s="43">
        <v>4</v>
      </c>
    </row>
    <row r="880" spans="2:21" ht="14.5" outlineLevel="3">
      <c r="B880" s="44" t="s">
        <v>3020</v>
      </c>
      <c r="C880" s="45" t="s">
        <v>3021</v>
      </c>
      <c r="D880" s="46" t="s">
        <v>102</v>
      </c>
      <c r="E880" s="47" t="s">
        <v>102</v>
      </c>
      <c r="F880" s="46" t="s">
        <v>102</v>
      </c>
      <c r="G880" s="47" t="s">
        <v>102</v>
      </c>
      <c r="H880" s="48">
        <v>0</v>
      </c>
      <c r="I880" s="48">
        <v>0</v>
      </c>
      <c r="J880" s="47" t="s">
        <v>102</v>
      </c>
      <c r="K880" s="49">
        <v>0</v>
      </c>
      <c r="L880" s="49" t="s">
        <v>102</v>
      </c>
      <c r="M880" s="46" t="s">
        <v>102</v>
      </c>
      <c r="N880" s="50">
        <v>0</v>
      </c>
      <c r="O880" s="50">
        <v>0</v>
      </c>
      <c r="P880" s="50">
        <v>0</v>
      </c>
      <c r="Q880" s="46" t="s">
        <v>102</v>
      </c>
      <c r="R880" s="46" t="s">
        <v>102</v>
      </c>
      <c r="S880" s="46" t="s">
        <v>3022</v>
      </c>
      <c r="T880" s="46" t="s">
        <v>102</v>
      </c>
      <c r="U880" s="51">
        <v>3</v>
      </c>
    </row>
    <row r="881" spans="2:21" ht="14.5" outlineLevel="2">
      <c r="B881" s="36" t="s">
        <v>3023</v>
      </c>
      <c r="C881" s="37" t="s">
        <v>3024</v>
      </c>
      <c r="D881" s="38" t="s">
        <v>2804</v>
      </c>
      <c r="E881" s="39" t="s">
        <v>102</v>
      </c>
      <c r="F881" s="38" t="s">
        <v>102</v>
      </c>
      <c r="G881" s="39" t="s">
        <v>102</v>
      </c>
      <c r="H881" s="40">
        <v>0</v>
      </c>
      <c r="I881" s="40">
        <v>0</v>
      </c>
      <c r="J881" s="39" t="s">
        <v>2613</v>
      </c>
      <c r="K881" s="41">
        <v>1</v>
      </c>
      <c r="L881" s="41" t="s">
        <v>2614</v>
      </c>
      <c r="M881" s="38" t="s">
        <v>117</v>
      </c>
      <c r="N881" s="42">
        <v>0</v>
      </c>
      <c r="O881" s="42">
        <v>0</v>
      </c>
      <c r="P881" s="42">
        <v>0</v>
      </c>
      <c r="Q881" s="38" t="s">
        <v>102</v>
      </c>
      <c r="R881" s="38" t="s">
        <v>102</v>
      </c>
      <c r="S881" s="38" t="s">
        <v>102</v>
      </c>
      <c r="T881" s="38" t="s">
        <v>1019</v>
      </c>
      <c r="U881" s="43">
        <v>4</v>
      </c>
    </row>
    <row r="882" spans="2:21" ht="14.5" outlineLevel="3">
      <c r="B882" s="44" t="s">
        <v>3025</v>
      </c>
      <c r="C882" s="45" t="s">
        <v>3026</v>
      </c>
      <c r="D882" s="46" t="s">
        <v>102</v>
      </c>
      <c r="E882" s="47" t="s">
        <v>102</v>
      </c>
      <c r="F882" s="46" t="s">
        <v>102</v>
      </c>
      <c r="G882" s="47" t="s">
        <v>102</v>
      </c>
      <c r="H882" s="48">
        <v>0</v>
      </c>
      <c r="I882" s="48">
        <v>0</v>
      </c>
      <c r="J882" s="47" t="s">
        <v>102</v>
      </c>
      <c r="K882" s="49">
        <v>0</v>
      </c>
      <c r="L882" s="49" t="s">
        <v>102</v>
      </c>
      <c r="M882" s="46" t="s">
        <v>102</v>
      </c>
      <c r="N882" s="50">
        <v>0</v>
      </c>
      <c r="O882" s="50">
        <v>0</v>
      </c>
      <c r="P882" s="50">
        <v>0</v>
      </c>
      <c r="Q882" s="46" t="s">
        <v>102</v>
      </c>
      <c r="R882" s="46" t="s">
        <v>102</v>
      </c>
      <c r="S882" s="46" t="s">
        <v>3027</v>
      </c>
      <c r="T882" s="46" t="s">
        <v>102</v>
      </c>
      <c r="U882" s="51">
        <v>3</v>
      </c>
    </row>
    <row r="883" spans="2:21" ht="14.5" outlineLevel="2">
      <c r="B883" s="36" t="s">
        <v>3028</v>
      </c>
      <c r="C883" s="37" t="s">
        <v>3029</v>
      </c>
      <c r="D883" s="38" t="s">
        <v>2804</v>
      </c>
      <c r="E883" s="39" t="s">
        <v>102</v>
      </c>
      <c r="F883" s="38" t="s">
        <v>102</v>
      </c>
      <c r="G883" s="39" t="s">
        <v>102</v>
      </c>
      <c r="H883" s="40">
        <v>0</v>
      </c>
      <c r="I883" s="40">
        <v>0</v>
      </c>
      <c r="J883" s="39" t="s">
        <v>2613</v>
      </c>
      <c r="K883" s="41">
        <v>1</v>
      </c>
      <c r="L883" s="41" t="s">
        <v>2614</v>
      </c>
      <c r="M883" s="38" t="s">
        <v>117</v>
      </c>
      <c r="N883" s="42">
        <v>0</v>
      </c>
      <c r="O883" s="42">
        <v>0</v>
      </c>
      <c r="P883" s="42">
        <v>0</v>
      </c>
      <c r="Q883" s="38" t="s">
        <v>102</v>
      </c>
      <c r="R883" s="38" t="s">
        <v>102</v>
      </c>
      <c r="S883" s="38" t="s">
        <v>102</v>
      </c>
      <c r="T883" s="38" t="s">
        <v>1019</v>
      </c>
      <c r="U883" s="43">
        <v>4</v>
      </c>
    </row>
    <row r="884" spans="2:21" ht="14.5" outlineLevel="3">
      <c r="B884" s="44" t="s">
        <v>3030</v>
      </c>
      <c r="C884" s="45" t="s">
        <v>3031</v>
      </c>
      <c r="D884" s="46" t="s">
        <v>102</v>
      </c>
      <c r="E884" s="47" t="s">
        <v>102</v>
      </c>
      <c r="F884" s="46" t="s">
        <v>102</v>
      </c>
      <c r="G884" s="47" t="s">
        <v>102</v>
      </c>
      <c r="H884" s="48">
        <v>0</v>
      </c>
      <c r="I884" s="48">
        <v>0</v>
      </c>
      <c r="J884" s="47" t="s">
        <v>102</v>
      </c>
      <c r="K884" s="49">
        <v>0</v>
      </c>
      <c r="L884" s="49" t="s">
        <v>102</v>
      </c>
      <c r="M884" s="46" t="s">
        <v>102</v>
      </c>
      <c r="N884" s="50">
        <v>0</v>
      </c>
      <c r="O884" s="50">
        <v>0</v>
      </c>
      <c r="P884" s="50">
        <v>0</v>
      </c>
      <c r="Q884" s="46" t="s">
        <v>102</v>
      </c>
      <c r="R884" s="46" t="s">
        <v>102</v>
      </c>
      <c r="S884" s="46" t="s">
        <v>3032</v>
      </c>
      <c r="T884" s="46" t="s">
        <v>102</v>
      </c>
      <c r="U884" s="51">
        <v>3</v>
      </c>
    </row>
    <row r="885" spans="2:21" ht="14.5" outlineLevel="3">
      <c r="B885" s="44" t="s">
        <v>3033</v>
      </c>
      <c r="C885" s="45" t="s">
        <v>3034</v>
      </c>
      <c r="D885" s="46" t="s">
        <v>2804</v>
      </c>
      <c r="E885" s="47" t="s">
        <v>102</v>
      </c>
      <c r="F885" s="46" t="s">
        <v>102</v>
      </c>
      <c r="G885" s="47" t="s">
        <v>102</v>
      </c>
      <c r="H885" s="48">
        <v>0</v>
      </c>
      <c r="I885" s="48">
        <v>0</v>
      </c>
      <c r="J885" s="47" t="s">
        <v>2613</v>
      </c>
      <c r="K885" s="49">
        <v>1</v>
      </c>
      <c r="L885" s="49" t="s">
        <v>2614</v>
      </c>
      <c r="M885" s="46" t="s">
        <v>117</v>
      </c>
      <c r="N885" s="50">
        <v>0</v>
      </c>
      <c r="O885" s="50">
        <v>0</v>
      </c>
      <c r="P885" s="50">
        <v>0</v>
      </c>
      <c r="Q885" s="46" t="s">
        <v>102</v>
      </c>
      <c r="R885" s="46" t="s">
        <v>102</v>
      </c>
      <c r="S885" s="46" t="s">
        <v>102</v>
      </c>
      <c r="T885" s="46" t="s">
        <v>1019</v>
      </c>
      <c r="U885" s="51">
        <v>4</v>
      </c>
    </row>
    <row r="886" spans="2:21" ht="14.5" outlineLevel="3">
      <c r="B886" s="44" t="s">
        <v>3035</v>
      </c>
      <c r="C886" s="45" t="s">
        <v>3036</v>
      </c>
      <c r="D886" s="46" t="s">
        <v>102</v>
      </c>
      <c r="E886" s="47" t="s">
        <v>102</v>
      </c>
      <c r="F886" s="46" t="s">
        <v>102</v>
      </c>
      <c r="G886" s="47" t="s">
        <v>102</v>
      </c>
      <c r="H886" s="48">
        <v>0</v>
      </c>
      <c r="I886" s="48">
        <v>0</v>
      </c>
      <c r="J886" s="47" t="s">
        <v>102</v>
      </c>
      <c r="K886" s="49">
        <v>0</v>
      </c>
      <c r="L886" s="49" t="s">
        <v>102</v>
      </c>
      <c r="M886" s="46" t="s">
        <v>102</v>
      </c>
      <c r="N886" s="50">
        <v>0</v>
      </c>
      <c r="O886" s="50">
        <v>0</v>
      </c>
      <c r="P886" s="50">
        <v>0</v>
      </c>
      <c r="Q886" s="46" t="s">
        <v>102</v>
      </c>
      <c r="R886" s="46" t="s">
        <v>102</v>
      </c>
      <c r="S886" s="46" t="s">
        <v>3037</v>
      </c>
      <c r="T886" s="46" t="s">
        <v>102</v>
      </c>
      <c r="U886" s="51">
        <v>3</v>
      </c>
    </row>
    <row r="887" spans="2:21" ht="14.5" outlineLevel="3">
      <c r="B887" s="44" t="s">
        <v>3038</v>
      </c>
      <c r="C887" s="45" t="s">
        <v>3039</v>
      </c>
      <c r="D887" s="46" t="s">
        <v>2804</v>
      </c>
      <c r="E887" s="47" t="s">
        <v>102</v>
      </c>
      <c r="F887" s="46" t="s">
        <v>102</v>
      </c>
      <c r="G887" s="47" t="s">
        <v>102</v>
      </c>
      <c r="H887" s="48">
        <v>0</v>
      </c>
      <c r="I887" s="48">
        <v>0</v>
      </c>
      <c r="J887" s="47" t="s">
        <v>2613</v>
      </c>
      <c r="K887" s="49">
        <v>1</v>
      </c>
      <c r="L887" s="49" t="s">
        <v>2614</v>
      </c>
      <c r="M887" s="46" t="s">
        <v>117</v>
      </c>
      <c r="N887" s="50">
        <v>0</v>
      </c>
      <c r="O887" s="50">
        <v>0</v>
      </c>
      <c r="P887" s="50">
        <v>0</v>
      </c>
      <c r="Q887" s="46" t="s">
        <v>102</v>
      </c>
      <c r="R887" s="46" t="s">
        <v>102</v>
      </c>
      <c r="S887" s="46" t="s">
        <v>102</v>
      </c>
      <c r="T887" s="46" t="s">
        <v>1019</v>
      </c>
      <c r="U887" s="51">
        <v>4</v>
      </c>
    </row>
    <row r="888" spans="2:21" ht="14.5" outlineLevel="3">
      <c r="B888" s="44" t="s">
        <v>3040</v>
      </c>
      <c r="C888" s="45" t="s">
        <v>3041</v>
      </c>
      <c r="D888" s="46" t="s">
        <v>2804</v>
      </c>
      <c r="E888" s="47" t="s">
        <v>102</v>
      </c>
      <c r="F888" s="46" t="s">
        <v>102</v>
      </c>
      <c r="G888" s="47" t="s">
        <v>102</v>
      </c>
      <c r="H888" s="48">
        <v>0</v>
      </c>
      <c r="I888" s="48">
        <v>0</v>
      </c>
      <c r="J888" s="47" t="s">
        <v>2613</v>
      </c>
      <c r="K888" s="49">
        <v>1</v>
      </c>
      <c r="L888" s="49" t="s">
        <v>2614</v>
      </c>
      <c r="M888" s="46" t="s">
        <v>117</v>
      </c>
      <c r="N888" s="50">
        <v>0</v>
      </c>
      <c r="O888" s="50">
        <v>0</v>
      </c>
      <c r="P888" s="50">
        <v>0</v>
      </c>
      <c r="Q888" s="46" t="s">
        <v>102</v>
      </c>
      <c r="R888" s="46" t="s">
        <v>102</v>
      </c>
      <c r="S888" s="46" t="s">
        <v>102</v>
      </c>
      <c r="T888" s="46" t="s">
        <v>2815</v>
      </c>
      <c r="U888" s="51">
        <v>4</v>
      </c>
    </row>
    <row r="889" spans="2:21" ht="14.5" outlineLevel="3">
      <c r="B889" s="44" t="s">
        <v>3042</v>
      </c>
      <c r="C889" s="45" t="s">
        <v>3043</v>
      </c>
      <c r="D889" s="46" t="s">
        <v>2804</v>
      </c>
      <c r="E889" s="47" t="s">
        <v>102</v>
      </c>
      <c r="F889" s="46" t="s">
        <v>102</v>
      </c>
      <c r="G889" s="47" t="s">
        <v>102</v>
      </c>
      <c r="H889" s="48">
        <v>0</v>
      </c>
      <c r="I889" s="48">
        <v>0</v>
      </c>
      <c r="J889" s="47" t="s">
        <v>2613</v>
      </c>
      <c r="K889" s="49">
        <v>1</v>
      </c>
      <c r="L889" s="49" t="s">
        <v>2614</v>
      </c>
      <c r="M889" s="46" t="s">
        <v>117</v>
      </c>
      <c r="N889" s="50">
        <v>0</v>
      </c>
      <c r="O889" s="50">
        <v>0</v>
      </c>
      <c r="P889" s="50">
        <v>0</v>
      </c>
      <c r="Q889" s="46" t="s">
        <v>102</v>
      </c>
      <c r="R889" s="46" t="s">
        <v>102</v>
      </c>
      <c r="S889" s="46" t="s">
        <v>102</v>
      </c>
      <c r="T889" s="46" t="s">
        <v>461</v>
      </c>
      <c r="U889" s="51">
        <v>4</v>
      </c>
    </row>
    <row r="890" spans="2:21" ht="14.5" outlineLevel="3">
      <c r="B890" s="44" t="s">
        <v>3044</v>
      </c>
      <c r="C890" s="45" t="s">
        <v>3045</v>
      </c>
      <c r="D890" s="46" t="s">
        <v>2804</v>
      </c>
      <c r="E890" s="47" t="s">
        <v>102</v>
      </c>
      <c r="F890" s="46" t="s">
        <v>102</v>
      </c>
      <c r="G890" s="47" t="s">
        <v>102</v>
      </c>
      <c r="H890" s="48">
        <v>0</v>
      </c>
      <c r="I890" s="48">
        <v>0</v>
      </c>
      <c r="J890" s="47" t="s">
        <v>2613</v>
      </c>
      <c r="K890" s="49">
        <v>1</v>
      </c>
      <c r="L890" s="49" t="s">
        <v>2614</v>
      </c>
      <c r="M890" s="46" t="s">
        <v>117</v>
      </c>
      <c r="N890" s="50">
        <v>0</v>
      </c>
      <c r="O890" s="50">
        <v>0</v>
      </c>
      <c r="P890" s="50">
        <v>0</v>
      </c>
      <c r="Q890" s="46" t="s">
        <v>102</v>
      </c>
      <c r="R890" s="46" t="s">
        <v>102</v>
      </c>
      <c r="S890" s="46" t="s">
        <v>102</v>
      </c>
      <c r="T890" s="46" t="s">
        <v>466</v>
      </c>
      <c r="U890" s="51">
        <v>4</v>
      </c>
    </row>
    <row r="891" spans="2:21" ht="14.5" outlineLevel="3">
      <c r="B891" s="44" t="s">
        <v>3046</v>
      </c>
      <c r="C891" s="45" t="s">
        <v>3047</v>
      </c>
      <c r="D891" s="46" t="s">
        <v>2804</v>
      </c>
      <c r="E891" s="47" t="s">
        <v>102</v>
      </c>
      <c r="F891" s="46" t="s">
        <v>102</v>
      </c>
      <c r="G891" s="47" t="s">
        <v>102</v>
      </c>
      <c r="H891" s="48">
        <v>0</v>
      </c>
      <c r="I891" s="48">
        <v>0</v>
      </c>
      <c r="J891" s="47" t="s">
        <v>2613</v>
      </c>
      <c r="K891" s="49">
        <v>1</v>
      </c>
      <c r="L891" s="49" t="s">
        <v>2614</v>
      </c>
      <c r="M891" s="46" t="s">
        <v>117</v>
      </c>
      <c r="N891" s="50">
        <v>0</v>
      </c>
      <c r="O891" s="50">
        <v>0</v>
      </c>
      <c r="P891" s="50">
        <v>0</v>
      </c>
      <c r="Q891" s="46" t="s">
        <v>102</v>
      </c>
      <c r="R891" s="46" t="s">
        <v>102</v>
      </c>
      <c r="S891" s="46" t="s">
        <v>102</v>
      </c>
      <c r="T891" s="46" t="s">
        <v>472</v>
      </c>
      <c r="U891" s="51">
        <v>4</v>
      </c>
    </row>
    <row r="892" spans="2:21" ht="14.5" outlineLevel="3">
      <c r="B892" s="44" t="s">
        <v>3048</v>
      </c>
      <c r="C892" s="45" t="s">
        <v>3049</v>
      </c>
      <c r="D892" s="46" t="s">
        <v>2804</v>
      </c>
      <c r="E892" s="47" t="s">
        <v>102</v>
      </c>
      <c r="F892" s="46" t="s">
        <v>102</v>
      </c>
      <c r="G892" s="47" t="s">
        <v>102</v>
      </c>
      <c r="H892" s="48">
        <v>0</v>
      </c>
      <c r="I892" s="48">
        <v>0</v>
      </c>
      <c r="J892" s="47" t="s">
        <v>2613</v>
      </c>
      <c r="K892" s="49">
        <v>1</v>
      </c>
      <c r="L892" s="49" t="s">
        <v>2614</v>
      </c>
      <c r="M892" s="46" t="s">
        <v>117</v>
      </c>
      <c r="N892" s="50">
        <v>0</v>
      </c>
      <c r="O892" s="50">
        <v>0</v>
      </c>
      <c r="P892" s="50">
        <v>0</v>
      </c>
      <c r="Q892" s="46" t="s">
        <v>102</v>
      </c>
      <c r="R892" s="46" t="s">
        <v>102</v>
      </c>
      <c r="S892" s="46" t="s">
        <v>102</v>
      </c>
      <c r="T892" s="46" t="s">
        <v>477</v>
      </c>
      <c r="U892" s="51">
        <v>4</v>
      </c>
    </row>
    <row r="893" spans="2:21" ht="14.5" outlineLevel="3">
      <c r="B893" s="44" t="s">
        <v>3050</v>
      </c>
      <c r="C893" s="45" t="s">
        <v>3051</v>
      </c>
      <c r="D893" s="46" t="s">
        <v>2804</v>
      </c>
      <c r="E893" s="47" t="s">
        <v>102</v>
      </c>
      <c r="F893" s="46" t="s">
        <v>102</v>
      </c>
      <c r="G893" s="47" t="s">
        <v>102</v>
      </c>
      <c r="H893" s="48">
        <v>0</v>
      </c>
      <c r="I893" s="48">
        <v>0</v>
      </c>
      <c r="J893" s="47" t="s">
        <v>2613</v>
      </c>
      <c r="K893" s="49">
        <v>1</v>
      </c>
      <c r="L893" s="49" t="s">
        <v>2614</v>
      </c>
      <c r="M893" s="46" t="s">
        <v>117</v>
      </c>
      <c r="N893" s="50">
        <v>0</v>
      </c>
      <c r="O893" s="50">
        <v>0</v>
      </c>
      <c r="P893" s="50">
        <v>0</v>
      </c>
      <c r="Q893" s="46" t="s">
        <v>102</v>
      </c>
      <c r="R893" s="46" t="s">
        <v>102</v>
      </c>
      <c r="S893" s="46" t="s">
        <v>102</v>
      </c>
      <c r="T893" s="46" t="s">
        <v>482</v>
      </c>
      <c r="U893" s="51">
        <v>4</v>
      </c>
    </row>
    <row r="894" spans="2:21" ht="14.5" outlineLevel="3">
      <c r="B894" s="44" t="s">
        <v>3052</v>
      </c>
      <c r="C894" s="45" t="s">
        <v>3053</v>
      </c>
      <c r="D894" s="46" t="s">
        <v>2804</v>
      </c>
      <c r="E894" s="47" t="s">
        <v>102</v>
      </c>
      <c r="F894" s="46" t="s">
        <v>102</v>
      </c>
      <c r="G894" s="47" t="s">
        <v>102</v>
      </c>
      <c r="H894" s="48">
        <v>0</v>
      </c>
      <c r="I894" s="48">
        <v>0</v>
      </c>
      <c r="J894" s="47" t="s">
        <v>2613</v>
      </c>
      <c r="K894" s="49">
        <v>1</v>
      </c>
      <c r="L894" s="49" t="s">
        <v>2614</v>
      </c>
      <c r="M894" s="46" t="s">
        <v>117</v>
      </c>
      <c r="N894" s="50">
        <v>0</v>
      </c>
      <c r="O894" s="50">
        <v>0</v>
      </c>
      <c r="P894" s="50">
        <v>0</v>
      </c>
      <c r="Q894" s="46" t="s">
        <v>102</v>
      </c>
      <c r="R894" s="46" t="s">
        <v>102</v>
      </c>
      <c r="S894" s="46" t="s">
        <v>102</v>
      </c>
      <c r="T894" s="46" t="s">
        <v>487</v>
      </c>
      <c r="U894" s="51">
        <v>4</v>
      </c>
    </row>
    <row r="895" spans="2:21" ht="14.5" outlineLevel="3">
      <c r="B895" s="44" t="s">
        <v>3054</v>
      </c>
      <c r="C895" s="45" t="s">
        <v>3055</v>
      </c>
      <c r="D895" s="46" t="s">
        <v>2804</v>
      </c>
      <c r="E895" s="47" t="s">
        <v>102</v>
      </c>
      <c r="F895" s="46" t="s">
        <v>102</v>
      </c>
      <c r="G895" s="47" t="s">
        <v>102</v>
      </c>
      <c r="H895" s="48">
        <v>0</v>
      </c>
      <c r="I895" s="48">
        <v>0</v>
      </c>
      <c r="J895" s="47" t="s">
        <v>2613</v>
      </c>
      <c r="K895" s="49">
        <v>1</v>
      </c>
      <c r="L895" s="49" t="s">
        <v>2614</v>
      </c>
      <c r="M895" s="46" t="s">
        <v>117</v>
      </c>
      <c r="N895" s="50">
        <v>0</v>
      </c>
      <c r="O895" s="50">
        <v>0</v>
      </c>
      <c r="P895" s="50">
        <v>0</v>
      </c>
      <c r="Q895" s="46" t="s">
        <v>102</v>
      </c>
      <c r="R895" s="46" t="s">
        <v>102</v>
      </c>
      <c r="S895" s="46" t="s">
        <v>102</v>
      </c>
      <c r="T895" s="46" t="s">
        <v>3056</v>
      </c>
      <c r="U895" s="51">
        <v>4</v>
      </c>
    </row>
    <row r="896" spans="2:21" ht="14.5" outlineLevel="3">
      <c r="B896" s="44" t="s">
        <v>3057</v>
      </c>
      <c r="C896" s="45" t="s">
        <v>3058</v>
      </c>
      <c r="D896" s="46" t="s">
        <v>2804</v>
      </c>
      <c r="E896" s="47" t="s">
        <v>102</v>
      </c>
      <c r="F896" s="46" t="s">
        <v>102</v>
      </c>
      <c r="G896" s="47" t="s">
        <v>102</v>
      </c>
      <c r="H896" s="48">
        <v>0</v>
      </c>
      <c r="I896" s="48">
        <v>0</v>
      </c>
      <c r="J896" s="47" t="s">
        <v>2613</v>
      </c>
      <c r="K896" s="49">
        <v>1</v>
      </c>
      <c r="L896" s="49" t="s">
        <v>2614</v>
      </c>
      <c r="M896" s="46" t="s">
        <v>117</v>
      </c>
      <c r="N896" s="50">
        <v>0</v>
      </c>
      <c r="O896" s="50">
        <v>0</v>
      </c>
      <c r="P896" s="50">
        <v>0</v>
      </c>
      <c r="Q896" s="46" t="s">
        <v>102</v>
      </c>
      <c r="R896" s="46" t="s">
        <v>102</v>
      </c>
      <c r="S896" s="46" t="s">
        <v>102</v>
      </c>
      <c r="T896" s="46" t="s">
        <v>3059</v>
      </c>
      <c r="U896" s="51">
        <v>4</v>
      </c>
    </row>
    <row r="897" spans="2:21" ht="14.5" outlineLevel="3">
      <c r="B897" s="44" t="s">
        <v>3060</v>
      </c>
      <c r="C897" s="45" t="s">
        <v>3061</v>
      </c>
      <c r="D897" s="46" t="s">
        <v>2804</v>
      </c>
      <c r="E897" s="47" t="s">
        <v>102</v>
      </c>
      <c r="F897" s="46" t="s">
        <v>102</v>
      </c>
      <c r="G897" s="47" t="s">
        <v>102</v>
      </c>
      <c r="H897" s="48">
        <v>0</v>
      </c>
      <c r="I897" s="48">
        <v>0</v>
      </c>
      <c r="J897" s="47" t="s">
        <v>2613</v>
      </c>
      <c r="K897" s="49">
        <v>1</v>
      </c>
      <c r="L897" s="49" t="s">
        <v>2614</v>
      </c>
      <c r="M897" s="46" t="s">
        <v>117</v>
      </c>
      <c r="N897" s="50">
        <v>0</v>
      </c>
      <c r="O897" s="50">
        <v>0</v>
      </c>
      <c r="P897" s="50">
        <v>0</v>
      </c>
      <c r="Q897" s="46" t="s">
        <v>102</v>
      </c>
      <c r="R897" s="46" t="s">
        <v>102</v>
      </c>
      <c r="S897" s="46" t="s">
        <v>102</v>
      </c>
      <c r="T897" s="46" t="s">
        <v>2828</v>
      </c>
      <c r="U897" s="51">
        <v>4</v>
      </c>
    </row>
    <row r="898" spans="2:21" ht="14.5" outlineLevel="3">
      <c r="B898" s="44" t="s">
        <v>3062</v>
      </c>
      <c r="C898" s="45" t="s">
        <v>3063</v>
      </c>
      <c r="D898" s="46" t="s">
        <v>2804</v>
      </c>
      <c r="E898" s="47" t="s">
        <v>102</v>
      </c>
      <c r="F898" s="46" t="s">
        <v>102</v>
      </c>
      <c r="G898" s="47" t="s">
        <v>102</v>
      </c>
      <c r="H898" s="48">
        <v>0</v>
      </c>
      <c r="I898" s="48">
        <v>0</v>
      </c>
      <c r="J898" s="47" t="s">
        <v>2613</v>
      </c>
      <c r="K898" s="49">
        <v>1</v>
      </c>
      <c r="L898" s="49" t="s">
        <v>2614</v>
      </c>
      <c r="M898" s="46" t="s">
        <v>117</v>
      </c>
      <c r="N898" s="50">
        <v>0</v>
      </c>
      <c r="O898" s="50">
        <v>0</v>
      </c>
      <c r="P898" s="50">
        <v>0</v>
      </c>
      <c r="Q898" s="46" t="s">
        <v>102</v>
      </c>
      <c r="R898" s="46" t="s">
        <v>102</v>
      </c>
      <c r="S898" s="46" t="s">
        <v>102</v>
      </c>
      <c r="T898" s="46" t="s">
        <v>2773</v>
      </c>
      <c r="U898" s="51">
        <v>4</v>
      </c>
    </row>
    <row r="899" spans="2:21" ht="14.5" outlineLevel="3">
      <c r="B899" s="44" t="s">
        <v>3064</v>
      </c>
      <c r="C899" s="45" t="s">
        <v>3065</v>
      </c>
      <c r="D899" s="46" t="s">
        <v>2804</v>
      </c>
      <c r="E899" s="47" t="s">
        <v>102</v>
      </c>
      <c r="F899" s="46" t="s">
        <v>102</v>
      </c>
      <c r="G899" s="47" t="s">
        <v>102</v>
      </c>
      <c r="H899" s="48">
        <v>0</v>
      </c>
      <c r="I899" s="48">
        <v>0</v>
      </c>
      <c r="J899" s="47" t="s">
        <v>2613</v>
      </c>
      <c r="K899" s="49">
        <v>1</v>
      </c>
      <c r="L899" s="49" t="s">
        <v>2614</v>
      </c>
      <c r="M899" s="46" t="s">
        <v>117</v>
      </c>
      <c r="N899" s="50">
        <v>0</v>
      </c>
      <c r="O899" s="50">
        <v>0</v>
      </c>
      <c r="P899" s="50">
        <v>0</v>
      </c>
      <c r="Q899" s="46" t="s">
        <v>102</v>
      </c>
      <c r="R899" s="46" t="s">
        <v>102</v>
      </c>
      <c r="S899" s="46" t="s">
        <v>102</v>
      </c>
      <c r="T899" s="46" t="s">
        <v>3066</v>
      </c>
      <c r="U899" s="51">
        <v>4</v>
      </c>
    </row>
    <row r="900" spans="2:21" ht="14.5" outlineLevel="3">
      <c r="B900" s="44" t="s">
        <v>3067</v>
      </c>
      <c r="C900" s="45" t="s">
        <v>3068</v>
      </c>
      <c r="D900" s="46" t="s">
        <v>2804</v>
      </c>
      <c r="E900" s="47" t="s">
        <v>102</v>
      </c>
      <c r="F900" s="46" t="s">
        <v>102</v>
      </c>
      <c r="G900" s="47" t="s">
        <v>102</v>
      </c>
      <c r="H900" s="48">
        <v>0</v>
      </c>
      <c r="I900" s="48">
        <v>0</v>
      </c>
      <c r="J900" s="47" t="s">
        <v>2613</v>
      </c>
      <c r="K900" s="49">
        <v>1</v>
      </c>
      <c r="L900" s="49" t="s">
        <v>2614</v>
      </c>
      <c r="M900" s="46" t="s">
        <v>117</v>
      </c>
      <c r="N900" s="50">
        <v>0</v>
      </c>
      <c r="O900" s="50">
        <v>0</v>
      </c>
      <c r="P900" s="50">
        <v>0</v>
      </c>
      <c r="Q900" s="46" t="s">
        <v>102</v>
      </c>
      <c r="R900" s="46" t="s">
        <v>102</v>
      </c>
      <c r="S900" s="46" t="s">
        <v>102</v>
      </c>
      <c r="T900" s="46" t="s">
        <v>3069</v>
      </c>
      <c r="U900" s="51">
        <v>4</v>
      </c>
    </row>
    <row r="901" spans="2:21" ht="14.5" outlineLevel="3">
      <c r="B901" s="44" t="s">
        <v>3070</v>
      </c>
      <c r="C901" s="45" t="s">
        <v>3071</v>
      </c>
      <c r="D901" s="46" t="s">
        <v>2804</v>
      </c>
      <c r="E901" s="47" t="s">
        <v>102</v>
      </c>
      <c r="F901" s="46" t="s">
        <v>102</v>
      </c>
      <c r="G901" s="47" t="s">
        <v>102</v>
      </c>
      <c r="H901" s="48">
        <v>0</v>
      </c>
      <c r="I901" s="48">
        <v>0</v>
      </c>
      <c r="J901" s="47" t="s">
        <v>2613</v>
      </c>
      <c r="K901" s="49">
        <v>1</v>
      </c>
      <c r="L901" s="49" t="s">
        <v>2614</v>
      </c>
      <c r="M901" s="46" t="s">
        <v>117</v>
      </c>
      <c r="N901" s="50">
        <v>0</v>
      </c>
      <c r="O901" s="50">
        <v>0</v>
      </c>
      <c r="P901" s="50">
        <v>0</v>
      </c>
      <c r="Q901" s="46" t="s">
        <v>102</v>
      </c>
      <c r="R901" s="46" t="s">
        <v>102</v>
      </c>
      <c r="S901" s="46" t="s">
        <v>102</v>
      </c>
      <c r="T901" s="46" t="s">
        <v>3072</v>
      </c>
      <c r="U901" s="51">
        <v>4</v>
      </c>
    </row>
    <row r="902" spans="2:21" ht="14.5" outlineLevel="2">
      <c r="B902" s="36" t="s">
        <v>3073</v>
      </c>
      <c r="C902" s="37" t="s">
        <v>3074</v>
      </c>
      <c r="D902" s="38" t="s">
        <v>2804</v>
      </c>
      <c r="E902" s="39" t="s">
        <v>102</v>
      </c>
      <c r="F902" s="38" t="s">
        <v>102</v>
      </c>
      <c r="G902" s="39" t="s">
        <v>102</v>
      </c>
      <c r="H902" s="40">
        <v>0</v>
      </c>
      <c r="I902" s="40">
        <v>0</v>
      </c>
      <c r="J902" s="39" t="s">
        <v>2613</v>
      </c>
      <c r="K902" s="41">
        <v>1</v>
      </c>
      <c r="L902" s="41" t="s">
        <v>2614</v>
      </c>
      <c r="M902" s="38" t="s">
        <v>117</v>
      </c>
      <c r="N902" s="42">
        <v>0</v>
      </c>
      <c r="O902" s="42">
        <v>0</v>
      </c>
      <c r="P902" s="42">
        <v>0</v>
      </c>
      <c r="Q902" s="38" t="s">
        <v>102</v>
      </c>
      <c r="R902" s="38" t="s">
        <v>102</v>
      </c>
      <c r="S902" s="38" t="s">
        <v>102</v>
      </c>
      <c r="T902" s="38" t="s">
        <v>3075</v>
      </c>
      <c r="U902" s="43">
        <v>4</v>
      </c>
    </row>
    <row r="903" spans="2:21" ht="14.5" outlineLevel="3">
      <c r="B903" s="44" t="s">
        <v>3076</v>
      </c>
      <c r="C903" s="45" t="s">
        <v>3077</v>
      </c>
      <c r="D903" s="46" t="s">
        <v>2804</v>
      </c>
      <c r="E903" s="47" t="s">
        <v>102</v>
      </c>
      <c r="F903" s="46" t="s">
        <v>102</v>
      </c>
      <c r="G903" s="47" t="s">
        <v>102</v>
      </c>
      <c r="H903" s="48">
        <v>0</v>
      </c>
      <c r="I903" s="48">
        <v>0</v>
      </c>
      <c r="J903" s="47" t="s">
        <v>2613</v>
      </c>
      <c r="K903" s="49">
        <v>1</v>
      </c>
      <c r="L903" s="49" t="s">
        <v>2614</v>
      </c>
      <c r="M903" s="46" t="s">
        <v>117</v>
      </c>
      <c r="N903" s="50">
        <v>0</v>
      </c>
      <c r="O903" s="50">
        <v>0</v>
      </c>
      <c r="P903" s="50">
        <v>0</v>
      </c>
      <c r="Q903" s="46" t="s">
        <v>102</v>
      </c>
      <c r="R903" s="46" t="s">
        <v>102</v>
      </c>
      <c r="S903" s="46" t="s">
        <v>102</v>
      </c>
      <c r="T903" s="46" t="s">
        <v>3078</v>
      </c>
      <c r="U903" s="51">
        <v>4</v>
      </c>
    </row>
    <row r="904" spans="2:21" ht="14.5" outlineLevel="3">
      <c r="B904" s="44" t="s">
        <v>3079</v>
      </c>
      <c r="C904" s="45" t="s">
        <v>3080</v>
      </c>
      <c r="D904" s="46" t="s">
        <v>2804</v>
      </c>
      <c r="E904" s="47" t="s">
        <v>102</v>
      </c>
      <c r="F904" s="46" t="s">
        <v>102</v>
      </c>
      <c r="G904" s="47" t="s">
        <v>102</v>
      </c>
      <c r="H904" s="48">
        <v>0</v>
      </c>
      <c r="I904" s="48">
        <v>0</v>
      </c>
      <c r="J904" s="47" t="s">
        <v>2613</v>
      </c>
      <c r="K904" s="49">
        <v>1</v>
      </c>
      <c r="L904" s="49" t="s">
        <v>2614</v>
      </c>
      <c r="M904" s="46" t="s">
        <v>117</v>
      </c>
      <c r="N904" s="50">
        <v>0</v>
      </c>
      <c r="O904" s="50">
        <v>0</v>
      </c>
      <c r="P904" s="50">
        <v>0</v>
      </c>
      <c r="Q904" s="46" t="s">
        <v>102</v>
      </c>
      <c r="R904" s="46" t="s">
        <v>102</v>
      </c>
      <c r="S904" s="46" t="s">
        <v>102</v>
      </c>
      <c r="T904" s="46" t="s">
        <v>3081</v>
      </c>
      <c r="U904" s="51">
        <v>4</v>
      </c>
    </row>
    <row r="905" spans="2:21" ht="14.5" outlineLevel="3">
      <c r="B905" s="44" t="s">
        <v>3082</v>
      </c>
      <c r="C905" s="45" t="s">
        <v>3083</v>
      </c>
      <c r="D905" s="46" t="s">
        <v>102</v>
      </c>
      <c r="E905" s="47" t="s">
        <v>102</v>
      </c>
      <c r="F905" s="46" t="s">
        <v>102</v>
      </c>
      <c r="G905" s="47" t="s">
        <v>102</v>
      </c>
      <c r="H905" s="48">
        <v>0</v>
      </c>
      <c r="I905" s="48">
        <v>0</v>
      </c>
      <c r="J905" s="47" t="s">
        <v>102</v>
      </c>
      <c r="K905" s="49">
        <v>0</v>
      </c>
      <c r="L905" s="49" t="s">
        <v>102</v>
      </c>
      <c r="M905" s="46" t="s">
        <v>102</v>
      </c>
      <c r="N905" s="50">
        <v>0</v>
      </c>
      <c r="O905" s="50">
        <v>0</v>
      </c>
      <c r="P905" s="50">
        <v>0</v>
      </c>
      <c r="Q905" s="46" t="s">
        <v>102</v>
      </c>
      <c r="R905" s="46" t="s">
        <v>102</v>
      </c>
      <c r="S905" s="46" t="s">
        <v>2776</v>
      </c>
      <c r="T905" s="46" t="s">
        <v>102</v>
      </c>
      <c r="U905" s="51">
        <v>3</v>
      </c>
    </row>
    <row r="906" spans="2:21" ht="14.5" outlineLevel="3">
      <c r="B906" s="44" t="s">
        <v>3084</v>
      </c>
      <c r="C906" s="45" t="s">
        <v>3085</v>
      </c>
      <c r="D906" s="46" t="s">
        <v>2804</v>
      </c>
      <c r="E906" s="47" t="s">
        <v>102</v>
      </c>
      <c r="F906" s="46" t="s">
        <v>102</v>
      </c>
      <c r="G906" s="47" t="s">
        <v>102</v>
      </c>
      <c r="H906" s="48">
        <v>0</v>
      </c>
      <c r="I906" s="48">
        <v>0</v>
      </c>
      <c r="J906" s="47" t="s">
        <v>2613</v>
      </c>
      <c r="K906" s="49">
        <v>1</v>
      </c>
      <c r="L906" s="49" t="s">
        <v>2614</v>
      </c>
      <c r="M906" s="46" t="s">
        <v>117</v>
      </c>
      <c r="N906" s="50">
        <v>0</v>
      </c>
      <c r="O906" s="50">
        <v>0</v>
      </c>
      <c r="P906" s="50">
        <v>0</v>
      </c>
      <c r="Q906" s="46" t="s">
        <v>102</v>
      </c>
      <c r="R906" s="46" t="s">
        <v>102</v>
      </c>
      <c r="S906" s="46" t="s">
        <v>102</v>
      </c>
      <c r="T906" s="46" t="s">
        <v>2666</v>
      </c>
      <c r="U906" s="51">
        <v>4</v>
      </c>
    </row>
    <row r="907" spans="2:21" ht="14.5" outlineLevel="3">
      <c r="B907" s="44" t="s">
        <v>3086</v>
      </c>
      <c r="C907" s="45" t="s">
        <v>3087</v>
      </c>
      <c r="D907" s="46" t="s">
        <v>2804</v>
      </c>
      <c r="E907" s="47" t="s">
        <v>102</v>
      </c>
      <c r="F907" s="46" t="s">
        <v>102</v>
      </c>
      <c r="G907" s="47" t="s">
        <v>102</v>
      </c>
      <c r="H907" s="48">
        <v>0</v>
      </c>
      <c r="I907" s="48">
        <v>0</v>
      </c>
      <c r="J907" s="47" t="s">
        <v>2613</v>
      </c>
      <c r="K907" s="49">
        <v>1</v>
      </c>
      <c r="L907" s="49" t="s">
        <v>2614</v>
      </c>
      <c r="M907" s="46" t="s">
        <v>117</v>
      </c>
      <c r="N907" s="50">
        <v>0</v>
      </c>
      <c r="O907" s="50">
        <v>0</v>
      </c>
      <c r="P907" s="50">
        <v>0</v>
      </c>
      <c r="Q907" s="46" t="s">
        <v>102</v>
      </c>
      <c r="R907" s="46" t="s">
        <v>102</v>
      </c>
      <c r="S907" s="46" t="s">
        <v>102</v>
      </c>
      <c r="T907" s="46" t="s">
        <v>3088</v>
      </c>
      <c r="U907" s="51">
        <v>4</v>
      </c>
    </row>
    <row r="908" spans="2:21" ht="14.5" outlineLevel="3">
      <c r="B908" s="44" t="s">
        <v>3089</v>
      </c>
      <c r="C908" s="45" t="s">
        <v>3090</v>
      </c>
      <c r="D908" s="46" t="s">
        <v>2804</v>
      </c>
      <c r="E908" s="47" t="s">
        <v>102</v>
      </c>
      <c r="F908" s="46" t="s">
        <v>102</v>
      </c>
      <c r="G908" s="47" t="s">
        <v>102</v>
      </c>
      <c r="H908" s="48">
        <v>0</v>
      </c>
      <c r="I908" s="48">
        <v>0</v>
      </c>
      <c r="J908" s="47" t="s">
        <v>2613</v>
      </c>
      <c r="K908" s="49">
        <v>1</v>
      </c>
      <c r="L908" s="49" t="s">
        <v>2614</v>
      </c>
      <c r="M908" s="46" t="s">
        <v>117</v>
      </c>
      <c r="N908" s="50">
        <v>0</v>
      </c>
      <c r="O908" s="50">
        <v>0</v>
      </c>
      <c r="P908" s="50">
        <v>0</v>
      </c>
      <c r="Q908" s="46" t="s">
        <v>102</v>
      </c>
      <c r="R908" s="46" t="s">
        <v>102</v>
      </c>
      <c r="S908" s="46" t="s">
        <v>102</v>
      </c>
      <c r="T908" s="46" t="s">
        <v>3091</v>
      </c>
      <c r="U908" s="51">
        <v>4</v>
      </c>
    </row>
    <row r="909" spans="2:21" ht="14.5" outlineLevel="3">
      <c r="B909" s="44" t="s">
        <v>3092</v>
      </c>
      <c r="C909" s="45" t="s">
        <v>3093</v>
      </c>
      <c r="D909" s="46" t="s">
        <v>2804</v>
      </c>
      <c r="E909" s="47" t="s">
        <v>102</v>
      </c>
      <c r="F909" s="46" t="s">
        <v>102</v>
      </c>
      <c r="G909" s="47" t="s">
        <v>102</v>
      </c>
      <c r="H909" s="48">
        <v>0</v>
      </c>
      <c r="I909" s="48">
        <v>0</v>
      </c>
      <c r="J909" s="47" t="s">
        <v>2613</v>
      </c>
      <c r="K909" s="49">
        <v>1</v>
      </c>
      <c r="L909" s="49" t="s">
        <v>2614</v>
      </c>
      <c r="M909" s="46" t="s">
        <v>117</v>
      </c>
      <c r="N909" s="50">
        <v>0</v>
      </c>
      <c r="O909" s="50">
        <v>0</v>
      </c>
      <c r="P909" s="50">
        <v>0</v>
      </c>
      <c r="Q909" s="46" t="s">
        <v>102</v>
      </c>
      <c r="R909" s="46" t="s">
        <v>102</v>
      </c>
      <c r="S909" s="46" t="s">
        <v>102</v>
      </c>
      <c r="T909" s="46" t="s">
        <v>3094</v>
      </c>
      <c r="U909" s="51">
        <v>4</v>
      </c>
    </row>
    <row r="910" spans="2:21" ht="14.5" outlineLevel="2">
      <c r="B910" s="36" t="s">
        <v>3095</v>
      </c>
      <c r="C910" s="37" t="s">
        <v>3096</v>
      </c>
      <c r="D910" s="38" t="s">
        <v>2804</v>
      </c>
      <c r="E910" s="39" t="s">
        <v>102</v>
      </c>
      <c r="F910" s="38" t="s">
        <v>102</v>
      </c>
      <c r="G910" s="39" t="s">
        <v>102</v>
      </c>
      <c r="H910" s="40">
        <v>0</v>
      </c>
      <c r="I910" s="40">
        <v>0</v>
      </c>
      <c r="J910" s="39" t="s">
        <v>2613</v>
      </c>
      <c r="K910" s="41">
        <v>1</v>
      </c>
      <c r="L910" s="41" t="s">
        <v>2614</v>
      </c>
      <c r="M910" s="38" t="s">
        <v>117</v>
      </c>
      <c r="N910" s="42">
        <v>0</v>
      </c>
      <c r="O910" s="42">
        <v>0</v>
      </c>
      <c r="P910" s="42">
        <v>0</v>
      </c>
      <c r="Q910" s="38" t="s">
        <v>102</v>
      </c>
      <c r="R910" s="38" t="s">
        <v>102</v>
      </c>
      <c r="S910" s="38" t="s">
        <v>102</v>
      </c>
      <c r="T910" s="38" t="s">
        <v>3097</v>
      </c>
      <c r="U910" s="43">
        <v>4</v>
      </c>
    </row>
    <row r="911" spans="2:21" ht="14.5" outlineLevel="3">
      <c r="B911" s="44" t="s">
        <v>3098</v>
      </c>
      <c r="C911" s="45" t="s">
        <v>3099</v>
      </c>
      <c r="D911" s="46" t="s">
        <v>2804</v>
      </c>
      <c r="E911" s="47" t="s">
        <v>102</v>
      </c>
      <c r="F911" s="46" t="s">
        <v>102</v>
      </c>
      <c r="G911" s="47" t="s">
        <v>102</v>
      </c>
      <c r="H911" s="48">
        <v>0</v>
      </c>
      <c r="I911" s="48">
        <v>0</v>
      </c>
      <c r="J911" s="47" t="s">
        <v>2613</v>
      </c>
      <c r="K911" s="49">
        <v>1</v>
      </c>
      <c r="L911" s="49" t="s">
        <v>2614</v>
      </c>
      <c r="M911" s="46" t="s">
        <v>117</v>
      </c>
      <c r="N911" s="50">
        <v>0</v>
      </c>
      <c r="O911" s="50">
        <v>0</v>
      </c>
      <c r="P911" s="50">
        <v>0</v>
      </c>
      <c r="Q911" s="46" t="s">
        <v>102</v>
      </c>
      <c r="R911" s="46" t="s">
        <v>102</v>
      </c>
      <c r="S911" s="46" t="s">
        <v>102</v>
      </c>
      <c r="T911" s="46" t="s">
        <v>3100</v>
      </c>
      <c r="U911" s="51">
        <v>4</v>
      </c>
    </row>
    <row r="912" spans="2:21" ht="14.5" outlineLevel="1">
      <c r="B912" s="28" t="s">
        <v>3101</v>
      </c>
      <c r="C912" s="29" t="s">
        <v>3102</v>
      </c>
      <c r="D912" s="30" t="s">
        <v>2804</v>
      </c>
      <c r="E912" s="31" t="s">
        <v>102</v>
      </c>
      <c r="F912" s="30" t="s">
        <v>102</v>
      </c>
      <c r="G912" s="31" t="s">
        <v>102</v>
      </c>
      <c r="H912" s="32">
        <v>0</v>
      </c>
      <c r="I912" s="32">
        <v>0</v>
      </c>
      <c r="J912" s="31" t="s">
        <v>2613</v>
      </c>
      <c r="K912" s="33">
        <v>1</v>
      </c>
      <c r="L912" s="33" t="s">
        <v>2614</v>
      </c>
      <c r="M912" s="30" t="s">
        <v>117</v>
      </c>
      <c r="N912" s="34">
        <v>0</v>
      </c>
      <c r="O912" s="34">
        <v>0</v>
      </c>
      <c r="P912" s="34">
        <v>0</v>
      </c>
      <c r="Q912" s="30" t="s">
        <v>102</v>
      </c>
      <c r="R912" s="30" t="s">
        <v>102</v>
      </c>
      <c r="S912" s="30" t="s">
        <v>102</v>
      </c>
      <c r="T912" s="30" t="s">
        <v>3103</v>
      </c>
      <c r="U912" s="35">
        <v>4</v>
      </c>
    </row>
    <row r="913" spans="2:21" ht="14.5" outlineLevel="2">
      <c r="B913" s="36" t="s">
        <v>3104</v>
      </c>
      <c r="C913" s="37" t="s">
        <v>3105</v>
      </c>
      <c r="D913" s="38" t="s">
        <v>102</v>
      </c>
      <c r="E913" s="39" t="s">
        <v>102</v>
      </c>
      <c r="F913" s="38" t="s">
        <v>102</v>
      </c>
      <c r="G913" s="39" t="s">
        <v>102</v>
      </c>
      <c r="H913" s="40">
        <v>0</v>
      </c>
      <c r="I913" s="40">
        <v>0</v>
      </c>
      <c r="J913" s="39" t="s">
        <v>102</v>
      </c>
      <c r="K913" s="41">
        <v>0</v>
      </c>
      <c r="L913" s="41" t="s">
        <v>102</v>
      </c>
      <c r="M913" s="38" t="s">
        <v>102</v>
      </c>
      <c r="N913" s="42">
        <v>0</v>
      </c>
      <c r="O913" s="42">
        <v>0</v>
      </c>
      <c r="P913" s="42">
        <v>0</v>
      </c>
      <c r="Q913" s="38" t="s">
        <v>102</v>
      </c>
      <c r="R913" s="38" t="s">
        <v>102</v>
      </c>
      <c r="S913" s="38" t="s">
        <v>3106</v>
      </c>
      <c r="T913" s="38" t="s">
        <v>102</v>
      </c>
      <c r="U913" s="43">
        <v>3</v>
      </c>
    </row>
    <row r="914" spans="2:21" ht="14.5" outlineLevel="3">
      <c r="B914" s="44" t="s">
        <v>3107</v>
      </c>
      <c r="C914" s="45" t="s">
        <v>3108</v>
      </c>
      <c r="D914" s="46" t="s">
        <v>2804</v>
      </c>
      <c r="E914" s="47" t="s">
        <v>102</v>
      </c>
      <c r="F914" s="46" t="s">
        <v>102</v>
      </c>
      <c r="G914" s="47" t="s">
        <v>102</v>
      </c>
      <c r="H914" s="48">
        <v>0</v>
      </c>
      <c r="I914" s="48">
        <v>0</v>
      </c>
      <c r="J914" s="47" t="s">
        <v>2613</v>
      </c>
      <c r="K914" s="49">
        <v>1</v>
      </c>
      <c r="L914" s="49" t="s">
        <v>2614</v>
      </c>
      <c r="M914" s="46" t="s">
        <v>117</v>
      </c>
      <c r="N914" s="50">
        <v>0</v>
      </c>
      <c r="O914" s="50">
        <v>0</v>
      </c>
      <c r="P914" s="50">
        <v>0</v>
      </c>
      <c r="Q914" s="46" t="s">
        <v>102</v>
      </c>
      <c r="R914" s="46" t="s">
        <v>102</v>
      </c>
      <c r="S914" s="46" t="s">
        <v>102</v>
      </c>
      <c r="T914" s="46" t="s">
        <v>2666</v>
      </c>
      <c r="U914" s="51">
        <v>4</v>
      </c>
    </row>
    <row r="915" spans="2:21" ht="14.5" outlineLevel="3">
      <c r="B915" s="44" t="s">
        <v>3109</v>
      </c>
      <c r="C915" s="45" t="s">
        <v>3110</v>
      </c>
      <c r="D915" s="46" t="s">
        <v>102</v>
      </c>
      <c r="E915" s="47" t="s">
        <v>102</v>
      </c>
      <c r="F915" s="46" t="s">
        <v>102</v>
      </c>
      <c r="G915" s="47" t="s">
        <v>102</v>
      </c>
      <c r="H915" s="48">
        <v>0</v>
      </c>
      <c r="I915" s="48">
        <v>0</v>
      </c>
      <c r="J915" s="47" t="s">
        <v>102</v>
      </c>
      <c r="K915" s="49">
        <v>0</v>
      </c>
      <c r="L915" s="49" t="s">
        <v>102</v>
      </c>
      <c r="M915" s="46" t="s">
        <v>102</v>
      </c>
      <c r="N915" s="50">
        <v>0</v>
      </c>
      <c r="O915" s="50">
        <v>0</v>
      </c>
      <c r="P915" s="50">
        <v>0</v>
      </c>
      <c r="Q915" s="46" t="s">
        <v>102</v>
      </c>
      <c r="R915" s="46" t="s">
        <v>3111</v>
      </c>
      <c r="S915" s="46" t="s">
        <v>102</v>
      </c>
      <c r="T915" s="46" t="s">
        <v>102</v>
      </c>
      <c r="U915" s="51">
        <v>2</v>
      </c>
    </row>
    <row r="916" spans="2:21" ht="14.5" outlineLevel="2">
      <c r="B916" s="36" t="s">
        <v>3112</v>
      </c>
      <c r="C916" s="37" t="s">
        <v>3113</v>
      </c>
      <c r="D916" s="38" t="s">
        <v>102</v>
      </c>
      <c r="E916" s="39" t="s">
        <v>102</v>
      </c>
      <c r="F916" s="38" t="s">
        <v>102</v>
      </c>
      <c r="G916" s="39" t="s">
        <v>102</v>
      </c>
      <c r="H916" s="40">
        <v>0</v>
      </c>
      <c r="I916" s="40">
        <v>0</v>
      </c>
      <c r="J916" s="39" t="s">
        <v>102</v>
      </c>
      <c r="K916" s="41">
        <v>0</v>
      </c>
      <c r="L916" s="41" t="s">
        <v>102</v>
      </c>
      <c r="M916" s="38" t="s">
        <v>102</v>
      </c>
      <c r="N916" s="42">
        <v>0</v>
      </c>
      <c r="O916" s="42">
        <v>0</v>
      </c>
      <c r="P916" s="42">
        <v>0</v>
      </c>
      <c r="Q916" s="38" t="s">
        <v>102</v>
      </c>
      <c r="R916" s="38" t="s">
        <v>102</v>
      </c>
      <c r="S916" s="38" t="s">
        <v>2910</v>
      </c>
      <c r="T916" s="38" t="s">
        <v>102</v>
      </c>
      <c r="U916" s="43">
        <v>3</v>
      </c>
    </row>
    <row r="917" spans="2:21" ht="14.5" outlineLevel="3">
      <c r="B917" s="44" t="s">
        <v>3114</v>
      </c>
      <c r="C917" s="45" t="s">
        <v>3115</v>
      </c>
      <c r="D917" s="46" t="s">
        <v>2804</v>
      </c>
      <c r="E917" s="47" t="s">
        <v>102</v>
      </c>
      <c r="F917" s="46" t="s">
        <v>102</v>
      </c>
      <c r="G917" s="47" t="s">
        <v>102</v>
      </c>
      <c r="H917" s="48">
        <v>0</v>
      </c>
      <c r="I917" s="48">
        <v>0</v>
      </c>
      <c r="J917" s="47" t="s">
        <v>2613</v>
      </c>
      <c r="K917" s="49">
        <v>0</v>
      </c>
      <c r="L917" s="49" t="s">
        <v>2614</v>
      </c>
      <c r="M917" s="46" t="s">
        <v>117</v>
      </c>
      <c r="N917" s="50">
        <v>0</v>
      </c>
      <c r="O917" s="50">
        <v>0</v>
      </c>
      <c r="P917" s="50">
        <v>0</v>
      </c>
      <c r="Q917" s="46" t="s">
        <v>102</v>
      </c>
      <c r="R917" s="46" t="s">
        <v>102</v>
      </c>
      <c r="S917" s="46" t="s">
        <v>102</v>
      </c>
      <c r="T917" s="46" t="s">
        <v>1019</v>
      </c>
      <c r="U917" s="51">
        <v>4</v>
      </c>
    </row>
    <row r="918" spans="2:21" ht="14.5" outlineLevel="3">
      <c r="B918" s="44" t="s">
        <v>3116</v>
      </c>
      <c r="C918" s="45" t="s">
        <v>3117</v>
      </c>
      <c r="D918" s="46" t="s">
        <v>2804</v>
      </c>
      <c r="E918" s="47" t="s">
        <v>102</v>
      </c>
      <c r="F918" s="46" t="s">
        <v>102</v>
      </c>
      <c r="G918" s="47" t="s">
        <v>102</v>
      </c>
      <c r="H918" s="48">
        <v>0</v>
      </c>
      <c r="I918" s="48">
        <v>0</v>
      </c>
      <c r="J918" s="47" t="s">
        <v>2613</v>
      </c>
      <c r="K918" s="49">
        <v>0</v>
      </c>
      <c r="L918" s="49" t="s">
        <v>2614</v>
      </c>
      <c r="M918" s="46" t="s">
        <v>117</v>
      </c>
      <c r="N918" s="50">
        <v>0</v>
      </c>
      <c r="O918" s="50">
        <v>0</v>
      </c>
      <c r="P918" s="50">
        <v>0</v>
      </c>
      <c r="Q918" s="46" t="s">
        <v>102</v>
      </c>
      <c r="R918" s="46" t="s">
        <v>102</v>
      </c>
      <c r="S918" s="46" t="s">
        <v>102</v>
      </c>
      <c r="T918" s="46" t="s">
        <v>2666</v>
      </c>
      <c r="U918" s="51">
        <v>4</v>
      </c>
    </row>
    <row r="919" spans="2:21" ht="14.5" outlineLevel="3">
      <c r="B919" s="44" t="s">
        <v>3118</v>
      </c>
      <c r="C919" s="45" t="s">
        <v>3119</v>
      </c>
      <c r="D919" s="46" t="s">
        <v>102</v>
      </c>
      <c r="E919" s="47" t="s">
        <v>102</v>
      </c>
      <c r="F919" s="46" t="s">
        <v>102</v>
      </c>
      <c r="G919" s="47" t="s">
        <v>102</v>
      </c>
      <c r="H919" s="48">
        <v>0</v>
      </c>
      <c r="I919" s="48">
        <v>0</v>
      </c>
      <c r="J919" s="47" t="s">
        <v>102</v>
      </c>
      <c r="K919" s="49">
        <v>0</v>
      </c>
      <c r="L919" s="49" t="s">
        <v>102</v>
      </c>
      <c r="M919" s="46" t="s">
        <v>102</v>
      </c>
      <c r="N919" s="50">
        <v>0</v>
      </c>
      <c r="O919" s="50">
        <v>0</v>
      </c>
      <c r="P919" s="50">
        <v>0</v>
      </c>
      <c r="Q919" s="46" t="s">
        <v>102</v>
      </c>
      <c r="R919" s="46" t="s">
        <v>102</v>
      </c>
      <c r="S919" s="46" t="s">
        <v>2917</v>
      </c>
      <c r="T919" s="46" t="s">
        <v>102</v>
      </c>
      <c r="U919" s="51">
        <v>3</v>
      </c>
    </row>
    <row r="920" spans="2:21" ht="14.5" outlineLevel="3">
      <c r="B920" s="44" t="s">
        <v>3120</v>
      </c>
      <c r="C920" s="45" t="s">
        <v>3121</v>
      </c>
      <c r="D920" s="46" t="s">
        <v>2804</v>
      </c>
      <c r="E920" s="47" t="s">
        <v>102</v>
      </c>
      <c r="F920" s="46" t="s">
        <v>102</v>
      </c>
      <c r="G920" s="47" t="s">
        <v>102</v>
      </c>
      <c r="H920" s="48">
        <v>0</v>
      </c>
      <c r="I920" s="48">
        <v>0</v>
      </c>
      <c r="J920" s="47" t="s">
        <v>2613</v>
      </c>
      <c r="K920" s="49">
        <v>0</v>
      </c>
      <c r="L920" s="49" t="s">
        <v>2614</v>
      </c>
      <c r="M920" s="46" t="s">
        <v>117</v>
      </c>
      <c r="N920" s="50">
        <v>0</v>
      </c>
      <c r="O920" s="50">
        <v>0</v>
      </c>
      <c r="P920" s="50">
        <v>0</v>
      </c>
      <c r="Q920" s="46" t="s">
        <v>102</v>
      </c>
      <c r="R920" s="46" t="s">
        <v>102</v>
      </c>
      <c r="S920" s="46" t="s">
        <v>102</v>
      </c>
      <c r="T920" s="46" t="s">
        <v>2815</v>
      </c>
      <c r="U920" s="51">
        <v>4</v>
      </c>
    </row>
    <row r="921" spans="2:21" ht="14.5" outlineLevel="3">
      <c r="B921" s="44" t="s">
        <v>3122</v>
      </c>
      <c r="C921" s="45" t="s">
        <v>3123</v>
      </c>
      <c r="D921" s="46" t="s">
        <v>2804</v>
      </c>
      <c r="E921" s="47" t="s">
        <v>102</v>
      </c>
      <c r="F921" s="46" t="s">
        <v>102</v>
      </c>
      <c r="G921" s="47" t="s">
        <v>102</v>
      </c>
      <c r="H921" s="48">
        <v>0</v>
      </c>
      <c r="I921" s="48">
        <v>0</v>
      </c>
      <c r="J921" s="47" t="s">
        <v>2613</v>
      </c>
      <c r="K921" s="49">
        <v>0</v>
      </c>
      <c r="L921" s="49" t="s">
        <v>2614</v>
      </c>
      <c r="M921" s="46" t="s">
        <v>117</v>
      </c>
      <c r="N921" s="50">
        <v>0</v>
      </c>
      <c r="O921" s="50">
        <v>0</v>
      </c>
      <c r="P921" s="50">
        <v>0</v>
      </c>
      <c r="Q921" s="46" t="s">
        <v>102</v>
      </c>
      <c r="R921" s="46" t="s">
        <v>102</v>
      </c>
      <c r="S921" s="46" t="s">
        <v>102</v>
      </c>
      <c r="T921" s="46" t="s">
        <v>461</v>
      </c>
      <c r="U921" s="51">
        <v>4</v>
      </c>
    </row>
    <row r="922" spans="2:21" ht="14.5" outlineLevel="2">
      <c r="B922" s="36" t="s">
        <v>3124</v>
      </c>
      <c r="C922" s="37" t="s">
        <v>3125</v>
      </c>
      <c r="D922" s="38" t="s">
        <v>2804</v>
      </c>
      <c r="E922" s="39" t="s">
        <v>102</v>
      </c>
      <c r="F922" s="38" t="s">
        <v>102</v>
      </c>
      <c r="G922" s="39" t="s">
        <v>102</v>
      </c>
      <c r="H922" s="40">
        <v>0</v>
      </c>
      <c r="I922" s="40">
        <v>0</v>
      </c>
      <c r="J922" s="39" t="s">
        <v>2613</v>
      </c>
      <c r="K922" s="41">
        <v>0</v>
      </c>
      <c r="L922" s="41" t="s">
        <v>2614</v>
      </c>
      <c r="M922" s="38" t="s">
        <v>117</v>
      </c>
      <c r="N922" s="42">
        <v>0</v>
      </c>
      <c r="O922" s="42">
        <v>0</v>
      </c>
      <c r="P922" s="42">
        <v>0</v>
      </c>
      <c r="Q922" s="38" t="s">
        <v>102</v>
      </c>
      <c r="R922" s="38" t="s">
        <v>102</v>
      </c>
      <c r="S922" s="38" t="s">
        <v>102</v>
      </c>
      <c r="T922" s="38" t="s">
        <v>466</v>
      </c>
      <c r="U922" s="43">
        <v>4</v>
      </c>
    </row>
    <row r="923" spans="2:21" ht="14.5" outlineLevel="3">
      <c r="B923" s="44" t="s">
        <v>3126</v>
      </c>
      <c r="C923" s="45" t="s">
        <v>3127</v>
      </c>
      <c r="D923" s="46" t="s">
        <v>2804</v>
      </c>
      <c r="E923" s="47" t="s">
        <v>102</v>
      </c>
      <c r="F923" s="46" t="s">
        <v>102</v>
      </c>
      <c r="G923" s="47" t="s">
        <v>102</v>
      </c>
      <c r="H923" s="48">
        <v>0</v>
      </c>
      <c r="I923" s="48">
        <v>0</v>
      </c>
      <c r="J923" s="47" t="s">
        <v>2613</v>
      </c>
      <c r="K923" s="49">
        <v>0</v>
      </c>
      <c r="L923" s="49" t="s">
        <v>2614</v>
      </c>
      <c r="M923" s="46" t="s">
        <v>117</v>
      </c>
      <c r="N923" s="50">
        <v>0</v>
      </c>
      <c r="O923" s="50">
        <v>0</v>
      </c>
      <c r="P923" s="50">
        <v>0</v>
      </c>
      <c r="Q923" s="46" t="s">
        <v>102</v>
      </c>
      <c r="R923" s="46" t="s">
        <v>102</v>
      </c>
      <c r="S923" s="46" t="s">
        <v>102</v>
      </c>
      <c r="T923" s="46" t="s">
        <v>482</v>
      </c>
      <c r="U923" s="51">
        <v>4</v>
      </c>
    </row>
    <row r="924" spans="2:21" ht="14.5" outlineLevel="3">
      <c r="B924" s="44" t="s">
        <v>3128</v>
      </c>
      <c r="C924" s="45" t="s">
        <v>3129</v>
      </c>
      <c r="D924" s="46" t="s">
        <v>2804</v>
      </c>
      <c r="E924" s="47" t="s">
        <v>102</v>
      </c>
      <c r="F924" s="46" t="s">
        <v>102</v>
      </c>
      <c r="G924" s="47" t="s">
        <v>102</v>
      </c>
      <c r="H924" s="48">
        <v>0</v>
      </c>
      <c r="I924" s="48">
        <v>0</v>
      </c>
      <c r="J924" s="47" t="s">
        <v>2613</v>
      </c>
      <c r="K924" s="49">
        <v>0</v>
      </c>
      <c r="L924" s="49" t="s">
        <v>2614</v>
      </c>
      <c r="M924" s="46" t="s">
        <v>117</v>
      </c>
      <c r="N924" s="50">
        <v>0</v>
      </c>
      <c r="O924" s="50">
        <v>0</v>
      </c>
      <c r="P924" s="50">
        <v>0</v>
      </c>
      <c r="Q924" s="46" t="s">
        <v>102</v>
      </c>
      <c r="R924" s="46" t="s">
        <v>102</v>
      </c>
      <c r="S924" s="46" t="s">
        <v>102</v>
      </c>
      <c r="T924" s="46" t="s">
        <v>2666</v>
      </c>
      <c r="U924" s="51">
        <v>4</v>
      </c>
    </row>
    <row r="925" spans="2:21" ht="14.5" outlineLevel="2">
      <c r="B925" s="36" t="s">
        <v>3130</v>
      </c>
      <c r="C925" s="37" t="s">
        <v>3131</v>
      </c>
      <c r="D925" s="38" t="s">
        <v>102</v>
      </c>
      <c r="E925" s="39" t="s">
        <v>102</v>
      </c>
      <c r="F925" s="38" t="s">
        <v>102</v>
      </c>
      <c r="G925" s="39" t="s">
        <v>102</v>
      </c>
      <c r="H925" s="40">
        <v>0</v>
      </c>
      <c r="I925" s="40">
        <v>0</v>
      </c>
      <c r="J925" s="39" t="s">
        <v>102</v>
      </c>
      <c r="K925" s="41">
        <v>0</v>
      </c>
      <c r="L925" s="41" t="s">
        <v>102</v>
      </c>
      <c r="M925" s="38" t="s">
        <v>102</v>
      </c>
      <c r="N925" s="42">
        <v>0</v>
      </c>
      <c r="O925" s="42">
        <v>0</v>
      </c>
      <c r="P925" s="42">
        <v>0</v>
      </c>
      <c r="Q925" s="38" t="s">
        <v>102</v>
      </c>
      <c r="R925" s="38" t="s">
        <v>102</v>
      </c>
      <c r="S925" s="38" t="s">
        <v>2930</v>
      </c>
      <c r="T925" s="38" t="s">
        <v>102</v>
      </c>
      <c r="U925" s="43">
        <v>3</v>
      </c>
    </row>
    <row r="926" spans="2:21" ht="14.5" outlineLevel="3">
      <c r="B926" s="44" t="s">
        <v>3132</v>
      </c>
      <c r="C926" s="45" t="s">
        <v>3133</v>
      </c>
      <c r="D926" s="46" t="s">
        <v>2804</v>
      </c>
      <c r="E926" s="47" t="s">
        <v>102</v>
      </c>
      <c r="F926" s="46" t="s">
        <v>102</v>
      </c>
      <c r="G926" s="47" t="s">
        <v>102</v>
      </c>
      <c r="H926" s="48">
        <v>0</v>
      </c>
      <c r="I926" s="48">
        <v>0</v>
      </c>
      <c r="J926" s="47" t="s">
        <v>2613</v>
      </c>
      <c r="K926" s="49">
        <v>0</v>
      </c>
      <c r="L926" s="49" t="s">
        <v>2614</v>
      </c>
      <c r="M926" s="46" t="s">
        <v>117</v>
      </c>
      <c r="N926" s="50">
        <v>0</v>
      </c>
      <c r="O926" s="50">
        <v>0</v>
      </c>
      <c r="P926" s="50">
        <v>0</v>
      </c>
      <c r="Q926" s="46" t="s">
        <v>102</v>
      </c>
      <c r="R926" s="46" t="s">
        <v>102</v>
      </c>
      <c r="S926" s="46" t="s">
        <v>102</v>
      </c>
      <c r="T926" s="46" t="s">
        <v>1019</v>
      </c>
      <c r="U926" s="51">
        <v>4</v>
      </c>
    </row>
    <row r="927" spans="2:21" ht="14.5" outlineLevel="2">
      <c r="B927" s="36" t="s">
        <v>3134</v>
      </c>
      <c r="C927" s="37" t="s">
        <v>3135</v>
      </c>
      <c r="D927" s="38" t="s">
        <v>2804</v>
      </c>
      <c r="E927" s="39" t="s">
        <v>102</v>
      </c>
      <c r="F927" s="38" t="s">
        <v>102</v>
      </c>
      <c r="G927" s="39" t="s">
        <v>102</v>
      </c>
      <c r="H927" s="40">
        <v>0</v>
      </c>
      <c r="I927" s="40">
        <v>0</v>
      </c>
      <c r="J927" s="39" t="s">
        <v>2613</v>
      </c>
      <c r="K927" s="41">
        <v>0</v>
      </c>
      <c r="L927" s="41" t="s">
        <v>2614</v>
      </c>
      <c r="M927" s="38" t="s">
        <v>117</v>
      </c>
      <c r="N927" s="42">
        <v>0</v>
      </c>
      <c r="O927" s="42">
        <v>0</v>
      </c>
      <c r="P927" s="42">
        <v>0</v>
      </c>
      <c r="Q927" s="38" t="s">
        <v>102</v>
      </c>
      <c r="R927" s="38" t="s">
        <v>102</v>
      </c>
      <c r="S927" s="38" t="s">
        <v>102</v>
      </c>
      <c r="T927" s="38" t="s">
        <v>2666</v>
      </c>
      <c r="U927" s="43">
        <v>4</v>
      </c>
    </row>
    <row r="928" spans="2:21" ht="14.5" outlineLevel="3">
      <c r="B928" s="44" t="s">
        <v>3136</v>
      </c>
      <c r="C928" s="45" t="s">
        <v>3137</v>
      </c>
      <c r="D928" s="46" t="s">
        <v>102</v>
      </c>
      <c r="E928" s="47" t="s">
        <v>102</v>
      </c>
      <c r="F928" s="46" t="s">
        <v>102</v>
      </c>
      <c r="G928" s="47" t="s">
        <v>102</v>
      </c>
      <c r="H928" s="48">
        <v>0</v>
      </c>
      <c r="I928" s="48">
        <v>0</v>
      </c>
      <c r="J928" s="47" t="s">
        <v>102</v>
      </c>
      <c r="K928" s="49">
        <v>0</v>
      </c>
      <c r="L928" s="49" t="s">
        <v>102</v>
      </c>
      <c r="M928" s="46" t="s">
        <v>102</v>
      </c>
      <c r="N928" s="50">
        <v>0</v>
      </c>
      <c r="O928" s="50">
        <v>0</v>
      </c>
      <c r="P928" s="50">
        <v>0</v>
      </c>
      <c r="Q928" s="46" t="s">
        <v>102</v>
      </c>
      <c r="R928" s="46" t="s">
        <v>102</v>
      </c>
      <c r="S928" s="46" t="s">
        <v>2937</v>
      </c>
      <c r="T928" s="46" t="s">
        <v>102</v>
      </c>
      <c r="U928" s="51">
        <v>3</v>
      </c>
    </row>
    <row r="929" spans="2:21" ht="14.5" outlineLevel="2">
      <c r="B929" s="36" t="s">
        <v>3138</v>
      </c>
      <c r="C929" s="37" t="s">
        <v>3139</v>
      </c>
      <c r="D929" s="38" t="s">
        <v>2804</v>
      </c>
      <c r="E929" s="39" t="s">
        <v>102</v>
      </c>
      <c r="F929" s="38" t="s">
        <v>102</v>
      </c>
      <c r="G929" s="39" t="s">
        <v>102</v>
      </c>
      <c r="H929" s="40">
        <v>0</v>
      </c>
      <c r="I929" s="40">
        <v>0</v>
      </c>
      <c r="J929" s="39" t="s">
        <v>2613</v>
      </c>
      <c r="K929" s="41">
        <v>0</v>
      </c>
      <c r="L929" s="41" t="s">
        <v>2614</v>
      </c>
      <c r="M929" s="38" t="s">
        <v>117</v>
      </c>
      <c r="N929" s="42">
        <v>0</v>
      </c>
      <c r="O929" s="42">
        <v>0</v>
      </c>
      <c r="P929" s="42">
        <v>0</v>
      </c>
      <c r="Q929" s="38" t="s">
        <v>102</v>
      </c>
      <c r="R929" s="38" t="s">
        <v>102</v>
      </c>
      <c r="S929" s="38" t="s">
        <v>102</v>
      </c>
      <c r="T929" s="38" t="s">
        <v>1019</v>
      </c>
      <c r="U929" s="43">
        <v>4</v>
      </c>
    </row>
    <row r="930" spans="2:21" ht="14.5" outlineLevel="3">
      <c r="B930" s="44" t="s">
        <v>3140</v>
      </c>
      <c r="C930" s="45" t="s">
        <v>3141</v>
      </c>
      <c r="D930" s="46" t="s">
        <v>102</v>
      </c>
      <c r="E930" s="47" t="s">
        <v>102</v>
      </c>
      <c r="F930" s="46" t="s">
        <v>102</v>
      </c>
      <c r="G930" s="47" t="s">
        <v>102</v>
      </c>
      <c r="H930" s="48">
        <v>0</v>
      </c>
      <c r="I930" s="48">
        <v>0</v>
      </c>
      <c r="J930" s="47" t="s">
        <v>102</v>
      </c>
      <c r="K930" s="49">
        <v>0</v>
      </c>
      <c r="L930" s="49" t="s">
        <v>102</v>
      </c>
      <c r="M930" s="46" t="s">
        <v>102</v>
      </c>
      <c r="N930" s="50">
        <v>0</v>
      </c>
      <c r="O930" s="50">
        <v>0</v>
      </c>
      <c r="P930" s="50">
        <v>0</v>
      </c>
      <c r="Q930" s="46" t="s">
        <v>102</v>
      </c>
      <c r="R930" s="46" t="s">
        <v>102</v>
      </c>
      <c r="S930" s="46" t="s">
        <v>2942</v>
      </c>
      <c r="T930" s="46" t="s">
        <v>102</v>
      </c>
      <c r="U930" s="51">
        <v>3</v>
      </c>
    </row>
    <row r="931" spans="2:21" ht="14.5" outlineLevel="3">
      <c r="B931" s="44" t="s">
        <v>3142</v>
      </c>
      <c r="C931" s="45" t="s">
        <v>3143</v>
      </c>
      <c r="D931" s="46" t="s">
        <v>2804</v>
      </c>
      <c r="E931" s="47" t="s">
        <v>102</v>
      </c>
      <c r="F931" s="46" t="s">
        <v>102</v>
      </c>
      <c r="G931" s="47" t="s">
        <v>102</v>
      </c>
      <c r="H931" s="48">
        <v>0</v>
      </c>
      <c r="I931" s="48">
        <v>0</v>
      </c>
      <c r="J931" s="47" t="s">
        <v>2613</v>
      </c>
      <c r="K931" s="49">
        <v>0</v>
      </c>
      <c r="L931" s="49" t="s">
        <v>2614</v>
      </c>
      <c r="M931" s="46" t="s">
        <v>117</v>
      </c>
      <c r="N931" s="50">
        <v>0</v>
      </c>
      <c r="O931" s="50">
        <v>0</v>
      </c>
      <c r="P931" s="50">
        <v>0</v>
      </c>
      <c r="Q931" s="46" t="s">
        <v>102</v>
      </c>
      <c r="R931" s="46" t="s">
        <v>102</v>
      </c>
      <c r="S931" s="46" t="s">
        <v>102</v>
      </c>
      <c r="T931" s="46" t="s">
        <v>1019</v>
      </c>
      <c r="U931" s="51">
        <v>4</v>
      </c>
    </row>
    <row r="932" spans="2:21" ht="14.5" outlineLevel="3">
      <c r="B932" s="44" t="s">
        <v>3144</v>
      </c>
      <c r="C932" s="45" t="s">
        <v>3145</v>
      </c>
      <c r="D932" s="46" t="s">
        <v>102</v>
      </c>
      <c r="E932" s="47" t="s">
        <v>102</v>
      </c>
      <c r="F932" s="46" t="s">
        <v>102</v>
      </c>
      <c r="G932" s="47" t="s">
        <v>102</v>
      </c>
      <c r="H932" s="48">
        <v>0</v>
      </c>
      <c r="I932" s="48">
        <v>0</v>
      </c>
      <c r="J932" s="47" t="s">
        <v>102</v>
      </c>
      <c r="K932" s="49">
        <v>0</v>
      </c>
      <c r="L932" s="49" t="s">
        <v>102</v>
      </c>
      <c r="M932" s="46" t="s">
        <v>102</v>
      </c>
      <c r="N932" s="50">
        <v>0</v>
      </c>
      <c r="O932" s="50">
        <v>0</v>
      </c>
      <c r="P932" s="50">
        <v>0</v>
      </c>
      <c r="Q932" s="46" t="s">
        <v>102</v>
      </c>
      <c r="R932" s="46" t="s">
        <v>102</v>
      </c>
      <c r="S932" s="46" t="s">
        <v>2947</v>
      </c>
      <c r="T932" s="46" t="s">
        <v>102</v>
      </c>
      <c r="U932" s="51">
        <v>3</v>
      </c>
    </row>
    <row r="933" spans="2:21" ht="14.5" outlineLevel="2">
      <c r="B933" s="36" t="s">
        <v>3146</v>
      </c>
      <c r="C933" s="37" t="s">
        <v>3147</v>
      </c>
      <c r="D933" s="38" t="s">
        <v>2804</v>
      </c>
      <c r="E933" s="39" t="s">
        <v>102</v>
      </c>
      <c r="F933" s="38" t="s">
        <v>102</v>
      </c>
      <c r="G933" s="39" t="s">
        <v>102</v>
      </c>
      <c r="H933" s="40">
        <v>0</v>
      </c>
      <c r="I933" s="40">
        <v>0</v>
      </c>
      <c r="J933" s="39" t="s">
        <v>2613</v>
      </c>
      <c r="K933" s="41">
        <v>0</v>
      </c>
      <c r="L933" s="41" t="s">
        <v>2614</v>
      </c>
      <c r="M933" s="38" t="s">
        <v>117</v>
      </c>
      <c r="N933" s="42">
        <v>0</v>
      </c>
      <c r="O933" s="42">
        <v>0</v>
      </c>
      <c r="P933" s="42">
        <v>0</v>
      </c>
      <c r="Q933" s="38" t="s">
        <v>102</v>
      </c>
      <c r="R933" s="38" t="s">
        <v>102</v>
      </c>
      <c r="S933" s="38" t="s">
        <v>102</v>
      </c>
      <c r="T933" s="38" t="s">
        <v>1019</v>
      </c>
      <c r="U933" s="43">
        <v>4</v>
      </c>
    </row>
    <row r="934" spans="2:21" ht="14.5" outlineLevel="3">
      <c r="B934" s="44" t="s">
        <v>3148</v>
      </c>
      <c r="C934" s="45" t="s">
        <v>3149</v>
      </c>
      <c r="D934" s="46" t="s">
        <v>2804</v>
      </c>
      <c r="E934" s="47" t="s">
        <v>102</v>
      </c>
      <c r="F934" s="46" t="s">
        <v>102</v>
      </c>
      <c r="G934" s="47" t="s">
        <v>102</v>
      </c>
      <c r="H934" s="48">
        <v>0</v>
      </c>
      <c r="I934" s="48">
        <v>0</v>
      </c>
      <c r="J934" s="47" t="s">
        <v>2613</v>
      </c>
      <c r="K934" s="49">
        <v>0</v>
      </c>
      <c r="L934" s="49" t="s">
        <v>2614</v>
      </c>
      <c r="M934" s="46" t="s">
        <v>117</v>
      </c>
      <c r="N934" s="50">
        <v>0</v>
      </c>
      <c r="O934" s="50">
        <v>0</v>
      </c>
      <c r="P934" s="50">
        <v>0</v>
      </c>
      <c r="Q934" s="46" t="s">
        <v>102</v>
      </c>
      <c r="R934" s="46" t="s">
        <v>102</v>
      </c>
      <c r="S934" s="46" t="s">
        <v>102</v>
      </c>
      <c r="T934" s="46" t="s">
        <v>2815</v>
      </c>
      <c r="U934" s="51">
        <v>4</v>
      </c>
    </row>
    <row r="935" spans="2:21" ht="14.5" outlineLevel="2">
      <c r="B935" s="36" t="s">
        <v>3150</v>
      </c>
      <c r="C935" s="37" t="s">
        <v>3151</v>
      </c>
      <c r="D935" s="38" t="s">
        <v>2804</v>
      </c>
      <c r="E935" s="39" t="s">
        <v>102</v>
      </c>
      <c r="F935" s="38" t="s">
        <v>102</v>
      </c>
      <c r="G935" s="39" t="s">
        <v>102</v>
      </c>
      <c r="H935" s="40">
        <v>0</v>
      </c>
      <c r="I935" s="40">
        <v>0</v>
      </c>
      <c r="J935" s="39" t="s">
        <v>2613</v>
      </c>
      <c r="K935" s="41">
        <v>0</v>
      </c>
      <c r="L935" s="41" t="s">
        <v>2614</v>
      </c>
      <c r="M935" s="38" t="s">
        <v>117</v>
      </c>
      <c r="N935" s="42">
        <v>0</v>
      </c>
      <c r="O935" s="42">
        <v>0</v>
      </c>
      <c r="P935" s="42">
        <v>0</v>
      </c>
      <c r="Q935" s="38" t="s">
        <v>102</v>
      </c>
      <c r="R935" s="38" t="s">
        <v>102</v>
      </c>
      <c r="S935" s="38" t="s">
        <v>102</v>
      </c>
      <c r="T935" s="38" t="s">
        <v>461</v>
      </c>
      <c r="U935" s="43">
        <v>4</v>
      </c>
    </row>
    <row r="936" spans="2:21" ht="14.5" outlineLevel="3">
      <c r="B936" s="44" t="s">
        <v>3152</v>
      </c>
      <c r="C936" s="45" t="s">
        <v>3153</v>
      </c>
      <c r="D936" s="46" t="s">
        <v>102</v>
      </c>
      <c r="E936" s="47" t="s">
        <v>102</v>
      </c>
      <c r="F936" s="46" t="s">
        <v>102</v>
      </c>
      <c r="G936" s="47" t="s">
        <v>102</v>
      </c>
      <c r="H936" s="48">
        <v>0</v>
      </c>
      <c r="I936" s="48">
        <v>0</v>
      </c>
      <c r="J936" s="47" t="s">
        <v>102</v>
      </c>
      <c r="K936" s="49">
        <v>0</v>
      </c>
      <c r="L936" s="49" t="s">
        <v>102</v>
      </c>
      <c r="M936" s="46" t="s">
        <v>102</v>
      </c>
      <c r="N936" s="50">
        <v>0</v>
      </c>
      <c r="O936" s="50">
        <v>0</v>
      </c>
      <c r="P936" s="50">
        <v>0</v>
      </c>
      <c r="Q936" s="46" t="s">
        <v>102</v>
      </c>
      <c r="R936" s="46" t="s">
        <v>102</v>
      </c>
      <c r="S936" s="46" t="s">
        <v>2956</v>
      </c>
      <c r="T936" s="46" t="s">
        <v>102</v>
      </c>
      <c r="U936" s="51">
        <v>3</v>
      </c>
    </row>
    <row r="937" spans="2:21" ht="14.5" outlineLevel="3">
      <c r="B937" s="44" t="s">
        <v>3154</v>
      </c>
      <c r="C937" s="45" t="s">
        <v>3155</v>
      </c>
      <c r="D937" s="46" t="s">
        <v>2804</v>
      </c>
      <c r="E937" s="47" t="s">
        <v>102</v>
      </c>
      <c r="F937" s="46" t="s">
        <v>102</v>
      </c>
      <c r="G937" s="47" t="s">
        <v>102</v>
      </c>
      <c r="H937" s="48">
        <v>0</v>
      </c>
      <c r="I937" s="48">
        <v>0</v>
      </c>
      <c r="J937" s="47" t="s">
        <v>2613</v>
      </c>
      <c r="K937" s="49">
        <v>0</v>
      </c>
      <c r="L937" s="49" t="s">
        <v>2614</v>
      </c>
      <c r="M937" s="46" t="s">
        <v>117</v>
      </c>
      <c r="N937" s="50">
        <v>0</v>
      </c>
      <c r="O937" s="50">
        <v>0</v>
      </c>
      <c r="P937" s="50">
        <v>0</v>
      </c>
      <c r="Q937" s="46" t="s">
        <v>102</v>
      </c>
      <c r="R937" s="46" t="s">
        <v>102</v>
      </c>
      <c r="S937" s="46" t="s">
        <v>102</v>
      </c>
      <c r="T937" s="46" t="s">
        <v>1019</v>
      </c>
      <c r="U937" s="51">
        <v>4</v>
      </c>
    </row>
    <row r="938" spans="2:21" ht="14.5" outlineLevel="2">
      <c r="B938" s="36" t="s">
        <v>3156</v>
      </c>
      <c r="C938" s="37" t="s">
        <v>3157</v>
      </c>
      <c r="D938" s="38" t="s">
        <v>102</v>
      </c>
      <c r="E938" s="39" t="s">
        <v>102</v>
      </c>
      <c r="F938" s="38" t="s">
        <v>102</v>
      </c>
      <c r="G938" s="39" t="s">
        <v>102</v>
      </c>
      <c r="H938" s="40">
        <v>0</v>
      </c>
      <c r="I938" s="40">
        <v>0</v>
      </c>
      <c r="J938" s="39" t="s">
        <v>102</v>
      </c>
      <c r="K938" s="41">
        <v>0</v>
      </c>
      <c r="L938" s="41" t="s">
        <v>102</v>
      </c>
      <c r="M938" s="38" t="s">
        <v>102</v>
      </c>
      <c r="N938" s="42">
        <v>0</v>
      </c>
      <c r="O938" s="42">
        <v>0</v>
      </c>
      <c r="P938" s="42">
        <v>0</v>
      </c>
      <c r="Q938" s="38" t="s">
        <v>102</v>
      </c>
      <c r="R938" s="38" t="s">
        <v>102</v>
      </c>
      <c r="S938" s="38" t="s">
        <v>2961</v>
      </c>
      <c r="T938" s="38" t="s">
        <v>102</v>
      </c>
      <c r="U938" s="43">
        <v>3</v>
      </c>
    </row>
    <row r="939" spans="2:21" ht="14.5" outlineLevel="3">
      <c r="B939" s="44" t="s">
        <v>3158</v>
      </c>
      <c r="C939" s="45" t="s">
        <v>3159</v>
      </c>
      <c r="D939" s="46" t="s">
        <v>2804</v>
      </c>
      <c r="E939" s="47" t="s">
        <v>102</v>
      </c>
      <c r="F939" s="46" t="s">
        <v>102</v>
      </c>
      <c r="G939" s="47" t="s">
        <v>102</v>
      </c>
      <c r="H939" s="48">
        <v>0</v>
      </c>
      <c r="I939" s="48">
        <v>0</v>
      </c>
      <c r="J939" s="47" t="s">
        <v>2613</v>
      </c>
      <c r="K939" s="49">
        <v>0</v>
      </c>
      <c r="L939" s="49" t="s">
        <v>2614</v>
      </c>
      <c r="M939" s="46" t="s">
        <v>117</v>
      </c>
      <c r="N939" s="50">
        <v>0</v>
      </c>
      <c r="O939" s="50">
        <v>0</v>
      </c>
      <c r="P939" s="50">
        <v>0</v>
      </c>
      <c r="Q939" s="46" t="s">
        <v>102</v>
      </c>
      <c r="R939" s="46" t="s">
        <v>102</v>
      </c>
      <c r="S939" s="46" t="s">
        <v>102</v>
      </c>
      <c r="T939" s="46" t="s">
        <v>1019</v>
      </c>
      <c r="U939" s="51">
        <v>4</v>
      </c>
    </row>
    <row r="940" spans="2:21" ht="14.5" outlineLevel="2">
      <c r="B940" s="36" t="s">
        <v>3160</v>
      </c>
      <c r="C940" s="37" t="s">
        <v>3161</v>
      </c>
      <c r="D940" s="38" t="s">
        <v>2804</v>
      </c>
      <c r="E940" s="39" t="s">
        <v>102</v>
      </c>
      <c r="F940" s="38" t="s">
        <v>102</v>
      </c>
      <c r="G940" s="39" t="s">
        <v>102</v>
      </c>
      <c r="H940" s="40">
        <v>0</v>
      </c>
      <c r="I940" s="40">
        <v>0</v>
      </c>
      <c r="J940" s="39" t="s">
        <v>2613</v>
      </c>
      <c r="K940" s="41">
        <v>0</v>
      </c>
      <c r="L940" s="41" t="s">
        <v>2614</v>
      </c>
      <c r="M940" s="38" t="s">
        <v>117</v>
      </c>
      <c r="N940" s="42">
        <v>0</v>
      </c>
      <c r="O940" s="42">
        <v>0</v>
      </c>
      <c r="P940" s="42">
        <v>0</v>
      </c>
      <c r="Q940" s="38" t="s">
        <v>102</v>
      </c>
      <c r="R940" s="38" t="s">
        <v>102</v>
      </c>
      <c r="S940" s="38" t="s">
        <v>102</v>
      </c>
      <c r="T940" s="38" t="s">
        <v>2828</v>
      </c>
      <c r="U940" s="43">
        <v>4</v>
      </c>
    </row>
    <row r="941" spans="2:21" ht="14.5" outlineLevel="3">
      <c r="B941" s="44" t="s">
        <v>3162</v>
      </c>
      <c r="C941" s="45" t="s">
        <v>3163</v>
      </c>
      <c r="D941" s="46" t="s">
        <v>102</v>
      </c>
      <c r="E941" s="47" t="s">
        <v>102</v>
      </c>
      <c r="F941" s="46" t="s">
        <v>102</v>
      </c>
      <c r="G941" s="47" t="s">
        <v>102</v>
      </c>
      <c r="H941" s="48">
        <v>0</v>
      </c>
      <c r="I941" s="48">
        <v>0</v>
      </c>
      <c r="J941" s="47" t="s">
        <v>102</v>
      </c>
      <c r="K941" s="49">
        <v>0</v>
      </c>
      <c r="L941" s="49" t="s">
        <v>102</v>
      </c>
      <c r="M941" s="46" t="s">
        <v>102</v>
      </c>
      <c r="N941" s="50">
        <v>0</v>
      </c>
      <c r="O941" s="50">
        <v>0</v>
      </c>
      <c r="P941" s="50">
        <v>0</v>
      </c>
      <c r="Q941" s="46" t="s">
        <v>102</v>
      </c>
      <c r="R941" s="46" t="s">
        <v>102</v>
      </c>
      <c r="S941" s="46" t="s">
        <v>2968</v>
      </c>
      <c r="T941" s="46" t="s">
        <v>102</v>
      </c>
      <c r="U941" s="51">
        <v>3</v>
      </c>
    </row>
    <row r="942" spans="2:21" ht="14.5" outlineLevel="3">
      <c r="B942" s="44" t="s">
        <v>3164</v>
      </c>
      <c r="C942" s="45" t="s">
        <v>3165</v>
      </c>
      <c r="D942" s="46" t="s">
        <v>2804</v>
      </c>
      <c r="E942" s="47" t="s">
        <v>102</v>
      </c>
      <c r="F942" s="46" t="s">
        <v>102</v>
      </c>
      <c r="G942" s="47" t="s">
        <v>102</v>
      </c>
      <c r="H942" s="48">
        <v>0</v>
      </c>
      <c r="I942" s="48">
        <v>0</v>
      </c>
      <c r="J942" s="47" t="s">
        <v>2613</v>
      </c>
      <c r="K942" s="49">
        <v>0</v>
      </c>
      <c r="L942" s="49" t="s">
        <v>2614</v>
      </c>
      <c r="M942" s="46" t="s">
        <v>117</v>
      </c>
      <c r="N942" s="50">
        <v>0</v>
      </c>
      <c r="O942" s="50">
        <v>0</v>
      </c>
      <c r="P942" s="50">
        <v>0</v>
      </c>
      <c r="Q942" s="46" t="s">
        <v>102</v>
      </c>
      <c r="R942" s="46" t="s">
        <v>102</v>
      </c>
      <c r="S942" s="46" t="s">
        <v>102</v>
      </c>
      <c r="T942" s="46" t="s">
        <v>1019</v>
      </c>
      <c r="U942" s="51">
        <v>4</v>
      </c>
    </row>
    <row r="943" spans="2:21" ht="14.5" outlineLevel="3">
      <c r="B943" s="44" t="s">
        <v>3166</v>
      </c>
      <c r="C943" s="45" t="s">
        <v>3167</v>
      </c>
      <c r="D943" s="46" t="s">
        <v>102</v>
      </c>
      <c r="E943" s="47" t="s">
        <v>102</v>
      </c>
      <c r="F943" s="46" t="s">
        <v>102</v>
      </c>
      <c r="G943" s="47" t="s">
        <v>102</v>
      </c>
      <c r="H943" s="48">
        <v>0</v>
      </c>
      <c r="I943" s="48">
        <v>0</v>
      </c>
      <c r="J943" s="47" t="s">
        <v>102</v>
      </c>
      <c r="K943" s="49">
        <v>0</v>
      </c>
      <c r="L943" s="49" t="s">
        <v>102</v>
      </c>
      <c r="M943" s="46" t="s">
        <v>102</v>
      </c>
      <c r="N943" s="50">
        <v>0</v>
      </c>
      <c r="O943" s="50">
        <v>0</v>
      </c>
      <c r="P943" s="50">
        <v>0</v>
      </c>
      <c r="Q943" s="46" t="s">
        <v>102</v>
      </c>
      <c r="R943" s="46" t="s">
        <v>102</v>
      </c>
      <c r="S943" s="46" t="s">
        <v>2973</v>
      </c>
      <c r="T943" s="46" t="s">
        <v>102</v>
      </c>
      <c r="U943" s="51">
        <v>3</v>
      </c>
    </row>
    <row r="944" spans="2:21" ht="14.5" outlineLevel="3">
      <c r="B944" s="44" t="s">
        <v>3168</v>
      </c>
      <c r="C944" s="45" t="s">
        <v>3169</v>
      </c>
      <c r="D944" s="46" t="s">
        <v>2804</v>
      </c>
      <c r="E944" s="47" t="s">
        <v>102</v>
      </c>
      <c r="F944" s="46" t="s">
        <v>102</v>
      </c>
      <c r="G944" s="47" t="s">
        <v>102</v>
      </c>
      <c r="H944" s="48">
        <v>0</v>
      </c>
      <c r="I944" s="48">
        <v>0</v>
      </c>
      <c r="J944" s="47" t="s">
        <v>2613</v>
      </c>
      <c r="K944" s="49">
        <v>0</v>
      </c>
      <c r="L944" s="49" t="s">
        <v>2614</v>
      </c>
      <c r="M944" s="46" t="s">
        <v>117</v>
      </c>
      <c r="N944" s="50">
        <v>0</v>
      </c>
      <c r="O944" s="50">
        <v>0</v>
      </c>
      <c r="P944" s="50">
        <v>0</v>
      </c>
      <c r="Q944" s="46" t="s">
        <v>102</v>
      </c>
      <c r="R944" s="46" t="s">
        <v>102</v>
      </c>
      <c r="S944" s="46" t="s">
        <v>102</v>
      </c>
      <c r="T944" s="46" t="s">
        <v>1019</v>
      </c>
      <c r="U944" s="51">
        <v>4</v>
      </c>
    </row>
    <row r="945" spans="2:21" ht="14.5" outlineLevel="3">
      <c r="B945" s="44" t="s">
        <v>3170</v>
      </c>
      <c r="C945" s="45" t="s">
        <v>3171</v>
      </c>
      <c r="D945" s="46" t="s">
        <v>2804</v>
      </c>
      <c r="E945" s="47" t="s">
        <v>102</v>
      </c>
      <c r="F945" s="46" t="s">
        <v>102</v>
      </c>
      <c r="G945" s="47" t="s">
        <v>102</v>
      </c>
      <c r="H945" s="48">
        <v>0</v>
      </c>
      <c r="I945" s="48">
        <v>0</v>
      </c>
      <c r="J945" s="47" t="s">
        <v>2613</v>
      </c>
      <c r="K945" s="49">
        <v>0</v>
      </c>
      <c r="L945" s="49" t="s">
        <v>2614</v>
      </c>
      <c r="M945" s="46" t="s">
        <v>117</v>
      </c>
      <c r="N945" s="50">
        <v>0</v>
      </c>
      <c r="O945" s="50">
        <v>0</v>
      </c>
      <c r="P945" s="50">
        <v>0</v>
      </c>
      <c r="Q945" s="46" t="s">
        <v>102</v>
      </c>
      <c r="R945" s="46" t="s">
        <v>102</v>
      </c>
      <c r="S945" s="46" t="s">
        <v>102</v>
      </c>
      <c r="T945" s="46" t="s">
        <v>2740</v>
      </c>
      <c r="U945" s="51">
        <v>4</v>
      </c>
    </row>
    <row r="946" spans="2:21" ht="14.5" outlineLevel="2">
      <c r="B946" s="36" t="s">
        <v>3172</v>
      </c>
      <c r="C946" s="37" t="s">
        <v>3169</v>
      </c>
      <c r="D946" s="38" t="s">
        <v>2804</v>
      </c>
      <c r="E946" s="39" t="s">
        <v>102</v>
      </c>
      <c r="F946" s="38" t="s">
        <v>102</v>
      </c>
      <c r="G946" s="39" t="s">
        <v>102</v>
      </c>
      <c r="H946" s="40">
        <v>0</v>
      </c>
      <c r="I946" s="40">
        <v>0</v>
      </c>
      <c r="J946" s="39" t="s">
        <v>2613</v>
      </c>
      <c r="K946" s="41">
        <v>0</v>
      </c>
      <c r="L946" s="41" t="s">
        <v>2614</v>
      </c>
      <c r="M946" s="38" t="s">
        <v>117</v>
      </c>
      <c r="N946" s="42">
        <v>0</v>
      </c>
      <c r="O946" s="42">
        <v>0</v>
      </c>
      <c r="P946" s="42">
        <v>0</v>
      </c>
      <c r="Q946" s="38" t="s">
        <v>102</v>
      </c>
      <c r="R946" s="38" t="s">
        <v>102</v>
      </c>
      <c r="S946" s="38" t="s">
        <v>102</v>
      </c>
      <c r="T946" s="38" t="s">
        <v>2815</v>
      </c>
      <c r="U946" s="43">
        <v>4</v>
      </c>
    </row>
    <row r="947" spans="2:21" ht="14.5" outlineLevel="3">
      <c r="B947" s="44" t="s">
        <v>3173</v>
      </c>
      <c r="C947" s="45" t="s">
        <v>3174</v>
      </c>
      <c r="D947" s="46" t="s">
        <v>2804</v>
      </c>
      <c r="E947" s="47" t="s">
        <v>102</v>
      </c>
      <c r="F947" s="46" t="s">
        <v>102</v>
      </c>
      <c r="G947" s="47" t="s">
        <v>102</v>
      </c>
      <c r="H947" s="48">
        <v>0</v>
      </c>
      <c r="I947" s="48">
        <v>0</v>
      </c>
      <c r="J947" s="47" t="s">
        <v>2613</v>
      </c>
      <c r="K947" s="49">
        <v>0</v>
      </c>
      <c r="L947" s="49" t="s">
        <v>2614</v>
      </c>
      <c r="M947" s="46" t="s">
        <v>117</v>
      </c>
      <c r="N947" s="50">
        <v>0</v>
      </c>
      <c r="O947" s="50">
        <v>0</v>
      </c>
      <c r="P947" s="50">
        <v>0</v>
      </c>
      <c r="Q947" s="46" t="s">
        <v>102</v>
      </c>
      <c r="R947" s="46" t="s">
        <v>102</v>
      </c>
      <c r="S947" s="46" t="s">
        <v>102</v>
      </c>
      <c r="T947" s="46" t="s">
        <v>2787</v>
      </c>
      <c r="U947" s="51">
        <v>4</v>
      </c>
    </row>
    <row r="948" spans="2:21" ht="14.5" outlineLevel="3">
      <c r="B948" s="44" t="s">
        <v>3175</v>
      </c>
      <c r="C948" s="45" t="s">
        <v>3176</v>
      </c>
      <c r="D948" s="46" t="s">
        <v>2804</v>
      </c>
      <c r="E948" s="47" t="s">
        <v>102</v>
      </c>
      <c r="F948" s="46" t="s">
        <v>102</v>
      </c>
      <c r="G948" s="47" t="s">
        <v>102</v>
      </c>
      <c r="H948" s="48">
        <v>0</v>
      </c>
      <c r="I948" s="48">
        <v>0</v>
      </c>
      <c r="J948" s="47" t="s">
        <v>2613</v>
      </c>
      <c r="K948" s="49">
        <v>0</v>
      </c>
      <c r="L948" s="49" t="s">
        <v>2614</v>
      </c>
      <c r="M948" s="46" t="s">
        <v>117</v>
      </c>
      <c r="N948" s="50">
        <v>0</v>
      </c>
      <c r="O948" s="50">
        <v>0</v>
      </c>
      <c r="P948" s="50">
        <v>0</v>
      </c>
      <c r="Q948" s="46" t="s">
        <v>102</v>
      </c>
      <c r="R948" s="46" t="s">
        <v>102</v>
      </c>
      <c r="S948" s="46" t="s">
        <v>102</v>
      </c>
      <c r="T948" s="46" t="s">
        <v>461</v>
      </c>
      <c r="U948" s="51">
        <v>4</v>
      </c>
    </row>
    <row r="949" spans="2:21" ht="14.5" outlineLevel="2">
      <c r="B949" s="36" t="s">
        <v>3177</v>
      </c>
      <c r="C949" s="37" t="s">
        <v>3178</v>
      </c>
      <c r="D949" s="38" t="s">
        <v>102</v>
      </c>
      <c r="E949" s="39" t="s">
        <v>102</v>
      </c>
      <c r="F949" s="38" t="s">
        <v>102</v>
      </c>
      <c r="G949" s="39" t="s">
        <v>102</v>
      </c>
      <c r="H949" s="40">
        <v>0</v>
      </c>
      <c r="I949" s="40">
        <v>0</v>
      </c>
      <c r="J949" s="39" t="s">
        <v>102</v>
      </c>
      <c r="K949" s="41">
        <v>0</v>
      </c>
      <c r="L949" s="41" t="s">
        <v>102</v>
      </c>
      <c r="M949" s="38" t="s">
        <v>102</v>
      </c>
      <c r="N949" s="42">
        <v>0</v>
      </c>
      <c r="O949" s="42">
        <v>0</v>
      </c>
      <c r="P949" s="42">
        <v>0</v>
      </c>
      <c r="Q949" s="38" t="s">
        <v>102</v>
      </c>
      <c r="R949" s="38" t="s">
        <v>102</v>
      </c>
      <c r="S949" s="38" t="s">
        <v>2985</v>
      </c>
      <c r="T949" s="38" t="s">
        <v>102</v>
      </c>
      <c r="U949" s="43">
        <v>3</v>
      </c>
    </row>
    <row r="950" spans="2:21" ht="14.5" outlineLevel="3">
      <c r="B950" s="44" t="s">
        <v>3179</v>
      </c>
      <c r="C950" s="45" t="s">
        <v>3180</v>
      </c>
      <c r="D950" s="46" t="s">
        <v>2804</v>
      </c>
      <c r="E950" s="47" t="s">
        <v>102</v>
      </c>
      <c r="F950" s="46" t="s">
        <v>102</v>
      </c>
      <c r="G950" s="47" t="s">
        <v>102</v>
      </c>
      <c r="H950" s="48">
        <v>0</v>
      </c>
      <c r="I950" s="48">
        <v>0</v>
      </c>
      <c r="J950" s="47" t="s">
        <v>2613</v>
      </c>
      <c r="K950" s="49">
        <v>0</v>
      </c>
      <c r="L950" s="49" t="s">
        <v>2614</v>
      </c>
      <c r="M950" s="46" t="s">
        <v>117</v>
      </c>
      <c r="N950" s="50">
        <v>0</v>
      </c>
      <c r="O950" s="50">
        <v>0</v>
      </c>
      <c r="P950" s="50">
        <v>0</v>
      </c>
      <c r="Q950" s="46" t="s">
        <v>102</v>
      </c>
      <c r="R950" s="46" t="s">
        <v>102</v>
      </c>
      <c r="S950" s="46" t="s">
        <v>102</v>
      </c>
      <c r="T950" s="46" t="s">
        <v>1019</v>
      </c>
      <c r="U950" s="51">
        <v>4</v>
      </c>
    </row>
    <row r="951" spans="2:21" ht="14.5" outlineLevel="2">
      <c r="B951" s="36" t="s">
        <v>3181</v>
      </c>
      <c r="C951" s="37" t="s">
        <v>3182</v>
      </c>
      <c r="D951" s="38" t="s">
        <v>2804</v>
      </c>
      <c r="E951" s="39" t="s">
        <v>102</v>
      </c>
      <c r="F951" s="38" t="s">
        <v>102</v>
      </c>
      <c r="G951" s="39" t="s">
        <v>102</v>
      </c>
      <c r="H951" s="40">
        <v>0</v>
      </c>
      <c r="I951" s="40">
        <v>0</v>
      </c>
      <c r="J951" s="39" t="s">
        <v>2613</v>
      </c>
      <c r="K951" s="41">
        <v>0</v>
      </c>
      <c r="L951" s="41" t="s">
        <v>2614</v>
      </c>
      <c r="M951" s="38" t="s">
        <v>117</v>
      </c>
      <c r="N951" s="42">
        <v>0</v>
      </c>
      <c r="O951" s="42">
        <v>0</v>
      </c>
      <c r="P951" s="42">
        <v>0</v>
      </c>
      <c r="Q951" s="38" t="s">
        <v>102</v>
      </c>
      <c r="R951" s="38" t="s">
        <v>102</v>
      </c>
      <c r="S951" s="38" t="s">
        <v>102</v>
      </c>
      <c r="T951" s="38" t="s">
        <v>2815</v>
      </c>
      <c r="U951" s="43">
        <v>4</v>
      </c>
    </row>
    <row r="952" spans="2:21" ht="14.5" outlineLevel="3">
      <c r="B952" s="44" t="s">
        <v>3183</v>
      </c>
      <c r="C952" s="45" t="s">
        <v>3184</v>
      </c>
      <c r="D952" s="46" t="s">
        <v>102</v>
      </c>
      <c r="E952" s="47" t="s">
        <v>102</v>
      </c>
      <c r="F952" s="46" t="s">
        <v>102</v>
      </c>
      <c r="G952" s="47" t="s">
        <v>102</v>
      </c>
      <c r="H952" s="48">
        <v>0</v>
      </c>
      <c r="I952" s="48">
        <v>0</v>
      </c>
      <c r="J952" s="47" t="s">
        <v>102</v>
      </c>
      <c r="K952" s="49">
        <v>0</v>
      </c>
      <c r="L952" s="49" t="s">
        <v>102</v>
      </c>
      <c r="M952" s="46" t="s">
        <v>102</v>
      </c>
      <c r="N952" s="50">
        <v>0</v>
      </c>
      <c r="O952" s="50">
        <v>0</v>
      </c>
      <c r="P952" s="50">
        <v>0</v>
      </c>
      <c r="Q952" s="46" t="s">
        <v>102</v>
      </c>
      <c r="R952" s="46" t="s">
        <v>102</v>
      </c>
      <c r="S952" s="46" t="s">
        <v>2992</v>
      </c>
      <c r="T952" s="46" t="s">
        <v>102</v>
      </c>
      <c r="U952" s="51">
        <v>3</v>
      </c>
    </row>
    <row r="953" spans="2:21" ht="14.5" outlineLevel="2">
      <c r="B953" s="36" t="s">
        <v>3185</v>
      </c>
      <c r="C953" s="37" t="s">
        <v>3186</v>
      </c>
      <c r="D953" s="38" t="s">
        <v>2804</v>
      </c>
      <c r="E953" s="39" t="s">
        <v>102</v>
      </c>
      <c r="F953" s="38" t="s">
        <v>102</v>
      </c>
      <c r="G953" s="39" t="s">
        <v>102</v>
      </c>
      <c r="H953" s="40">
        <v>0</v>
      </c>
      <c r="I953" s="40">
        <v>0</v>
      </c>
      <c r="J953" s="39" t="s">
        <v>2613</v>
      </c>
      <c r="K953" s="41">
        <v>0</v>
      </c>
      <c r="L953" s="41" t="s">
        <v>2614</v>
      </c>
      <c r="M953" s="38" t="s">
        <v>117</v>
      </c>
      <c r="N953" s="42">
        <v>0</v>
      </c>
      <c r="O953" s="42">
        <v>0</v>
      </c>
      <c r="P953" s="42">
        <v>0</v>
      </c>
      <c r="Q953" s="38" t="s">
        <v>102</v>
      </c>
      <c r="R953" s="38" t="s">
        <v>102</v>
      </c>
      <c r="S953" s="38" t="s">
        <v>102</v>
      </c>
      <c r="T953" s="38" t="s">
        <v>1019</v>
      </c>
      <c r="U953" s="43">
        <v>4</v>
      </c>
    </row>
    <row r="954" spans="2:21" ht="14.5" outlineLevel="3">
      <c r="B954" s="44" t="s">
        <v>3187</v>
      </c>
      <c r="C954" s="45" t="s">
        <v>3188</v>
      </c>
      <c r="D954" s="46" t="s">
        <v>102</v>
      </c>
      <c r="E954" s="47" t="s">
        <v>102</v>
      </c>
      <c r="F954" s="46" t="s">
        <v>102</v>
      </c>
      <c r="G954" s="47" t="s">
        <v>102</v>
      </c>
      <c r="H954" s="48">
        <v>0</v>
      </c>
      <c r="I954" s="48">
        <v>0</v>
      </c>
      <c r="J954" s="47" t="s">
        <v>102</v>
      </c>
      <c r="K954" s="49">
        <v>0</v>
      </c>
      <c r="L954" s="49" t="s">
        <v>102</v>
      </c>
      <c r="M954" s="46" t="s">
        <v>102</v>
      </c>
      <c r="N954" s="50">
        <v>0</v>
      </c>
      <c r="O954" s="50">
        <v>0</v>
      </c>
      <c r="P954" s="50">
        <v>0</v>
      </c>
      <c r="Q954" s="46" t="s">
        <v>102</v>
      </c>
      <c r="R954" s="46" t="s">
        <v>102</v>
      </c>
      <c r="S954" s="46" t="s">
        <v>2997</v>
      </c>
      <c r="T954" s="46" t="s">
        <v>102</v>
      </c>
      <c r="U954" s="51">
        <v>3</v>
      </c>
    </row>
    <row r="955" spans="2:21" ht="14.5" outlineLevel="2">
      <c r="B955" s="36" t="s">
        <v>3189</v>
      </c>
      <c r="C955" s="37" t="s">
        <v>3190</v>
      </c>
      <c r="D955" s="38" t="s">
        <v>2804</v>
      </c>
      <c r="E955" s="39" t="s">
        <v>102</v>
      </c>
      <c r="F955" s="38" t="s">
        <v>102</v>
      </c>
      <c r="G955" s="39" t="s">
        <v>102</v>
      </c>
      <c r="H955" s="40">
        <v>0</v>
      </c>
      <c r="I955" s="40">
        <v>0</v>
      </c>
      <c r="J955" s="39" t="s">
        <v>2613</v>
      </c>
      <c r="K955" s="41">
        <v>0</v>
      </c>
      <c r="L955" s="41" t="s">
        <v>2614</v>
      </c>
      <c r="M955" s="38" t="s">
        <v>117</v>
      </c>
      <c r="N955" s="42">
        <v>0</v>
      </c>
      <c r="O955" s="42">
        <v>0</v>
      </c>
      <c r="P955" s="42">
        <v>0</v>
      </c>
      <c r="Q955" s="38" t="s">
        <v>102</v>
      </c>
      <c r="R955" s="38" t="s">
        <v>102</v>
      </c>
      <c r="S955" s="38" t="s">
        <v>102</v>
      </c>
      <c r="T955" s="38" t="s">
        <v>1019</v>
      </c>
      <c r="U955" s="43">
        <v>4</v>
      </c>
    </row>
    <row r="956" spans="2:21" ht="14.5" outlineLevel="3">
      <c r="B956" s="44" t="s">
        <v>3191</v>
      </c>
      <c r="C956" s="45" t="s">
        <v>3192</v>
      </c>
      <c r="D956" s="46" t="s">
        <v>102</v>
      </c>
      <c r="E956" s="47" t="s">
        <v>102</v>
      </c>
      <c r="F956" s="46" t="s">
        <v>102</v>
      </c>
      <c r="G956" s="47" t="s">
        <v>102</v>
      </c>
      <c r="H956" s="48">
        <v>0</v>
      </c>
      <c r="I956" s="48">
        <v>0</v>
      </c>
      <c r="J956" s="47" t="s">
        <v>102</v>
      </c>
      <c r="K956" s="49">
        <v>0</v>
      </c>
      <c r="L956" s="49" t="s">
        <v>102</v>
      </c>
      <c r="M956" s="46" t="s">
        <v>102</v>
      </c>
      <c r="N956" s="50">
        <v>0</v>
      </c>
      <c r="O956" s="50">
        <v>0</v>
      </c>
      <c r="P956" s="50">
        <v>0</v>
      </c>
      <c r="Q956" s="46" t="s">
        <v>102</v>
      </c>
      <c r="R956" s="46" t="s">
        <v>102</v>
      </c>
      <c r="S956" s="46" t="s">
        <v>3002</v>
      </c>
      <c r="T956" s="46" t="s">
        <v>102</v>
      </c>
      <c r="U956" s="51">
        <v>3</v>
      </c>
    </row>
    <row r="957" spans="2:21" ht="14.5" outlineLevel="3">
      <c r="B957" s="44" t="s">
        <v>3193</v>
      </c>
      <c r="C957" s="45" t="s">
        <v>3194</v>
      </c>
      <c r="D957" s="46" t="s">
        <v>2804</v>
      </c>
      <c r="E957" s="47" t="s">
        <v>102</v>
      </c>
      <c r="F957" s="46" t="s">
        <v>102</v>
      </c>
      <c r="G957" s="47" t="s">
        <v>102</v>
      </c>
      <c r="H957" s="48">
        <v>0</v>
      </c>
      <c r="I957" s="48">
        <v>0</v>
      </c>
      <c r="J957" s="47" t="s">
        <v>2613</v>
      </c>
      <c r="K957" s="49">
        <v>0</v>
      </c>
      <c r="L957" s="49" t="s">
        <v>2614</v>
      </c>
      <c r="M957" s="46" t="s">
        <v>117</v>
      </c>
      <c r="N957" s="50">
        <v>0</v>
      </c>
      <c r="O957" s="50">
        <v>0</v>
      </c>
      <c r="P957" s="50">
        <v>0</v>
      </c>
      <c r="Q957" s="46" t="s">
        <v>102</v>
      </c>
      <c r="R957" s="46" t="s">
        <v>102</v>
      </c>
      <c r="S957" s="46" t="s">
        <v>102</v>
      </c>
      <c r="T957" s="46" t="s">
        <v>1019</v>
      </c>
      <c r="U957" s="51">
        <v>4</v>
      </c>
    </row>
    <row r="958" spans="2:21" ht="14.5" outlineLevel="3">
      <c r="B958" s="44" t="s">
        <v>3195</v>
      </c>
      <c r="C958" s="45" t="s">
        <v>3196</v>
      </c>
      <c r="D958" s="46" t="s">
        <v>102</v>
      </c>
      <c r="E958" s="47" t="s">
        <v>102</v>
      </c>
      <c r="F958" s="46" t="s">
        <v>102</v>
      </c>
      <c r="G958" s="47" t="s">
        <v>102</v>
      </c>
      <c r="H958" s="48">
        <v>0</v>
      </c>
      <c r="I958" s="48">
        <v>0</v>
      </c>
      <c r="J958" s="47" t="s">
        <v>102</v>
      </c>
      <c r="K958" s="49">
        <v>0</v>
      </c>
      <c r="L958" s="49" t="s">
        <v>102</v>
      </c>
      <c r="M958" s="46" t="s">
        <v>102</v>
      </c>
      <c r="N958" s="50">
        <v>0</v>
      </c>
      <c r="O958" s="50">
        <v>0</v>
      </c>
      <c r="P958" s="50">
        <v>0</v>
      </c>
      <c r="Q958" s="46" t="s">
        <v>102</v>
      </c>
      <c r="R958" s="46" t="s">
        <v>102</v>
      </c>
      <c r="S958" s="46" t="s">
        <v>3007</v>
      </c>
      <c r="T958" s="46" t="s">
        <v>102</v>
      </c>
      <c r="U958" s="51">
        <v>3</v>
      </c>
    </row>
    <row r="959" spans="2:21" ht="14.5" outlineLevel="2">
      <c r="B959" s="36" t="s">
        <v>3197</v>
      </c>
      <c r="C959" s="37" t="s">
        <v>3198</v>
      </c>
      <c r="D959" s="38" t="s">
        <v>2804</v>
      </c>
      <c r="E959" s="39" t="s">
        <v>102</v>
      </c>
      <c r="F959" s="38" t="s">
        <v>102</v>
      </c>
      <c r="G959" s="39" t="s">
        <v>102</v>
      </c>
      <c r="H959" s="40">
        <v>0</v>
      </c>
      <c r="I959" s="40">
        <v>0</v>
      </c>
      <c r="J959" s="39" t="s">
        <v>2613</v>
      </c>
      <c r="K959" s="41">
        <v>0</v>
      </c>
      <c r="L959" s="41" t="s">
        <v>2614</v>
      </c>
      <c r="M959" s="38" t="s">
        <v>117</v>
      </c>
      <c r="N959" s="42">
        <v>0</v>
      </c>
      <c r="O959" s="42">
        <v>0</v>
      </c>
      <c r="P959" s="42">
        <v>0</v>
      </c>
      <c r="Q959" s="38" t="s">
        <v>102</v>
      </c>
      <c r="R959" s="38" t="s">
        <v>102</v>
      </c>
      <c r="S959" s="38" t="s">
        <v>102</v>
      </c>
      <c r="T959" s="38" t="s">
        <v>223</v>
      </c>
      <c r="U959" s="43">
        <v>4</v>
      </c>
    </row>
    <row r="960" spans="2:21" ht="14.5" outlineLevel="3">
      <c r="B960" s="44" t="s">
        <v>3199</v>
      </c>
      <c r="C960" s="45" t="s">
        <v>3200</v>
      </c>
      <c r="D960" s="46" t="s">
        <v>2804</v>
      </c>
      <c r="E960" s="47" t="s">
        <v>102</v>
      </c>
      <c r="F960" s="46" t="s">
        <v>102</v>
      </c>
      <c r="G960" s="47" t="s">
        <v>102</v>
      </c>
      <c r="H960" s="48">
        <v>0</v>
      </c>
      <c r="I960" s="48">
        <v>0</v>
      </c>
      <c r="J960" s="47" t="s">
        <v>2613</v>
      </c>
      <c r="K960" s="49">
        <v>0</v>
      </c>
      <c r="L960" s="49" t="s">
        <v>2614</v>
      </c>
      <c r="M960" s="46" t="s">
        <v>117</v>
      </c>
      <c r="N960" s="50">
        <v>0</v>
      </c>
      <c r="O960" s="50">
        <v>0</v>
      </c>
      <c r="P960" s="50">
        <v>0</v>
      </c>
      <c r="Q960" s="46" t="s">
        <v>102</v>
      </c>
      <c r="R960" s="46" t="s">
        <v>102</v>
      </c>
      <c r="S960" s="46" t="s">
        <v>102</v>
      </c>
      <c r="T960" s="46" t="s">
        <v>778</v>
      </c>
      <c r="U960" s="51">
        <v>4</v>
      </c>
    </row>
    <row r="961" spans="2:21" ht="14.5" outlineLevel="2">
      <c r="B961" s="36" t="s">
        <v>3201</v>
      </c>
      <c r="C961" s="37" t="s">
        <v>3202</v>
      </c>
      <c r="D961" s="38" t="s">
        <v>2804</v>
      </c>
      <c r="E961" s="39" t="s">
        <v>102</v>
      </c>
      <c r="F961" s="38" t="s">
        <v>102</v>
      </c>
      <c r="G961" s="39" t="s">
        <v>102</v>
      </c>
      <c r="H961" s="40">
        <v>0</v>
      </c>
      <c r="I961" s="40">
        <v>0</v>
      </c>
      <c r="J961" s="39" t="s">
        <v>2613</v>
      </c>
      <c r="K961" s="41">
        <v>0</v>
      </c>
      <c r="L961" s="41" t="s">
        <v>2614</v>
      </c>
      <c r="M961" s="38" t="s">
        <v>117</v>
      </c>
      <c r="N961" s="42">
        <v>0</v>
      </c>
      <c r="O961" s="42">
        <v>0</v>
      </c>
      <c r="P961" s="42">
        <v>0</v>
      </c>
      <c r="Q961" s="38" t="s">
        <v>102</v>
      </c>
      <c r="R961" s="38" t="s">
        <v>102</v>
      </c>
      <c r="S961" s="38" t="s">
        <v>102</v>
      </c>
      <c r="T961" s="38" t="s">
        <v>3014</v>
      </c>
      <c r="U961" s="43">
        <v>4</v>
      </c>
    </row>
    <row r="962" spans="2:21" ht="14.5" outlineLevel="3">
      <c r="B962" s="44" t="s">
        <v>3203</v>
      </c>
      <c r="C962" s="45" t="s">
        <v>3204</v>
      </c>
      <c r="D962" s="46" t="s">
        <v>102</v>
      </c>
      <c r="E962" s="47" t="s">
        <v>102</v>
      </c>
      <c r="F962" s="46" t="s">
        <v>102</v>
      </c>
      <c r="G962" s="47" t="s">
        <v>102</v>
      </c>
      <c r="H962" s="48">
        <v>0</v>
      </c>
      <c r="I962" s="48">
        <v>0</v>
      </c>
      <c r="J962" s="47" t="s">
        <v>102</v>
      </c>
      <c r="K962" s="49">
        <v>0</v>
      </c>
      <c r="L962" s="49" t="s">
        <v>102</v>
      </c>
      <c r="M962" s="46" t="s">
        <v>102</v>
      </c>
      <c r="N962" s="50">
        <v>0</v>
      </c>
      <c r="O962" s="50">
        <v>0</v>
      </c>
      <c r="P962" s="50">
        <v>0</v>
      </c>
      <c r="Q962" s="46" t="s">
        <v>102</v>
      </c>
      <c r="R962" s="46" t="s">
        <v>102</v>
      </c>
      <c r="S962" s="46" t="s">
        <v>3017</v>
      </c>
      <c r="T962" s="46" t="s">
        <v>102</v>
      </c>
      <c r="U962" s="51">
        <v>3</v>
      </c>
    </row>
    <row r="963" spans="2:21" ht="14.5" outlineLevel="2">
      <c r="B963" s="36" t="s">
        <v>3205</v>
      </c>
      <c r="C963" s="37" t="s">
        <v>3206</v>
      </c>
      <c r="D963" s="38" t="s">
        <v>2804</v>
      </c>
      <c r="E963" s="39" t="s">
        <v>102</v>
      </c>
      <c r="F963" s="38" t="s">
        <v>102</v>
      </c>
      <c r="G963" s="39" t="s">
        <v>102</v>
      </c>
      <c r="H963" s="40">
        <v>0</v>
      </c>
      <c r="I963" s="40">
        <v>0</v>
      </c>
      <c r="J963" s="39" t="s">
        <v>2613</v>
      </c>
      <c r="K963" s="41">
        <v>0</v>
      </c>
      <c r="L963" s="41" t="s">
        <v>2614</v>
      </c>
      <c r="M963" s="38" t="s">
        <v>117</v>
      </c>
      <c r="N963" s="42">
        <v>0</v>
      </c>
      <c r="O963" s="42">
        <v>0</v>
      </c>
      <c r="P963" s="42">
        <v>0</v>
      </c>
      <c r="Q963" s="38" t="s">
        <v>102</v>
      </c>
      <c r="R963" s="38" t="s">
        <v>102</v>
      </c>
      <c r="S963" s="38" t="s">
        <v>102</v>
      </c>
      <c r="T963" s="38" t="s">
        <v>1019</v>
      </c>
      <c r="U963" s="43">
        <v>4</v>
      </c>
    </row>
    <row r="964" spans="2:21" ht="14.5" outlineLevel="3">
      <c r="B964" s="44" t="s">
        <v>3207</v>
      </c>
      <c r="C964" s="45" t="s">
        <v>3208</v>
      </c>
      <c r="D964" s="46" t="s">
        <v>102</v>
      </c>
      <c r="E964" s="47" t="s">
        <v>102</v>
      </c>
      <c r="F964" s="46" t="s">
        <v>102</v>
      </c>
      <c r="G964" s="47" t="s">
        <v>102</v>
      </c>
      <c r="H964" s="48">
        <v>0</v>
      </c>
      <c r="I964" s="48">
        <v>0</v>
      </c>
      <c r="J964" s="47" t="s">
        <v>102</v>
      </c>
      <c r="K964" s="49">
        <v>0</v>
      </c>
      <c r="L964" s="49" t="s">
        <v>102</v>
      </c>
      <c r="M964" s="46" t="s">
        <v>102</v>
      </c>
      <c r="N964" s="50">
        <v>0</v>
      </c>
      <c r="O964" s="50">
        <v>0</v>
      </c>
      <c r="P964" s="50">
        <v>0</v>
      </c>
      <c r="Q964" s="46" t="s">
        <v>102</v>
      </c>
      <c r="R964" s="46" t="s">
        <v>102</v>
      </c>
      <c r="S964" s="46" t="s">
        <v>3022</v>
      </c>
      <c r="T964" s="46" t="s">
        <v>102</v>
      </c>
      <c r="U964" s="51">
        <v>3</v>
      </c>
    </row>
    <row r="965" spans="2:21" ht="14.5" outlineLevel="2">
      <c r="B965" s="36" t="s">
        <v>3209</v>
      </c>
      <c r="C965" s="37" t="s">
        <v>3210</v>
      </c>
      <c r="D965" s="38" t="s">
        <v>2804</v>
      </c>
      <c r="E965" s="39" t="s">
        <v>102</v>
      </c>
      <c r="F965" s="38" t="s">
        <v>102</v>
      </c>
      <c r="G965" s="39" t="s">
        <v>102</v>
      </c>
      <c r="H965" s="40">
        <v>0</v>
      </c>
      <c r="I965" s="40">
        <v>0</v>
      </c>
      <c r="J965" s="39" t="s">
        <v>2613</v>
      </c>
      <c r="K965" s="41">
        <v>0</v>
      </c>
      <c r="L965" s="41" t="s">
        <v>2614</v>
      </c>
      <c r="M965" s="38" t="s">
        <v>117</v>
      </c>
      <c r="N965" s="42">
        <v>0</v>
      </c>
      <c r="O965" s="42">
        <v>0</v>
      </c>
      <c r="P965" s="42">
        <v>0</v>
      </c>
      <c r="Q965" s="38" t="s">
        <v>102</v>
      </c>
      <c r="R965" s="38" t="s">
        <v>102</v>
      </c>
      <c r="S965" s="38" t="s">
        <v>102</v>
      </c>
      <c r="T965" s="38" t="s">
        <v>1019</v>
      </c>
      <c r="U965" s="43">
        <v>4</v>
      </c>
    </row>
    <row r="966" spans="2:21" ht="14.5" outlineLevel="3">
      <c r="B966" s="44" t="s">
        <v>3211</v>
      </c>
      <c r="C966" s="45" t="s">
        <v>3212</v>
      </c>
      <c r="D966" s="46" t="s">
        <v>102</v>
      </c>
      <c r="E966" s="47" t="s">
        <v>102</v>
      </c>
      <c r="F966" s="46" t="s">
        <v>102</v>
      </c>
      <c r="G966" s="47" t="s">
        <v>102</v>
      </c>
      <c r="H966" s="48">
        <v>0</v>
      </c>
      <c r="I966" s="48">
        <v>0</v>
      </c>
      <c r="J966" s="47" t="s">
        <v>102</v>
      </c>
      <c r="K966" s="49">
        <v>0</v>
      </c>
      <c r="L966" s="49" t="s">
        <v>102</v>
      </c>
      <c r="M966" s="46" t="s">
        <v>102</v>
      </c>
      <c r="N966" s="50">
        <v>0</v>
      </c>
      <c r="O966" s="50">
        <v>0</v>
      </c>
      <c r="P966" s="50">
        <v>0</v>
      </c>
      <c r="Q966" s="46" t="s">
        <v>102</v>
      </c>
      <c r="R966" s="46" t="s">
        <v>102</v>
      </c>
      <c r="S966" s="46" t="s">
        <v>3027</v>
      </c>
      <c r="T966" s="46" t="s">
        <v>102</v>
      </c>
      <c r="U966" s="51">
        <v>3</v>
      </c>
    </row>
    <row r="967" spans="2:21" ht="14.5" outlineLevel="2">
      <c r="B967" s="36" t="s">
        <v>3213</v>
      </c>
      <c r="C967" s="37" t="s">
        <v>3214</v>
      </c>
      <c r="D967" s="38" t="s">
        <v>2804</v>
      </c>
      <c r="E967" s="39" t="s">
        <v>102</v>
      </c>
      <c r="F967" s="38" t="s">
        <v>102</v>
      </c>
      <c r="G967" s="39" t="s">
        <v>102</v>
      </c>
      <c r="H967" s="40">
        <v>0</v>
      </c>
      <c r="I967" s="40">
        <v>0</v>
      </c>
      <c r="J967" s="39" t="s">
        <v>2613</v>
      </c>
      <c r="K967" s="41">
        <v>0</v>
      </c>
      <c r="L967" s="41" t="s">
        <v>2614</v>
      </c>
      <c r="M967" s="38" t="s">
        <v>117</v>
      </c>
      <c r="N967" s="42">
        <v>0</v>
      </c>
      <c r="O967" s="42">
        <v>0</v>
      </c>
      <c r="P967" s="42">
        <v>0</v>
      </c>
      <c r="Q967" s="38" t="s">
        <v>102</v>
      </c>
      <c r="R967" s="38" t="s">
        <v>102</v>
      </c>
      <c r="S967" s="38" t="s">
        <v>102</v>
      </c>
      <c r="T967" s="38" t="s">
        <v>1019</v>
      </c>
      <c r="U967" s="43">
        <v>4</v>
      </c>
    </row>
    <row r="968" spans="2:21" ht="14.5" outlineLevel="3">
      <c r="B968" s="44" t="s">
        <v>3215</v>
      </c>
      <c r="C968" s="45" t="s">
        <v>3216</v>
      </c>
      <c r="D968" s="46" t="s">
        <v>102</v>
      </c>
      <c r="E968" s="47" t="s">
        <v>102</v>
      </c>
      <c r="F968" s="46" t="s">
        <v>102</v>
      </c>
      <c r="G968" s="47" t="s">
        <v>102</v>
      </c>
      <c r="H968" s="48">
        <v>0</v>
      </c>
      <c r="I968" s="48">
        <v>0</v>
      </c>
      <c r="J968" s="47" t="s">
        <v>102</v>
      </c>
      <c r="K968" s="49">
        <v>0</v>
      </c>
      <c r="L968" s="49" t="s">
        <v>102</v>
      </c>
      <c r="M968" s="46" t="s">
        <v>102</v>
      </c>
      <c r="N968" s="50">
        <v>0</v>
      </c>
      <c r="O968" s="50">
        <v>0</v>
      </c>
      <c r="P968" s="50">
        <v>0</v>
      </c>
      <c r="Q968" s="46" t="s">
        <v>102</v>
      </c>
      <c r="R968" s="46" t="s">
        <v>102</v>
      </c>
      <c r="S968" s="46" t="s">
        <v>3032</v>
      </c>
      <c r="T968" s="46" t="s">
        <v>102</v>
      </c>
      <c r="U968" s="51">
        <v>3</v>
      </c>
    </row>
    <row r="969" spans="2:21" ht="14.5" outlineLevel="3">
      <c r="B969" s="44" t="s">
        <v>3217</v>
      </c>
      <c r="C969" s="45" t="s">
        <v>3218</v>
      </c>
      <c r="D969" s="46" t="s">
        <v>2804</v>
      </c>
      <c r="E969" s="47" t="s">
        <v>102</v>
      </c>
      <c r="F969" s="46" t="s">
        <v>102</v>
      </c>
      <c r="G969" s="47" t="s">
        <v>102</v>
      </c>
      <c r="H969" s="48">
        <v>0</v>
      </c>
      <c r="I969" s="48">
        <v>0</v>
      </c>
      <c r="J969" s="47" t="s">
        <v>2613</v>
      </c>
      <c r="K969" s="49">
        <v>0</v>
      </c>
      <c r="L969" s="49" t="s">
        <v>2614</v>
      </c>
      <c r="M969" s="46" t="s">
        <v>117</v>
      </c>
      <c r="N969" s="50">
        <v>0</v>
      </c>
      <c r="O969" s="50">
        <v>0</v>
      </c>
      <c r="P969" s="50">
        <v>0</v>
      </c>
      <c r="Q969" s="46" t="s">
        <v>102</v>
      </c>
      <c r="R969" s="46" t="s">
        <v>102</v>
      </c>
      <c r="S969" s="46" t="s">
        <v>102</v>
      </c>
      <c r="T969" s="46" t="s">
        <v>1019</v>
      </c>
      <c r="U969" s="51">
        <v>4</v>
      </c>
    </row>
    <row r="970" spans="2:21" ht="14.5" outlineLevel="3">
      <c r="B970" s="44" t="s">
        <v>3219</v>
      </c>
      <c r="C970" s="45" t="s">
        <v>3220</v>
      </c>
      <c r="D970" s="46" t="s">
        <v>102</v>
      </c>
      <c r="E970" s="47" t="s">
        <v>102</v>
      </c>
      <c r="F970" s="46" t="s">
        <v>102</v>
      </c>
      <c r="G970" s="47" t="s">
        <v>102</v>
      </c>
      <c r="H970" s="48">
        <v>0</v>
      </c>
      <c r="I970" s="48">
        <v>0</v>
      </c>
      <c r="J970" s="47" t="s">
        <v>102</v>
      </c>
      <c r="K970" s="49">
        <v>0</v>
      </c>
      <c r="L970" s="49" t="s">
        <v>102</v>
      </c>
      <c r="M970" s="46" t="s">
        <v>102</v>
      </c>
      <c r="N970" s="50">
        <v>0</v>
      </c>
      <c r="O970" s="50">
        <v>0</v>
      </c>
      <c r="P970" s="50">
        <v>0</v>
      </c>
      <c r="Q970" s="46" t="s">
        <v>102</v>
      </c>
      <c r="R970" s="46" t="s">
        <v>102</v>
      </c>
      <c r="S970" s="46" t="s">
        <v>3037</v>
      </c>
      <c r="T970" s="46" t="s">
        <v>102</v>
      </c>
      <c r="U970" s="51">
        <v>3</v>
      </c>
    </row>
    <row r="971" spans="2:21" ht="14.5" outlineLevel="3">
      <c r="B971" s="44" t="s">
        <v>3221</v>
      </c>
      <c r="C971" s="45" t="s">
        <v>3222</v>
      </c>
      <c r="D971" s="46" t="s">
        <v>2804</v>
      </c>
      <c r="E971" s="47" t="s">
        <v>102</v>
      </c>
      <c r="F971" s="46" t="s">
        <v>102</v>
      </c>
      <c r="G971" s="47" t="s">
        <v>102</v>
      </c>
      <c r="H971" s="48">
        <v>0</v>
      </c>
      <c r="I971" s="48">
        <v>0</v>
      </c>
      <c r="J971" s="47" t="s">
        <v>2613</v>
      </c>
      <c r="K971" s="49">
        <v>0</v>
      </c>
      <c r="L971" s="49" t="s">
        <v>2614</v>
      </c>
      <c r="M971" s="46" t="s">
        <v>117</v>
      </c>
      <c r="N971" s="50">
        <v>0</v>
      </c>
      <c r="O971" s="50">
        <v>0</v>
      </c>
      <c r="P971" s="50">
        <v>0</v>
      </c>
      <c r="Q971" s="46" t="s">
        <v>102</v>
      </c>
      <c r="R971" s="46" t="s">
        <v>102</v>
      </c>
      <c r="S971" s="46" t="s">
        <v>102</v>
      </c>
      <c r="T971" s="46" t="s">
        <v>1019</v>
      </c>
      <c r="U971" s="51">
        <v>4</v>
      </c>
    </row>
    <row r="972" spans="2:21" ht="14.5" outlineLevel="3">
      <c r="B972" s="44" t="s">
        <v>3223</v>
      </c>
      <c r="C972" s="45" t="s">
        <v>3224</v>
      </c>
      <c r="D972" s="46" t="s">
        <v>2804</v>
      </c>
      <c r="E972" s="47" t="s">
        <v>102</v>
      </c>
      <c r="F972" s="46" t="s">
        <v>102</v>
      </c>
      <c r="G972" s="47" t="s">
        <v>102</v>
      </c>
      <c r="H972" s="48">
        <v>0</v>
      </c>
      <c r="I972" s="48">
        <v>0</v>
      </c>
      <c r="J972" s="47" t="s">
        <v>2613</v>
      </c>
      <c r="K972" s="49">
        <v>0</v>
      </c>
      <c r="L972" s="49" t="s">
        <v>2614</v>
      </c>
      <c r="M972" s="46" t="s">
        <v>117</v>
      </c>
      <c r="N972" s="50">
        <v>0</v>
      </c>
      <c r="O972" s="50">
        <v>0</v>
      </c>
      <c r="P972" s="50">
        <v>0</v>
      </c>
      <c r="Q972" s="46" t="s">
        <v>102</v>
      </c>
      <c r="R972" s="46" t="s">
        <v>102</v>
      </c>
      <c r="S972" s="46" t="s">
        <v>102</v>
      </c>
      <c r="T972" s="46" t="s">
        <v>2815</v>
      </c>
      <c r="U972" s="51">
        <v>4</v>
      </c>
    </row>
    <row r="973" spans="2:21" ht="14.5" outlineLevel="3">
      <c r="B973" s="44" t="s">
        <v>3225</v>
      </c>
      <c r="C973" s="45" t="s">
        <v>3226</v>
      </c>
      <c r="D973" s="46" t="s">
        <v>2804</v>
      </c>
      <c r="E973" s="47" t="s">
        <v>102</v>
      </c>
      <c r="F973" s="46" t="s">
        <v>102</v>
      </c>
      <c r="G973" s="47" t="s">
        <v>102</v>
      </c>
      <c r="H973" s="48">
        <v>0</v>
      </c>
      <c r="I973" s="48">
        <v>0</v>
      </c>
      <c r="J973" s="47" t="s">
        <v>2613</v>
      </c>
      <c r="K973" s="49">
        <v>0</v>
      </c>
      <c r="L973" s="49" t="s">
        <v>2614</v>
      </c>
      <c r="M973" s="46" t="s">
        <v>117</v>
      </c>
      <c r="N973" s="50">
        <v>0</v>
      </c>
      <c r="O973" s="50">
        <v>0</v>
      </c>
      <c r="P973" s="50">
        <v>0</v>
      </c>
      <c r="Q973" s="46" t="s">
        <v>102</v>
      </c>
      <c r="R973" s="46" t="s">
        <v>102</v>
      </c>
      <c r="S973" s="46" t="s">
        <v>102</v>
      </c>
      <c r="T973" s="46" t="s">
        <v>461</v>
      </c>
      <c r="U973" s="51">
        <v>4</v>
      </c>
    </row>
    <row r="974" spans="2:21" ht="14.5" outlineLevel="3">
      <c r="B974" s="44" t="s">
        <v>3227</v>
      </c>
      <c r="C974" s="45" t="s">
        <v>3228</v>
      </c>
      <c r="D974" s="46" t="s">
        <v>2804</v>
      </c>
      <c r="E974" s="47" t="s">
        <v>102</v>
      </c>
      <c r="F974" s="46" t="s">
        <v>102</v>
      </c>
      <c r="G974" s="47" t="s">
        <v>102</v>
      </c>
      <c r="H974" s="48">
        <v>0</v>
      </c>
      <c r="I974" s="48">
        <v>0</v>
      </c>
      <c r="J974" s="47" t="s">
        <v>2613</v>
      </c>
      <c r="K974" s="49">
        <v>0</v>
      </c>
      <c r="L974" s="49" t="s">
        <v>2614</v>
      </c>
      <c r="M974" s="46" t="s">
        <v>117</v>
      </c>
      <c r="N974" s="50">
        <v>0</v>
      </c>
      <c r="O974" s="50">
        <v>0</v>
      </c>
      <c r="P974" s="50">
        <v>0</v>
      </c>
      <c r="Q974" s="46" t="s">
        <v>102</v>
      </c>
      <c r="R974" s="46" t="s">
        <v>102</v>
      </c>
      <c r="S974" s="46" t="s">
        <v>102</v>
      </c>
      <c r="T974" s="46" t="s">
        <v>466</v>
      </c>
      <c r="U974" s="51">
        <v>4</v>
      </c>
    </row>
    <row r="975" spans="2:21" ht="14.5" outlineLevel="3">
      <c r="B975" s="44" t="s">
        <v>3229</v>
      </c>
      <c r="C975" s="45" t="s">
        <v>3230</v>
      </c>
      <c r="D975" s="46" t="s">
        <v>2804</v>
      </c>
      <c r="E975" s="47" t="s">
        <v>102</v>
      </c>
      <c r="F975" s="46" t="s">
        <v>102</v>
      </c>
      <c r="G975" s="47" t="s">
        <v>102</v>
      </c>
      <c r="H975" s="48">
        <v>0</v>
      </c>
      <c r="I975" s="48">
        <v>0</v>
      </c>
      <c r="J975" s="47" t="s">
        <v>2613</v>
      </c>
      <c r="K975" s="49">
        <v>0</v>
      </c>
      <c r="L975" s="49" t="s">
        <v>2614</v>
      </c>
      <c r="M975" s="46" t="s">
        <v>117</v>
      </c>
      <c r="N975" s="50">
        <v>0</v>
      </c>
      <c r="O975" s="50">
        <v>0</v>
      </c>
      <c r="P975" s="50">
        <v>0</v>
      </c>
      <c r="Q975" s="46" t="s">
        <v>102</v>
      </c>
      <c r="R975" s="46" t="s">
        <v>102</v>
      </c>
      <c r="S975" s="46" t="s">
        <v>102</v>
      </c>
      <c r="T975" s="46" t="s">
        <v>472</v>
      </c>
      <c r="U975" s="51">
        <v>4</v>
      </c>
    </row>
    <row r="976" spans="2:21" ht="14.5" outlineLevel="3">
      <c r="B976" s="44" t="s">
        <v>3231</v>
      </c>
      <c r="C976" s="45" t="s">
        <v>3232</v>
      </c>
      <c r="D976" s="46" t="s">
        <v>2804</v>
      </c>
      <c r="E976" s="47" t="s">
        <v>102</v>
      </c>
      <c r="F976" s="46" t="s">
        <v>102</v>
      </c>
      <c r="G976" s="47" t="s">
        <v>102</v>
      </c>
      <c r="H976" s="48">
        <v>0</v>
      </c>
      <c r="I976" s="48">
        <v>0</v>
      </c>
      <c r="J976" s="47" t="s">
        <v>2613</v>
      </c>
      <c r="K976" s="49">
        <v>0</v>
      </c>
      <c r="L976" s="49" t="s">
        <v>2614</v>
      </c>
      <c r="M976" s="46" t="s">
        <v>117</v>
      </c>
      <c r="N976" s="50">
        <v>0</v>
      </c>
      <c r="O976" s="50">
        <v>0</v>
      </c>
      <c r="P976" s="50">
        <v>0</v>
      </c>
      <c r="Q976" s="46" t="s">
        <v>102</v>
      </c>
      <c r="R976" s="46" t="s">
        <v>102</v>
      </c>
      <c r="S976" s="46" t="s">
        <v>102</v>
      </c>
      <c r="T976" s="46" t="s">
        <v>477</v>
      </c>
      <c r="U976" s="51">
        <v>4</v>
      </c>
    </row>
    <row r="977" spans="2:21" ht="14.5" outlineLevel="3">
      <c r="B977" s="44" t="s">
        <v>3233</v>
      </c>
      <c r="C977" s="45" t="s">
        <v>3234</v>
      </c>
      <c r="D977" s="46" t="s">
        <v>2804</v>
      </c>
      <c r="E977" s="47" t="s">
        <v>102</v>
      </c>
      <c r="F977" s="46" t="s">
        <v>102</v>
      </c>
      <c r="G977" s="47" t="s">
        <v>102</v>
      </c>
      <c r="H977" s="48">
        <v>0</v>
      </c>
      <c r="I977" s="48">
        <v>0</v>
      </c>
      <c r="J977" s="47" t="s">
        <v>2613</v>
      </c>
      <c r="K977" s="49">
        <v>0</v>
      </c>
      <c r="L977" s="49" t="s">
        <v>2614</v>
      </c>
      <c r="M977" s="46" t="s">
        <v>117</v>
      </c>
      <c r="N977" s="50">
        <v>0</v>
      </c>
      <c r="O977" s="50">
        <v>0</v>
      </c>
      <c r="P977" s="50">
        <v>0</v>
      </c>
      <c r="Q977" s="46" t="s">
        <v>102</v>
      </c>
      <c r="R977" s="46" t="s">
        <v>102</v>
      </c>
      <c r="S977" s="46" t="s">
        <v>102</v>
      </c>
      <c r="T977" s="46" t="s">
        <v>482</v>
      </c>
      <c r="U977" s="51">
        <v>4</v>
      </c>
    </row>
    <row r="978" spans="2:21" ht="14.5" outlineLevel="3">
      <c r="B978" s="44" t="s">
        <v>3235</v>
      </c>
      <c r="C978" s="45" t="s">
        <v>3236</v>
      </c>
      <c r="D978" s="46" t="s">
        <v>2804</v>
      </c>
      <c r="E978" s="47" t="s">
        <v>102</v>
      </c>
      <c r="F978" s="46" t="s">
        <v>102</v>
      </c>
      <c r="G978" s="47" t="s">
        <v>102</v>
      </c>
      <c r="H978" s="48">
        <v>0</v>
      </c>
      <c r="I978" s="48">
        <v>0</v>
      </c>
      <c r="J978" s="47" t="s">
        <v>2613</v>
      </c>
      <c r="K978" s="49">
        <v>0</v>
      </c>
      <c r="L978" s="49" t="s">
        <v>2614</v>
      </c>
      <c r="M978" s="46" t="s">
        <v>117</v>
      </c>
      <c r="N978" s="50">
        <v>0</v>
      </c>
      <c r="O978" s="50">
        <v>0</v>
      </c>
      <c r="P978" s="50">
        <v>0</v>
      </c>
      <c r="Q978" s="46" t="s">
        <v>102</v>
      </c>
      <c r="R978" s="46" t="s">
        <v>102</v>
      </c>
      <c r="S978" s="46" t="s">
        <v>102</v>
      </c>
      <c r="T978" s="46" t="s">
        <v>487</v>
      </c>
      <c r="U978" s="51">
        <v>4</v>
      </c>
    </row>
    <row r="979" spans="2:21" ht="14.5" outlineLevel="3">
      <c r="B979" s="44" t="s">
        <v>3237</v>
      </c>
      <c r="C979" s="45" t="s">
        <v>3238</v>
      </c>
      <c r="D979" s="46" t="s">
        <v>2804</v>
      </c>
      <c r="E979" s="47" t="s">
        <v>102</v>
      </c>
      <c r="F979" s="46" t="s">
        <v>102</v>
      </c>
      <c r="G979" s="47" t="s">
        <v>102</v>
      </c>
      <c r="H979" s="48">
        <v>0</v>
      </c>
      <c r="I979" s="48">
        <v>0</v>
      </c>
      <c r="J979" s="47" t="s">
        <v>2613</v>
      </c>
      <c r="K979" s="49">
        <v>0</v>
      </c>
      <c r="L979" s="49" t="s">
        <v>2614</v>
      </c>
      <c r="M979" s="46" t="s">
        <v>117</v>
      </c>
      <c r="N979" s="50">
        <v>0</v>
      </c>
      <c r="O979" s="50">
        <v>0</v>
      </c>
      <c r="P979" s="50">
        <v>0</v>
      </c>
      <c r="Q979" s="46" t="s">
        <v>102</v>
      </c>
      <c r="R979" s="46" t="s">
        <v>102</v>
      </c>
      <c r="S979" s="46" t="s">
        <v>102</v>
      </c>
      <c r="T979" s="46" t="s">
        <v>3056</v>
      </c>
      <c r="U979" s="51">
        <v>4</v>
      </c>
    </row>
    <row r="980" spans="2:21" ht="14.5" outlineLevel="3">
      <c r="B980" s="44" t="s">
        <v>3239</v>
      </c>
      <c r="C980" s="45" t="s">
        <v>3240</v>
      </c>
      <c r="D980" s="46" t="s">
        <v>2804</v>
      </c>
      <c r="E980" s="47" t="s">
        <v>102</v>
      </c>
      <c r="F980" s="46" t="s">
        <v>102</v>
      </c>
      <c r="G980" s="47" t="s">
        <v>102</v>
      </c>
      <c r="H980" s="48">
        <v>0</v>
      </c>
      <c r="I980" s="48">
        <v>0</v>
      </c>
      <c r="J980" s="47" t="s">
        <v>2613</v>
      </c>
      <c r="K980" s="49">
        <v>0</v>
      </c>
      <c r="L980" s="49" t="s">
        <v>2614</v>
      </c>
      <c r="M980" s="46" t="s">
        <v>117</v>
      </c>
      <c r="N980" s="50">
        <v>0</v>
      </c>
      <c r="O980" s="50">
        <v>0</v>
      </c>
      <c r="P980" s="50">
        <v>0</v>
      </c>
      <c r="Q980" s="46" t="s">
        <v>102</v>
      </c>
      <c r="R980" s="46" t="s">
        <v>102</v>
      </c>
      <c r="S980" s="46" t="s">
        <v>102</v>
      </c>
      <c r="T980" s="46" t="s">
        <v>3059</v>
      </c>
      <c r="U980" s="51">
        <v>4</v>
      </c>
    </row>
    <row r="981" spans="2:21" ht="14.5" outlineLevel="3">
      <c r="B981" s="44" t="s">
        <v>3241</v>
      </c>
      <c r="C981" s="45" t="s">
        <v>3242</v>
      </c>
      <c r="D981" s="46" t="s">
        <v>2804</v>
      </c>
      <c r="E981" s="47" t="s">
        <v>102</v>
      </c>
      <c r="F981" s="46" t="s">
        <v>102</v>
      </c>
      <c r="G981" s="47" t="s">
        <v>102</v>
      </c>
      <c r="H981" s="48">
        <v>0</v>
      </c>
      <c r="I981" s="48">
        <v>0</v>
      </c>
      <c r="J981" s="47" t="s">
        <v>2613</v>
      </c>
      <c r="K981" s="49">
        <v>0</v>
      </c>
      <c r="L981" s="49" t="s">
        <v>2614</v>
      </c>
      <c r="M981" s="46" t="s">
        <v>117</v>
      </c>
      <c r="N981" s="50">
        <v>0</v>
      </c>
      <c r="O981" s="50">
        <v>0</v>
      </c>
      <c r="P981" s="50">
        <v>0</v>
      </c>
      <c r="Q981" s="46" t="s">
        <v>102</v>
      </c>
      <c r="R981" s="46" t="s">
        <v>102</v>
      </c>
      <c r="S981" s="46" t="s">
        <v>102</v>
      </c>
      <c r="T981" s="46" t="s">
        <v>2828</v>
      </c>
      <c r="U981" s="51">
        <v>4</v>
      </c>
    </row>
    <row r="982" spans="2:21" ht="14.5" outlineLevel="3">
      <c r="B982" s="44" t="s">
        <v>3243</v>
      </c>
      <c r="C982" s="45" t="s">
        <v>3244</v>
      </c>
      <c r="D982" s="46" t="s">
        <v>2804</v>
      </c>
      <c r="E982" s="47" t="s">
        <v>102</v>
      </c>
      <c r="F982" s="46" t="s">
        <v>102</v>
      </c>
      <c r="G982" s="47" t="s">
        <v>102</v>
      </c>
      <c r="H982" s="48">
        <v>0</v>
      </c>
      <c r="I982" s="48">
        <v>0</v>
      </c>
      <c r="J982" s="47" t="s">
        <v>2613</v>
      </c>
      <c r="K982" s="49">
        <v>0</v>
      </c>
      <c r="L982" s="49" t="s">
        <v>2614</v>
      </c>
      <c r="M982" s="46" t="s">
        <v>117</v>
      </c>
      <c r="N982" s="50">
        <v>0</v>
      </c>
      <c r="O982" s="50">
        <v>0</v>
      </c>
      <c r="P982" s="50">
        <v>0</v>
      </c>
      <c r="Q982" s="46" t="s">
        <v>102</v>
      </c>
      <c r="R982" s="46" t="s">
        <v>102</v>
      </c>
      <c r="S982" s="46" t="s">
        <v>102</v>
      </c>
      <c r="T982" s="46" t="s">
        <v>2773</v>
      </c>
      <c r="U982" s="51">
        <v>4</v>
      </c>
    </row>
    <row r="983" spans="2:21" ht="14.5" outlineLevel="3">
      <c r="B983" s="44" t="s">
        <v>3245</v>
      </c>
      <c r="C983" s="45" t="s">
        <v>3246</v>
      </c>
      <c r="D983" s="46" t="s">
        <v>2804</v>
      </c>
      <c r="E983" s="47" t="s">
        <v>102</v>
      </c>
      <c r="F983" s="46" t="s">
        <v>102</v>
      </c>
      <c r="G983" s="47" t="s">
        <v>102</v>
      </c>
      <c r="H983" s="48">
        <v>0</v>
      </c>
      <c r="I983" s="48">
        <v>0</v>
      </c>
      <c r="J983" s="47" t="s">
        <v>2613</v>
      </c>
      <c r="K983" s="49">
        <v>0</v>
      </c>
      <c r="L983" s="49" t="s">
        <v>2614</v>
      </c>
      <c r="M983" s="46" t="s">
        <v>117</v>
      </c>
      <c r="N983" s="50">
        <v>0</v>
      </c>
      <c r="O983" s="50">
        <v>0</v>
      </c>
      <c r="P983" s="50">
        <v>0</v>
      </c>
      <c r="Q983" s="46" t="s">
        <v>102</v>
      </c>
      <c r="R983" s="46" t="s">
        <v>102</v>
      </c>
      <c r="S983" s="46" t="s">
        <v>102</v>
      </c>
      <c r="T983" s="46" t="s">
        <v>3066</v>
      </c>
      <c r="U983" s="51">
        <v>4</v>
      </c>
    </row>
    <row r="984" spans="2:21" ht="14.5" outlineLevel="3">
      <c r="B984" s="44" t="s">
        <v>3247</v>
      </c>
      <c r="C984" s="45" t="s">
        <v>3248</v>
      </c>
      <c r="D984" s="46" t="s">
        <v>2804</v>
      </c>
      <c r="E984" s="47" t="s">
        <v>102</v>
      </c>
      <c r="F984" s="46" t="s">
        <v>102</v>
      </c>
      <c r="G984" s="47" t="s">
        <v>102</v>
      </c>
      <c r="H984" s="48">
        <v>0</v>
      </c>
      <c r="I984" s="48">
        <v>0</v>
      </c>
      <c r="J984" s="47" t="s">
        <v>2613</v>
      </c>
      <c r="K984" s="49">
        <v>0</v>
      </c>
      <c r="L984" s="49" t="s">
        <v>2614</v>
      </c>
      <c r="M984" s="46" t="s">
        <v>117</v>
      </c>
      <c r="N984" s="50">
        <v>0</v>
      </c>
      <c r="O984" s="50">
        <v>0</v>
      </c>
      <c r="P984" s="50">
        <v>0</v>
      </c>
      <c r="Q984" s="46" t="s">
        <v>102</v>
      </c>
      <c r="R984" s="46" t="s">
        <v>102</v>
      </c>
      <c r="S984" s="46" t="s">
        <v>102</v>
      </c>
      <c r="T984" s="46" t="s">
        <v>3069</v>
      </c>
      <c r="U984" s="51">
        <v>4</v>
      </c>
    </row>
    <row r="985" spans="2:21" ht="14.5" outlineLevel="3">
      <c r="B985" s="44" t="s">
        <v>3249</v>
      </c>
      <c r="C985" s="45" t="s">
        <v>3250</v>
      </c>
      <c r="D985" s="46" t="s">
        <v>2804</v>
      </c>
      <c r="E985" s="47" t="s">
        <v>102</v>
      </c>
      <c r="F985" s="46" t="s">
        <v>102</v>
      </c>
      <c r="G985" s="47" t="s">
        <v>102</v>
      </c>
      <c r="H985" s="48">
        <v>0</v>
      </c>
      <c r="I985" s="48">
        <v>0</v>
      </c>
      <c r="J985" s="47" t="s">
        <v>2613</v>
      </c>
      <c r="K985" s="49">
        <v>0</v>
      </c>
      <c r="L985" s="49" t="s">
        <v>2614</v>
      </c>
      <c r="M985" s="46" t="s">
        <v>117</v>
      </c>
      <c r="N985" s="50">
        <v>0</v>
      </c>
      <c r="O985" s="50">
        <v>0</v>
      </c>
      <c r="P985" s="50">
        <v>0</v>
      </c>
      <c r="Q985" s="46" t="s">
        <v>102</v>
      </c>
      <c r="R985" s="46" t="s">
        <v>102</v>
      </c>
      <c r="S985" s="46" t="s">
        <v>102</v>
      </c>
      <c r="T985" s="46" t="s">
        <v>3072</v>
      </c>
      <c r="U985" s="51">
        <v>4</v>
      </c>
    </row>
    <row r="986" spans="2:21" ht="14.5" outlineLevel="2">
      <c r="B986" s="36" t="s">
        <v>3251</v>
      </c>
      <c r="C986" s="37" t="s">
        <v>3252</v>
      </c>
      <c r="D986" s="38" t="s">
        <v>2804</v>
      </c>
      <c r="E986" s="39" t="s">
        <v>102</v>
      </c>
      <c r="F986" s="38" t="s">
        <v>102</v>
      </c>
      <c r="G986" s="39" t="s">
        <v>102</v>
      </c>
      <c r="H986" s="40">
        <v>0</v>
      </c>
      <c r="I986" s="40">
        <v>0</v>
      </c>
      <c r="J986" s="39" t="s">
        <v>2613</v>
      </c>
      <c r="K986" s="41">
        <v>0</v>
      </c>
      <c r="L986" s="41" t="s">
        <v>2614</v>
      </c>
      <c r="M986" s="38" t="s">
        <v>117</v>
      </c>
      <c r="N986" s="42">
        <v>0</v>
      </c>
      <c r="O986" s="42">
        <v>0</v>
      </c>
      <c r="P986" s="42">
        <v>0</v>
      </c>
      <c r="Q986" s="38" t="s">
        <v>102</v>
      </c>
      <c r="R986" s="38" t="s">
        <v>102</v>
      </c>
      <c r="S986" s="38" t="s">
        <v>102</v>
      </c>
      <c r="T986" s="38" t="s">
        <v>3075</v>
      </c>
      <c r="U986" s="43">
        <v>4</v>
      </c>
    </row>
    <row r="987" spans="2:21" ht="14.5" outlineLevel="3">
      <c r="B987" s="44" t="s">
        <v>3253</v>
      </c>
      <c r="C987" s="45" t="s">
        <v>3254</v>
      </c>
      <c r="D987" s="46" t="s">
        <v>2804</v>
      </c>
      <c r="E987" s="47" t="s">
        <v>102</v>
      </c>
      <c r="F987" s="46" t="s">
        <v>102</v>
      </c>
      <c r="G987" s="47" t="s">
        <v>102</v>
      </c>
      <c r="H987" s="48">
        <v>0</v>
      </c>
      <c r="I987" s="48">
        <v>0</v>
      </c>
      <c r="J987" s="47" t="s">
        <v>2613</v>
      </c>
      <c r="K987" s="49">
        <v>0</v>
      </c>
      <c r="L987" s="49" t="s">
        <v>2614</v>
      </c>
      <c r="M987" s="46" t="s">
        <v>117</v>
      </c>
      <c r="N987" s="50">
        <v>0</v>
      </c>
      <c r="O987" s="50">
        <v>0</v>
      </c>
      <c r="P987" s="50">
        <v>0</v>
      </c>
      <c r="Q987" s="46" t="s">
        <v>102</v>
      </c>
      <c r="R987" s="46" t="s">
        <v>102</v>
      </c>
      <c r="S987" s="46" t="s">
        <v>102</v>
      </c>
      <c r="T987" s="46" t="s">
        <v>3078</v>
      </c>
      <c r="U987" s="51">
        <v>4</v>
      </c>
    </row>
    <row r="988" spans="2:21" ht="14.5" outlineLevel="3">
      <c r="B988" s="44" t="s">
        <v>3255</v>
      </c>
      <c r="C988" s="45" t="s">
        <v>3256</v>
      </c>
      <c r="D988" s="46" t="s">
        <v>2804</v>
      </c>
      <c r="E988" s="47" t="s">
        <v>102</v>
      </c>
      <c r="F988" s="46" t="s">
        <v>102</v>
      </c>
      <c r="G988" s="47" t="s">
        <v>102</v>
      </c>
      <c r="H988" s="48">
        <v>0</v>
      </c>
      <c r="I988" s="48">
        <v>0</v>
      </c>
      <c r="J988" s="47" t="s">
        <v>2613</v>
      </c>
      <c r="K988" s="49">
        <v>0</v>
      </c>
      <c r="L988" s="49" t="s">
        <v>2614</v>
      </c>
      <c r="M988" s="46" t="s">
        <v>117</v>
      </c>
      <c r="N988" s="50">
        <v>0</v>
      </c>
      <c r="O988" s="50">
        <v>0</v>
      </c>
      <c r="P988" s="50">
        <v>0</v>
      </c>
      <c r="Q988" s="46" t="s">
        <v>102</v>
      </c>
      <c r="R988" s="46" t="s">
        <v>102</v>
      </c>
      <c r="S988" s="46" t="s">
        <v>102</v>
      </c>
      <c r="T988" s="46" t="s">
        <v>3081</v>
      </c>
      <c r="U988" s="51">
        <v>4</v>
      </c>
    </row>
    <row r="989" spans="2:21" ht="14.5" outlineLevel="3">
      <c r="B989" s="44" t="s">
        <v>3257</v>
      </c>
      <c r="C989" s="45" t="s">
        <v>3258</v>
      </c>
      <c r="D989" s="46" t="s">
        <v>102</v>
      </c>
      <c r="E989" s="47" t="s">
        <v>102</v>
      </c>
      <c r="F989" s="46" t="s">
        <v>102</v>
      </c>
      <c r="G989" s="47" t="s">
        <v>102</v>
      </c>
      <c r="H989" s="48">
        <v>0</v>
      </c>
      <c r="I989" s="48">
        <v>0</v>
      </c>
      <c r="J989" s="47" t="s">
        <v>102</v>
      </c>
      <c r="K989" s="49">
        <v>0</v>
      </c>
      <c r="L989" s="49" t="s">
        <v>102</v>
      </c>
      <c r="M989" s="46" t="s">
        <v>102</v>
      </c>
      <c r="N989" s="50">
        <v>0</v>
      </c>
      <c r="O989" s="50">
        <v>0</v>
      </c>
      <c r="P989" s="50">
        <v>0</v>
      </c>
      <c r="Q989" s="46" t="s">
        <v>102</v>
      </c>
      <c r="R989" s="46" t="s">
        <v>102</v>
      </c>
      <c r="S989" s="46" t="s">
        <v>2776</v>
      </c>
      <c r="T989" s="46" t="s">
        <v>102</v>
      </c>
      <c r="U989" s="51">
        <v>3</v>
      </c>
    </row>
    <row r="990" spans="2:21" ht="14.5" outlineLevel="3">
      <c r="B990" s="44" t="s">
        <v>3259</v>
      </c>
      <c r="C990" s="45" t="s">
        <v>3260</v>
      </c>
      <c r="D990" s="46" t="s">
        <v>2804</v>
      </c>
      <c r="E990" s="47" t="s">
        <v>102</v>
      </c>
      <c r="F990" s="46" t="s">
        <v>102</v>
      </c>
      <c r="G990" s="47" t="s">
        <v>102</v>
      </c>
      <c r="H990" s="48">
        <v>0</v>
      </c>
      <c r="I990" s="48">
        <v>0</v>
      </c>
      <c r="J990" s="47" t="s">
        <v>2613</v>
      </c>
      <c r="K990" s="49">
        <v>0</v>
      </c>
      <c r="L990" s="49" t="s">
        <v>2614</v>
      </c>
      <c r="M990" s="46" t="s">
        <v>117</v>
      </c>
      <c r="N990" s="50">
        <v>0</v>
      </c>
      <c r="O990" s="50">
        <v>0</v>
      </c>
      <c r="P990" s="50">
        <v>0</v>
      </c>
      <c r="Q990" s="46" t="s">
        <v>102</v>
      </c>
      <c r="R990" s="46" t="s">
        <v>102</v>
      </c>
      <c r="S990" s="46" t="s">
        <v>102</v>
      </c>
      <c r="T990" s="46" t="s">
        <v>2666</v>
      </c>
      <c r="U990" s="51">
        <v>4</v>
      </c>
    </row>
    <row r="991" spans="2:21" ht="14.5" outlineLevel="3">
      <c r="B991" s="44" t="s">
        <v>3261</v>
      </c>
      <c r="C991" s="45" t="s">
        <v>3262</v>
      </c>
      <c r="D991" s="46" t="s">
        <v>2804</v>
      </c>
      <c r="E991" s="47" t="s">
        <v>102</v>
      </c>
      <c r="F991" s="46" t="s">
        <v>102</v>
      </c>
      <c r="G991" s="47" t="s">
        <v>102</v>
      </c>
      <c r="H991" s="48">
        <v>0</v>
      </c>
      <c r="I991" s="48">
        <v>0</v>
      </c>
      <c r="J991" s="47" t="s">
        <v>2613</v>
      </c>
      <c r="K991" s="49">
        <v>0</v>
      </c>
      <c r="L991" s="49" t="s">
        <v>2614</v>
      </c>
      <c r="M991" s="46" t="s">
        <v>117</v>
      </c>
      <c r="N991" s="50">
        <v>0</v>
      </c>
      <c r="O991" s="50">
        <v>0</v>
      </c>
      <c r="P991" s="50">
        <v>0</v>
      </c>
      <c r="Q991" s="46" t="s">
        <v>102</v>
      </c>
      <c r="R991" s="46" t="s">
        <v>102</v>
      </c>
      <c r="S991" s="46" t="s">
        <v>102</v>
      </c>
      <c r="T991" s="46" t="s">
        <v>3088</v>
      </c>
      <c r="U991" s="51">
        <v>4</v>
      </c>
    </row>
    <row r="992" spans="2:21" ht="14.5" outlineLevel="3">
      <c r="B992" s="44" t="s">
        <v>3263</v>
      </c>
      <c r="C992" s="45" t="s">
        <v>3264</v>
      </c>
      <c r="D992" s="46" t="s">
        <v>2804</v>
      </c>
      <c r="E992" s="47" t="s">
        <v>102</v>
      </c>
      <c r="F992" s="46" t="s">
        <v>102</v>
      </c>
      <c r="G992" s="47" t="s">
        <v>102</v>
      </c>
      <c r="H992" s="48">
        <v>0</v>
      </c>
      <c r="I992" s="48">
        <v>0</v>
      </c>
      <c r="J992" s="47" t="s">
        <v>2613</v>
      </c>
      <c r="K992" s="49">
        <v>0</v>
      </c>
      <c r="L992" s="49" t="s">
        <v>2614</v>
      </c>
      <c r="M992" s="46" t="s">
        <v>117</v>
      </c>
      <c r="N992" s="50">
        <v>0</v>
      </c>
      <c r="O992" s="50">
        <v>0</v>
      </c>
      <c r="P992" s="50">
        <v>0</v>
      </c>
      <c r="Q992" s="46" t="s">
        <v>102</v>
      </c>
      <c r="R992" s="46" t="s">
        <v>102</v>
      </c>
      <c r="S992" s="46" t="s">
        <v>102</v>
      </c>
      <c r="T992" s="46" t="s">
        <v>3091</v>
      </c>
      <c r="U992" s="51">
        <v>4</v>
      </c>
    </row>
    <row r="993" spans="2:21" ht="14.5" outlineLevel="3">
      <c r="B993" s="44" t="s">
        <v>3265</v>
      </c>
      <c r="C993" s="45" t="s">
        <v>3266</v>
      </c>
      <c r="D993" s="46" t="s">
        <v>2804</v>
      </c>
      <c r="E993" s="47" t="s">
        <v>102</v>
      </c>
      <c r="F993" s="46" t="s">
        <v>102</v>
      </c>
      <c r="G993" s="47" t="s">
        <v>102</v>
      </c>
      <c r="H993" s="48">
        <v>0</v>
      </c>
      <c r="I993" s="48">
        <v>0</v>
      </c>
      <c r="J993" s="47" t="s">
        <v>2613</v>
      </c>
      <c r="K993" s="49">
        <v>0</v>
      </c>
      <c r="L993" s="49" t="s">
        <v>2614</v>
      </c>
      <c r="M993" s="46" t="s">
        <v>117</v>
      </c>
      <c r="N993" s="50">
        <v>0</v>
      </c>
      <c r="O993" s="50">
        <v>0</v>
      </c>
      <c r="P993" s="50">
        <v>0</v>
      </c>
      <c r="Q993" s="46" t="s">
        <v>102</v>
      </c>
      <c r="R993" s="46" t="s">
        <v>102</v>
      </c>
      <c r="S993" s="46" t="s">
        <v>102</v>
      </c>
      <c r="T993" s="46" t="s">
        <v>3094</v>
      </c>
      <c r="U993" s="51">
        <v>4</v>
      </c>
    </row>
    <row r="994" spans="2:21" ht="14.5" outlineLevel="2">
      <c r="B994" s="36" t="s">
        <v>3267</v>
      </c>
      <c r="C994" s="37" t="s">
        <v>3268</v>
      </c>
      <c r="D994" s="38" t="s">
        <v>2804</v>
      </c>
      <c r="E994" s="39" t="s">
        <v>102</v>
      </c>
      <c r="F994" s="38" t="s">
        <v>102</v>
      </c>
      <c r="G994" s="39" t="s">
        <v>102</v>
      </c>
      <c r="H994" s="40">
        <v>0</v>
      </c>
      <c r="I994" s="40">
        <v>0</v>
      </c>
      <c r="J994" s="39" t="s">
        <v>2613</v>
      </c>
      <c r="K994" s="41">
        <v>0</v>
      </c>
      <c r="L994" s="41" t="s">
        <v>2614</v>
      </c>
      <c r="M994" s="38" t="s">
        <v>117</v>
      </c>
      <c r="N994" s="42">
        <v>0</v>
      </c>
      <c r="O994" s="42">
        <v>0</v>
      </c>
      <c r="P994" s="42">
        <v>0</v>
      </c>
      <c r="Q994" s="38" t="s">
        <v>102</v>
      </c>
      <c r="R994" s="38" t="s">
        <v>102</v>
      </c>
      <c r="S994" s="38" t="s">
        <v>102</v>
      </c>
      <c r="T994" s="38" t="s">
        <v>3097</v>
      </c>
      <c r="U994" s="43">
        <v>4</v>
      </c>
    </row>
    <row r="995" spans="2:21" ht="14.5" outlineLevel="3">
      <c r="B995" s="44" t="s">
        <v>3269</v>
      </c>
      <c r="C995" s="45" t="s">
        <v>3270</v>
      </c>
      <c r="D995" s="46" t="s">
        <v>2804</v>
      </c>
      <c r="E995" s="47" t="s">
        <v>102</v>
      </c>
      <c r="F995" s="46" t="s">
        <v>102</v>
      </c>
      <c r="G995" s="47" t="s">
        <v>102</v>
      </c>
      <c r="H995" s="48">
        <v>0</v>
      </c>
      <c r="I995" s="48">
        <v>0</v>
      </c>
      <c r="J995" s="47" t="s">
        <v>2613</v>
      </c>
      <c r="K995" s="49">
        <v>0</v>
      </c>
      <c r="L995" s="49" t="s">
        <v>2614</v>
      </c>
      <c r="M995" s="46" t="s">
        <v>117</v>
      </c>
      <c r="N995" s="50">
        <v>0</v>
      </c>
      <c r="O995" s="50">
        <v>0</v>
      </c>
      <c r="P995" s="50">
        <v>0</v>
      </c>
      <c r="Q995" s="46" t="s">
        <v>102</v>
      </c>
      <c r="R995" s="46" t="s">
        <v>102</v>
      </c>
      <c r="S995" s="46" t="s">
        <v>102</v>
      </c>
      <c r="T995" s="46" t="s">
        <v>3100</v>
      </c>
      <c r="U995" s="51">
        <v>4</v>
      </c>
    </row>
    <row r="996" spans="2:21" ht="14.5" outlineLevel="1">
      <c r="B996" s="28" t="s">
        <v>3271</v>
      </c>
      <c r="C996" s="29" t="s">
        <v>3272</v>
      </c>
      <c r="D996" s="30" t="s">
        <v>2804</v>
      </c>
      <c r="E996" s="31" t="s">
        <v>102</v>
      </c>
      <c r="F996" s="30" t="s">
        <v>102</v>
      </c>
      <c r="G996" s="31" t="s">
        <v>102</v>
      </c>
      <c r="H996" s="32">
        <v>0</v>
      </c>
      <c r="I996" s="32">
        <v>0</v>
      </c>
      <c r="J996" s="31" t="s">
        <v>2613</v>
      </c>
      <c r="K996" s="33">
        <v>0</v>
      </c>
      <c r="L996" s="33" t="s">
        <v>2614</v>
      </c>
      <c r="M996" s="30" t="s">
        <v>117</v>
      </c>
      <c r="N996" s="34">
        <v>0</v>
      </c>
      <c r="O996" s="34">
        <v>0</v>
      </c>
      <c r="P996" s="34">
        <v>0</v>
      </c>
      <c r="Q996" s="30" t="s">
        <v>102</v>
      </c>
      <c r="R996" s="30" t="s">
        <v>102</v>
      </c>
      <c r="S996" s="30" t="s">
        <v>102</v>
      </c>
      <c r="T996" s="30" t="s">
        <v>3103</v>
      </c>
      <c r="U996" s="35">
        <v>4</v>
      </c>
    </row>
    <row r="997" spans="2:21" ht="14.5" outlineLevel="2">
      <c r="B997" s="36" t="s">
        <v>3273</v>
      </c>
      <c r="C997" s="37" t="s">
        <v>3274</v>
      </c>
      <c r="D997" s="38" t="s">
        <v>102</v>
      </c>
      <c r="E997" s="39" t="s">
        <v>102</v>
      </c>
      <c r="F997" s="38" t="s">
        <v>102</v>
      </c>
      <c r="G997" s="39" t="s">
        <v>102</v>
      </c>
      <c r="H997" s="40">
        <v>0</v>
      </c>
      <c r="I997" s="40">
        <v>0</v>
      </c>
      <c r="J997" s="39" t="s">
        <v>102</v>
      </c>
      <c r="K997" s="41">
        <v>0</v>
      </c>
      <c r="L997" s="41" t="s">
        <v>102</v>
      </c>
      <c r="M997" s="38" t="s">
        <v>102</v>
      </c>
      <c r="N997" s="42">
        <v>0</v>
      </c>
      <c r="O997" s="42">
        <v>0</v>
      </c>
      <c r="P997" s="42">
        <v>0</v>
      </c>
      <c r="Q997" s="38" t="s">
        <v>102</v>
      </c>
      <c r="R997" s="38" t="s">
        <v>102</v>
      </c>
      <c r="S997" s="38" t="s">
        <v>3106</v>
      </c>
      <c r="T997" s="38" t="s">
        <v>102</v>
      </c>
      <c r="U997" s="43">
        <v>3</v>
      </c>
    </row>
    <row r="998" spans="2:21" ht="14.5" outlineLevel="3">
      <c r="B998" s="44" t="s">
        <v>3275</v>
      </c>
      <c r="C998" s="45" t="s">
        <v>3276</v>
      </c>
      <c r="D998" s="46" t="s">
        <v>2804</v>
      </c>
      <c r="E998" s="47" t="s">
        <v>102</v>
      </c>
      <c r="F998" s="46" t="s">
        <v>102</v>
      </c>
      <c r="G998" s="47" t="s">
        <v>102</v>
      </c>
      <c r="H998" s="48">
        <v>0</v>
      </c>
      <c r="I998" s="48">
        <v>0</v>
      </c>
      <c r="J998" s="47" t="s">
        <v>2613</v>
      </c>
      <c r="K998" s="49">
        <v>0</v>
      </c>
      <c r="L998" s="49" t="s">
        <v>2614</v>
      </c>
      <c r="M998" s="46" t="s">
        <v>117</v>
      </c>
      <c r="N998" s="50">
        <v>0</v>
      </c>
      <c r="O998" s="50">
        <v>0</v>
      </c>
      <c r="P998" s="50">
        <v>0</v>
      </c>
      <c r="Q998" s="46" t="s">
        <v>102</v>
      </c>
      <c r="R998" s="46" t="s">
        <v>102</v>
      </c>
      <c r="S998" s="46" t="s">
        <v>102</v>
      </c>
      <c r="T998" s="46" t="s">
        <v>2666</v>
      </c>
      <c r="U998" s="51">
        <v>4</v>
      </c>
    </row>
    <row r="999" spans="2:21" ht="14.5" outlineLevel="3">
      <c r="B999" s="44" t="s">
        <v>3277</v>
      </c>
      <c r="C999" s="45" t="s">
        <v>3278</v>
      </c>
      <c r="D999" s="46" t="s">
        <v>102</v>
      </c>
      <c r="E999" s="47" t="s">
        <v>102</v>
      </c>
      <c r="F999" s="46" t="s">
        <v>102</v>
      </c>
      <c r="G999" s="47" t="s">
        <v>102</v>
      </c>
      <c r="H999" s="48">
        <v>0</v>
      </c>
      <c r="I999" s="48">
        <v>0</v>
      </c>
      <c r="J999" s="47" t="s">
        <v>102</v>
      </c>
      <c r="K999" s="49">
        <v>0</v>
      </c>
      <c r="L999" s="49" t="s">
        <v>102</v>
      </c>
      <c r="M999" s="46" t="s">
        <v>102</v>
      </c>
      <c r="N999" s="50">
        <v>0</v>
      </c>
      <c r="O999" s="50">
        <v>0</v>
      </c>
      <c r="P999" s="50">
        <v>0</v>
      </c>
      <c r="Q999" s="46" t="s">
        <v>102</v>
      </c>
      <c r="R999" s="46" t="s">
        <v>3279</v>
      </c>
      <c r="S999" s="46" t="s">
        <v>102</v>
      </c>
      <c r="T999" s="46" t="s">
        <v>102</v>
      </c>
      <c r="U999" s="51">
        <v>2</v>
      </c>
    </row>
    <row r="1000" spans="2:21" ht="14.5" outlineLevel="2">
      <c r="B1000" s="36" t="s">
        <v>3280</v>
      </c>
      <c r="C1000" s="37" t="s">
        <v>3113</v>
      </c>
      <c r="D1000" s="38" t="s">
        <v>102</v>
      </c>
      <c r="E1000" s="39" t="s">
        <v>102</v>
      </c>
      <c r="F1000" s="38" t="s">
        <v>102</v>
      </c>
      <c r="G1000" s="39" t="s">
        <v>102</v>
      </c>
      <c r="H1000" s="40">
        <v>0</v>
      </c>
      <c r="I1000" s="40">
        <v>0</v>
      </c>
      <c r="J1000" s="39" t="s">
        <v>102</v>
      </c>
      <c r="K1000" s="41">
        <v>0</v>
      </c>
      <c r="L1000" s="41" t="s">
        <v>102</v>
      </c>
      <c r="M1000" s="38" t="s">
        <v>102</v>
      </c>
      <c r="N1000" s="42">
        <v>0</v>
      </c>
      <c r="O1000" s="42">
        <v>0</v>
      </c>
      <c r="P1000" s="42">
        <v>0</v>
      </c>
      <c r="Q1000" s="38" t="s">
        <v>102</v>
      </c>
      <c r="R1000" s="38" t="s">
        <v>102</v>
      </c>
      <c r="S1000" s="38" t="s">
        <v>2910</v>
      </c>
      <c r="T1000" s="38" t="s">
        <v>102</v>
      </c>
      <c r="U1000" s="43">
        <v>3</v>
      </c>
    </row>
    <row r="1001" spans="2:21" ht="14.5" outlineLevel="3">
      <c r="B1001" s="44" t="s">
        <v>3281</v>
      </c>
      <c r="C1001" s="45" t="s">
        <v>3115</v>
      </c>
      <c r="D1001" s="46" t="s">
        <v>2804</v>
      </c>
      <c r="E1001" s="47" t="s">
        <v>102</v>
      </c>
      <c r="F1001" s="46" t="s">
        <v>102</v>
      </c>
      <c r="G1001" s="47" t="s">
        <v>102</v>
      </c>
      <c r="H1001" s="48">
        <v>0</v>
      </c>
      <c r="I1001" s="48">
        <v>0</v>
      </c>
      <c r="J1001" s="47" t="s">
        <v>2613</v>
      </c>
      <c r="K1001" s="49">
        <v>0</v>
      </c>
      <c r="L1001" s="49" t="s">
        <v>2614</v>
      </c>
      <c r="M1001" s="46" t="s">
        <v>117</v>
      </c>
      <c r="N1001" s="50">
        <v>0</v>
      </c>
      <c r="O1001" s="50">
        <v>0</v>
      </c>
      <c r="P1001" s="50">
        <v>0</v>
      </c>
      <c r="Q1001" s="46" t="s">
        <v>102</v>
      </c>
      <c r="R1001" s="46" t="s">
        <v>102</v>
      </c>
      <c r="S1001" s="46" t="s">
        <v>102</v>
      </c>
      <c r="T1001" s="46" t="s">
        <v>1019</v>
      </c>
      <c r="U1001" s="51">
        <v>4</v>
      </c>
    </row>
    <row r="1002" spans="2:21" ht="14.5" outlineLevel="3">
      <c r="B1002" s="44" t="s">
        <v>3282</v>
      </c>
      <c r="C1002" s="45" t="s">
        <v>3117</v>
      </c>
      <c r="D1002" s="46" t="s">
        <v>2804</v>
      </c>
      <c r="E1002" s="47" t="s">
        <v>102</v>
      </c>
      <c r="F1002" s="46" t="s">
        <v>102</v>
      </c>
      <c r="G1002" s="47" t="s">
        <v>102</v>
      </c>
      <c r="H1002" s="48">
        <v>0</v>
      </c>
      <c r="I1002" s="48">
        <v>0</v>
      </c>
      <c r="J1002" s="47" t="s">
        <v>2613</v>
      </c>
      <c r="K1002" s="49">
        <v>0</v>
      </c>
      <c r="L1002" s="49" t="s">
        <v>2614</v>
      </c>
      <c r="M1002" s="46" t="s">
        <v>117</v>
      </c>
      <c r="N1002" s="50">
        <v>0</v>
      </c>
      <c r="O1002" s="50">
        <v>0</v>
      </c>
      <c r="P1002" s="50">
        <v>0</v>
      </c>
      <c r="Q1002" s="46" t="s">
        <v>102</v>
      </c>
      <c r="R1002" s="46" t="s">
        <v>102</v>
      </c>
      <c r="S1002" s="46" t="s">
        <v>102</v>
      </c>
      <c r="T1002" s="46" t="s">
        <v>2666</v>
      </c>
      <c r="U1002" s="51">
        <v>4</v>
      </c>
    </row>
    <row r="1003" spans="2:21" ht="14.5" outlineLevel="3">
      <c r="B1003" s="44" t="s">
        <v>3283</v>
      </c>
      <c r="C1003" s="45" t="s">
        <v>3119</v>
      </c>
      <c r="D1003" s="46" t="s">
        <v>102</v>
      </c>
      <c r="E1003" s="47" t="s">
        <v>102</v>
      </c>
      <c r="F1003" s="46" t="s">
        <v>102</v>
      </c>
      <c r="G1003" s="47" t="s">
        <v>102</v>
      </c>
      <c r="H1003" s="48">
        <v>0</v>
      </c>
      <c r="I1003" s="48">
        <v>0</v>
      </c>
      <c r="J1003" s="47" t="s">
        <v>102</v>
      </c>
      <c r="K1003" s="49">
        <v>0</v>
      </c>
      <c r="L1003" s="49" t="s">
        <v>102</v>
      </c>
      <c r="M1003" s="46" t="s">
        <v>102</v>
      </c>
      <c r="N1003" s="50">
        <v>0</v>
      </c>
      <c r="O1003" s="50">
        <v>0</v>
      </c>
      <c r="P1003" s="50">
        <v>0</v>
      </c>
      <c r="Q1003" s="46" t="s">
        <v>102</v>
      </c>
      <c r="R1003" s="46" t="s">
        <v>102</v>
      </c>
      <c r="S1003" s="46" t="s">
        <v>2917</v>
      </c>
      <c r="T1003" s="46" t="s">
        <v>102</v>
      </c>
      <c r="U1003" s="51">
        <v>3</v>
      </c>
    </row>
    <row r="1004" spans="2:21" ht="14.5" outlineLevel="3">
      <c r="B1004" s="44" t="s">
        <v>3284</v>
      </c>
      <c r="C1004" s="45" t="s">
        <v>3121</v>
      </c>
      <c r="D1004" s="46" t="s">
        <v>2804</v>
      </c>
      <c r="E1004" s="47" t="s">
        <v>102</v>
      </c>
      <c r="F1004" s="46" t="s">
        <v>102</v>
      </c>
      <c r="G1004" s="47" t="s">
        <v>102</v>
      </c>
      <c r="H1004" s="48">
        <v>0</v>
      </c>
      <c r="I1004" s="48">
        <v>0</v>
      </c>
      <c r="J1004" s="47" t="s">
        <v>2613</v>
      </c>
      <c r="K1004" s="49">
        <v>0</v>
      </c>
      <c r="L1004" s="49" t="s">
        <v>2614</v>
      </c>
      <c r="M1004" s="46" t="s">
        <v>117</v>
      </c>
      <c r="N1004" s="50">
        <v>0</v>
      </c>
      <c r="O1004" s="50">
        <v>0</v>
      </c>
      <c r="P1004" s="50">
        <v>0</v>
      </c>
      <c r="Q1004" s="46" t="s">
        <v>102</v>
      </c>
      <c r="R1004" s="46" t="s">
        <v>102</v>
      </c>
      <c r="S1004" s="46" t="s">
        <v>102</v>
      </c>
      <c r="T1004" s="46" t="s">
        <v>2815</v>
      </c>
      <c r="U1004" s="51">
        <v>4</v>
      </c>
    </row>
    <row r="1005" spans="2:21" ht="14.5" outlineLevel="3">
      <c r="B1005" s="44" t="s">
        <v>3285</v>
      </c>
      <c r="C1005" s="45" t="s">
        <v>3123</v>
      </c>
      <c r="D1005" s="46" t="s">
        <v>2804</v>
      </c>
      <c r="E1005" s="47" t="s">
        <v>102</v>
      </c>
      <c r="F1005" s="46" t="s">
        <v>102</v>
      </c>
      <c r="G1005" s="47" t="s">
        <v>102</v>
      </c>
      <c r="H1005" s="48">
        <v>0</v>
      </c>
      <c r="I1005" s="48">
        <v>0</v>
      </c>
      <c r="J1005" s="47" t="s">
        <v>2613</v>
      </c>
      <c r="K1005" s="49">
        <v>0</v>
      </c>
      <c r="L1005" s="49" t="s">
        <v>2614</v>
      </c>
      <c r="M1005" s="46" t="s">
        <v>117</v>
      </c>
      <c r="N1005" s="50">
        <v>0</v>
      </c>
      <c r="O1005" s="50">
        <v>0</v>
      </c>
      <c r="P1005" s="50">
        <v>0</v>
      </c>
      <c r="Q1005" s="46" t="s">
        <v>102</v>
      </c>
      <c r="R1005" s="46" t="s">
        <v>102</v>
      </c>
      <c r="S1005" s="46" t="s">
        <v>102</v>
      </c>
      <c r="T1005" s="46" t="s">
        <v>461</v>
      </c>
      <c r="U1005" s="51">
        <v>4</v>
      </c>
    </row>
    <row r="1006" spans="2:21" ht="14.5" outlineLevel="2">
      <c r="B1006" s="36" t="s">
        <v>3286</v>
      </c>
      <c r="C1006" s="37" t="s">
        <v>3125</v>
      </c>
      <c r="D1006" s="38" t="s">
        <v>2804</v>
      </c>
      <c r="E1006" s="39" t="s">
        <v>102</v>
      </c>
      <c r="F1006" s="38" t="s">
        <v>102</v>
      </c>
      <c r="G1006" s="39" t="s">
        <v>102</v>
      </c>
      <c r="H1006" s="40">
        <v>0</v>
      </c>
      <c r="I1006" s="40">
        <v>0</v>
      </c>
      <c r="J1006" s="39" t="s">
        <v>2613</v>
      </c>
      <c r="K1006" s="41">
        <v>0</v>
      </c>
      <c r="L1006" s="41" t="s">
        <v>2614</v>
      </c>
      <c r="M1006" s="38" t="s">
        <v>117</v>
      </c>
      <c r="N1006" s="42">
        <v>0</v>
      </c>
      <c r="O1006" s="42">
        <v>0</v>
      </c>
      <c r="P1006" s="42">
        <v>0</v>
      </c>
      <c r="Q1006" s="38" t="s">
        <v>102</v>
      </c>
      <c r="R1006" s="38" t="s">
        <v>102</v>
      </c>
      <c r="S1006" s="38" t="s">
        <v>102</v>
      </c>
      <c r="T1006" s="38" t="s">
        <v>466</v>
      </c>
      <c r="U1006" s="43">
        <v>4</v>
      </c>
    </row>
    <row r="1007" spans="2:21" ht="14.5" outlineLevel="3">
      <c r="B1007" s="44" t="s">
        <v>3287</v>
      </c>
      <c r="C1007" s="45" t="s">
        <v>3127</v>
      </c>
      <c r="D1007" s="46" t="s">
        <v>2804</v>
      </c>
      <c r="E1007" s="47" t="s">
        <v>102</v>
      </c>
      <c r="F1007" s="46" t="s">
        <v>102</v>
      </c>
      <c r="G1007" s="47" t="s">
        <v>102</v>
      </c>
      <c r="H1007" s="48">
        <v>0</v>
      </c>
      <c r="I1007" s="48">
        <v>0</v>
      </c>
      <c r="J1007" s="47" t="s">
        <v>2613</v>
      </c>
      <c r="K1007" s="49">
        <v>0</v>
      </c>
      <c r="L1007" s="49" t="s">
        <v>2614</v>
      </c>
      <c r="M1007" s="46" t="s">
        <v>117</v>
      </c>
      <c r="N1007" s="50">
        <v>0</v>
      </c>
      <c r="O1007" s="50">
        <v>0</v>
      </c>
      <c r="P1007" s="50">
        <v>0</v>
      </c>
      <c r="Q1007" s="46" t="s">
        <v>102</v>
      </c>
      <c r="R1007" s="46" t="s">
        <v>102</v>
      </c>
      <c r="S1007" s="46" t="s">
        <v>102</v>
      </c>
      <c r="T1007" s="46" t="s">
        <v>482</v>
      </c>
      <c r="U1007" s="51">
        <v>4</v>
      </c>
    </row>
    <row r="1008" spans="2:21" ht="14.5" outlineLevel="3">
      <c r="B1008" s="44" t="s">
        <v>3288</v>
      </c>
      <c r="C1008" s="45" t="s">
        <v>3129</v>
      </c>
      <c r="D1008" s="46" t="s">
        <v>2804</v>
      </c>
      <c r="E1008" s="47" t="s">
        <v>102</v>
      </c>
      <c r="F1008" s="46" t="s">
        <v>102</v>
      </c>
      <c r="G1008" s="47" t="s">
        <v>102</v>
      </c>
      <c r="H1008" s="48">
        <v>0</v>
      </c>
      <c r="I1008" s="48">
        <v>0</v>
      </c>
      <c r="J1008" s="47" t="s">
        <v>2613</v>
      </c>
      <c r="K1008" s="49">
        <v>0</v>
      </c>
      <c r="L1008" s="49" t="s">
        <v>2614</v>
      </c>
      <c r="M1008" s="46" t="s">
        <v>117</v>
      </c>
      <c r="N1008" s="50">
        <v>0</v>
      </c>
      <c r="O1008" s="50">
        <v>0</v>
      </c>
      <c r="P1008" s="50">
        <v>0</v>
      </c>
      <c r="Q1008" s="46" t="s">
        <v>102</v>
      </c>
      <c r="R1008" s="46" t="s">
        <v>102</v>
      </c>
      <c r="S1008" s="46" t="s">
        <v>102</v>
      </c>
      <c r="T1008" s="46" t="s">
        <v>2666</v>
      </c>
      <c r="U1008" s="51">
        <v>4</v>
      </c>
    </row>
    <row r="1009" spans="2:21" ht="14.5" outlineLevel="2">
      <c r="B1009" s="36" t="s">
        <v>3289</v>
      </c>
      <c r="C1009" s="37" t="s">
        <v>3131</v>
      </c>
      <c r="D1009" s="38" t="s">
        <v>102</v>
      </c>
      <c r="E1009" s="39" t="s">
        <v>102</v>
      </c>
      <c r="F1009" s="38" t="s">
        <v>102</v>
      </c>
      <c r="G1009" s="39" t="s">
        <v>102</v>
      </c>
      <c r="H1009" s="40">
        <v>0</v>
      </c>
      <c r="I1009" s="40">
        <v>0</v>
      </c>
      <c r="J1009" s="39" t="s">
        <v>102</v>
      </c>
      <c r="K1009" s="41">
        <v>0</v>
      </c>
      <c r="L1009" s="41" t="s">
        <v>102</v>
      </c>
      <c r="M1009" s="38" t="s">
        <v>102</v>
      </c>
      <c r="N1009" s="42">
        <v>0</v>
      </c>
      <c r="O1009" s="42">
        <v>0</v>
      </c>
      <c r="P1009" s="42">
        <v>0</v>
      </c>
      <c r="Q1009" s="38" t="s">
        <v>102</v>
      </c>
      <c r="R1009" s="38" t="s">
        <v>102</v>
      </c>
      <c r="S1009" s="38" t="s">
        <v>2930</v>
      </c>
      <c r="T1009" s="38" t="s">
        <v>102</v>
      </c>
      <c r="U1009" s="43">
        <v>3</v>
      </c>
    </row>
    <row r="1010" spans="2:21" ht="14.5" outlineLevel="3">
      <c r="B1010" s="44" t="s">
        <v>3290</v>
      </c>
      <c r="C1010" s="45" t="s">
        <v>3133</v>
      </c>
      <c r="D1010" s="46" t="s">
        <v>2804</v>
      </c>
      <c r="E1010" s="47" t="s">
        <v>102</v>
      </c>
      <c r="F1010" s="46" t="s">
        <v>102</v>
      </c>
      <c r="G1010" s="47" t="s">
        <v>102</v>
      </c>
      <c r="H1010" s="48">
        <v>0</v>
      </c>
      <c r="I1010" s="48">
        <v>0</v>
      </c>
      <c r="J1010" s="47" t="s">
        <v>2613</v>
      </c>
      <c r="K1010" s="49">
        <v>0</v>
      </c>
      <c r="L1010" s="49" t="s">
        <v>2614</v>
      </c>
      <c r="M1010" s="46" t="s">
        <v>117</v>
      </c>
      <c r="N1010" s="50">
        <v>0</v>
      </c>
      <c r="O1010" s="50">
        <v>0</v>
      </c>
      <c r="P1010" s="50">
        <v>0</v>
      </c>
      <c r="Q1010" s="46" t="s">
        <v>102</v>
      </c>
      <c r="R1010" s="46" t="s">
        <v>102</v>
      </c>
      <c r="S1010" s="46" t="s">
        <v>102</v>
      </c>
      <c r="T1010" s="46" t="s">
        <v>1019</v>
      </c>
      <c r="U1010" s="51">
        <v>4</v>
      </c>
    </row>
    <row r="1011" spans="2:21" ht="14.5" outlineLevel="2">
      <c r="B1011" s="36" t="s">
        <v>3291</v>
      </c>
      <c r="C1011" s="37" t="s">
        <v>3135</v>
      </c>
      <c r="D1011" s="38" t="s">
        <v>2804</v>
      </c>
      <c r="E1011" s="39" t="s">
        <v>102</v>
      </c>
      <c r="F1011" s="38" t="s">
        <v>102</v>
      </c>
      <c r="G1011" s="39" t="s">
        <v>102</v>
      </c>
      <c r="H1011" s="40">
        <v>0</v>
      </c>
      <c r="I1011" s="40">
        <v>0</v>
      </c>
      <c r="J1011" s="39" t="s">
        <v>2613</v>
      </c>
      <c r="K1011" s="41">
        <v>0</v>
      </c>
      <c r="L1011" s="41" t="s">
        <v>2614</v>
      </c>
      <c r="M1011" s="38" t="s">
        <v>117</v>
      </c>
      <c r="N1011" s="42">
        <v>0</v>
      </c>
      <c r="O1011" s="42">
        <v>0</v>
      </c>
      <c r="P1011" s="42">
        <v>0</v>
      </c>
      <c r="Q1011" s="38" t="s">
        <v>102</v>
      </c>
      <c r="R1011" s="38" t="s">
        <v>102</v>
      </c>
      <c r="S1011" s="38" t="s">
        <v>102</v>
      </c>
      <c r="T1011" s="38" t="s">
        <v>2666</v>
      </c>
      <c r="U1011" s="43">
        <v>4</v>
      </c>
    </row>
    <row r="1012" spans="2:21" ht="14.5" outlineLevel="3">
      <c r="B1012" s="44" t="s">
        <v>3292</v>
      </c>
      <c r="C1012" s="45" t="s">
        <v>3137</v>
      </c>
      <c r="D1012" s="46" t="s">
        <v>102</v>
      </c>
      <c r="E1012" s="47" t="s">
        <v>102</v>
      </c>
      <c r="F1012" s="46" t="s">
        <v>102</v>
      </c>
      <c r="G1012" s="47" t="s">
        <v>102</v>
      </c>
      <c r="H1012" s="48">
        <v>0</v>
      </c>
      <c r="I1012" s="48">
        <v>0</v>
      </c>
      <c r="J1012" s="47" t="s">
        <v>102</v>
      </c>
      <c r="K1012" s="49">
        <v>0</v>
      </c>
      <c r="L1012" s="49" t="s">
        <v>102</v>
      </c>
      <c r="M1012" s="46" t="s">
        <v>102</v>
      </c>
      <c r="N1012" s="50">
        <v>0</v>
      </c>
      <c r="O1012" s="50">
        <v>0</v>
      </c>
      <c r="P1012" s="50">
        <v>0</v>
      </c>
      <c r="Q1012" s="46" t="s">
        <v>102</v>
      </c>
      <c r="R1012" s="46" t="s">
        <v>102</v>
      </c>
      <c r="S1012" s="46" t="s">
        <v>2937</v>
      </c>
      <c r="T1012" s="46" t="s">
        <v>102</v>
      </c>
      <c r="U1012" s="51">
        <v>3</v>
      </c>
    </row>
    <row r="1013" spans="2:21" ht="14.5" outlineLevel="2">
      <c r="B1013" s="36" t="s">
        <v>3293</v>
      </c>
      <c r="C1013" s="37" t="s">
        <v>3139</v>
      </c>
      <c r="D1013" s="38" t="s">
        <v>2804</v>
      </c>
      <c r="E1013" s="39" t="s">
        <v>102</v>
      </c>
      <c r="F1013" s="38" t="s">
        <v>102</v>
      </c>
      <c r="G1013" s="39" t="s">
        <v>102</v>
      </c>
      <c r="H1013" s="40">
        <v>0</v>
      </c>
      <c r="I1013" s="40">
        <v>0</v>
      </c>
      <c r="J1013" s="39" t="s">
        <v>2613</v>
      </c>
      <c r="K1013" s="41">
        <v>0</v>
      </c>
      <c r="L1013" s="41" t="s">
        <v>2614</v>
      </c>
      <c r="M1013" s="38" t="s">
        <v>117</v>
      </c>
      <c r="N1013" s="42">
        <v>0</v>
      </c>
      <c r="O1013" s="42">
        <v>0</v>
      </c>
      <c r="P1013" s="42">
        <v>0</v>
      </c>
      <c r="Q1013" s="38" t="s">
        <v>102</v>
      </c>
      <c r="R1013" s="38" t="s">
        <v>102</v>
      </c>
      <c r="S1013" s="38" t="s">
        <v>102</v>
      </c>
      <c r="T1013" s="38" t="s">
        <v>1019</v>
      </c>
      <c r="U1013" s="43">
        <v>4</v>
      </c>
    </row>
    <row r="1014" spans="2:21" ht="14.5" outlineLevel="3">
      <c r="B1014" s="44" t="s">
        <v>3294</v>
      </c>
      <c r="C1014" s="45" t="s">
        <v>3141</v>
      </c>
      <c r="D1014" s="46" t="s">
        <v>102</v>
      </c>
      <c r="E1014" s="47" t="s">
        <v>102</v>
      </c>
      <c r="F1014" s="46" t="s">
        <v>102</v>
      </c>
      <c r="G1014" s="47" t="s">
        <v>102</v>
      </c>
      <c r="H1014" s="48">
        <v>0</v>
      </c>
      <c r="I1014" s="48">
        <v>0</v>
      </c>
      <c r="J1014" s="47" t="s">
        <v>102</v>
      </c>
      <c r="K1014" s="49">
        <v>0</v>
      </c>
      <c r="L1014" s="49" t="s">
        <v>102</v>
      </c>
      <c r="M1014" s="46" t="s">
        <v>102</v>
      </c>
      <c r="N1014" s="50">
        <v>0</v>
      </c>
      <c r="O1014" s="50">
        <v>0</v>
      </c>
      <c r="P1014" s="50">
        <v>0</v>
      </c>
      <c r="Q1014" s="46" t="s">
        <v>102</v>
      </c>
      <c r="R1014" s="46" t="s">
        <v>102</v>
      </c>
      <c r="S1014" s="46" t="s">
        <v>2942</v>
      </c>
      <c r="T1014" s="46" t="s">
        <v>102</v>
      </c>
      <c r="U1014" s="51">
        <v>3</v>
      </c>
    </row>
    <row r="1015" spans="2:21" ht="14.5" outlineLevel="3">
      <c r="B1015" s="44" t="s">
        <v>3295</v>
      </c>
      <c r="C1015" s="45" t="s">
        <v>3143</v>
      </c>
      <c r="D1015" s="46" t="s">
        <v>2804</v>
      </c>
      <c r="E1015" s="47" t="s">
        <v>102</v>
      </c>
      <c r="F1015" s="46" t="s">
        <v>102</v>
      </c>
      <c r="G1015" s="47" t="s">
        <v>102</v>
      </c>
      <c r="H1015" s="48">
        <v>0</v>
      </c>
      <c r="I1015" s="48">
        <v>0</v>
      </c>
      <c r="J1015" s="47" t="s">
        <v>2613</v>
      </c>
      <c r="K1015" s="49">
        <v>0</v>
      </c>
      <c r="L1015" s="49" t="s">
        <v>2614</v>
      </c>
      <c r="M1015" s="46" t="s">
        <v>117</v>
      </c>
      <c r="N1015" s="50">
        <v>0</v>
      </c>
      <c r="O1015" s="50">
        <v>0</v>
      </c>
      <c r="P1015" s="50">
        <v>0</v>
      </c>
      <c r="Q1015" s="46" t="s">
        <v>102</v>
      </c>
      <c r="R1015" s="46" t="s">
        <v>102</v>
      </c>
      <c r="S1015" s="46" t="s">
        <v>102</v>
      </c>
      <c r="T1015" s="46" t="s">
        <v>1019</v>
      </c>
      <c r="U1015" s="51">
        <v>4</v>
      </c>
    </row>
    <row r="1016" spans="2:21" ht="14.5" outlineLevel="3">
      <c r="B1016" s="44" t="s">
        <v>3296</v>
      </c>
      <c r="C1016" s="45" t="s">
        <v>3145</v>
      </c>
      <c r="D1016" s="46" t="s">
        <v>102</v>
      </c>
      <c r="E1016" s="47" t="s">
        <v>102</v>
      </c>
      <c r="F1016" s="46" t="s">
        <v>102</v>
      </c>
      <c r="G1016" s="47" t="s">
        <v>102</v>
      </c>
      <c r="H1016" s="48">
        <v>0</v>
      </c>
      <c r="I1016" s="48">
        <v>0</v>
      </c>
      <c r="J1016" s="47" t="s">
        <v>102</v>
      </c>
      <c r="K1016" s="49">
        <v>0</v>
      </c>
      <c r="L1016" s="49" t="s">
        <v>102</v>
      </c>
      <c r="M1016" s="46" t="s">
        <v>102</v>
      </c>
      <c r="N1016" s="50">
        <v>0</v>
      </c>
      <c r="O1016" s="50">
        <v>0</v>
      </c>
      <c r="P1016" s="50">
        <v>0</v>
      </c>
      <c r="Q1016" s="46" t="s">
        <v>102</v>
      </c>
      <c r="R1016" s="46" t="s">
        <v>102</v>
      </c>
      <c r="S1016" s="46" t="s">
        <v>2947</v>
      </c>
      <c r="T1016" s="46" t="s">
        <v>102</v>
      </c>
      <c r="U1016" s="51">
        <v>3</v>
      </c>
    </row>
    <row r="1017" spans="2:21" ht="14.5" outlineLevel="2">
      <c r="B1017" s="36" t="s">
        <v>3297</v>
      </c>
      <c r="C1017" s="37" t="s">
        <v>3147</v>
      </c>
      <c r="D1017" s="38" t="s">
        <v>2804</v>
      </c>
      <c r="E1017" s="39" t="s">
        <v>102</v>
      </c>
      <c r="F1017" s="38" t="s">
        <v>102</v>
      </c>
      <c r="G1017" s="39" t="s">
        <v>102</v>
      </c>
      <c r="H1017" s="40">
        <v>0</v>
      </c>
      <c r="I1017" s="40">
        <v>0</v>
      </c>
      <c r="J1017" s="39" t="s">
        <v>2613</v>
      </c>
      <c r="K1017" s="41">
        <v>0</v>
      </c>
      <c r="L1017" s="41" t="s">
        <v>2614</v>
      </c>
      <c r="M1017" s="38" t="s">
        <v>117</v>
      </c>
      <c r="N1017" s="42">
        <v>0</v>
      </c>
      <c r="O1017" s="42">
        <v>0</v>
      </c>
      <c r="P1017" s="42">
        <v>0</v>
      </c>
      <c r="Q1017" s="38" t="s">
        <v>102</v>
      </c>
      <c r="R1017" s="38" t="s">
        <v>102</v>
      </c>
      <c r="S1017" s="38" t="s">
        <v>102</v>
      </c>
      <c r="T1017" s="38" t="s">
        <v>1019</v>
      </c>
      <c r="U1017" s="43">
        <v>4</v>
      </c>
    </row>
    <row r="1018" spans="2:21" ht="14.5" outlineLevel="3">
      <c r="B1018" s="44" t="s">
        <v>3298</v>
      </c>
      <c r="C1018" s="45" t="s">
        <v>3149</v>
      </c>
      <c r="D1018" s="46" t="s">
        <v>2804</v>
      </c>
      <c r="E1018" s="47" t="s">
        <v>102</v>
      </c>
      <c r="F1018" s="46" t="s">
        <v>102</v>
      </c>
      <c r="G1018" s="47" t="s">
        <v>102</v>
      </c>
      <c r="H1018" s="48">
        <v>0</v>
      </c>
      <c r="I1018" s="48">
        <v>0</v>
      </c>
      <c r="J1018" s="47" t="s">
        <v>2613</v>
      </c>
      <c r="K1018" s="49">
        <v>0</v>
      </c>
      <c r="L1018" s="49" t="s">
        <v>2614</v>
      </c>
      <c r="M1018" s="46" t="s">
        <v>117</v>
      </c>
      <c r="N1018" s="50">
        <v>0</v>
      </c>
      <c r="O1018" s="50">
        <v>0</v>
      </c>
      <c r="P1018" s="50">
        <v>0</v>
      </c>
      <c r="Q1018" s="46" t="s">
        <v>102</v>
      </c>
      <c r="R1018" s="46" t="s">
        <v>102</v>
      </c>
      <c r="S1018" s="46" t="s">
        <v>102</v>
      </c>
      <c r="T1018" s="46" t="s">
        <v>2815</v>
      </c>
      <c r="U1018" s="51">
        <v>4</v>
      </c>
    </row>
    <row r="1019" spans="2:21" ht="14.5" outlineLevel="2">
      <c r="B1019" s="36" t="s">
        <v>3299</v>
      </c>
      <c r="C1019" s="37" t="s">
        <v>3151</v>
      </c>
      <c r="D1019" s="38" t="s">
        <v>2804</v>
      </c>
      <c r="E1019" s="39" t="s">
        <v>102</v>
      </c>
      <c r="F1019" s="38" t="s">
        <v>102</v>
      </c>
      <c r="G1019" s="39" t="s">
        <v>102</v>
      </c>
      <c r="H1019" s="40">
        <v>0</v>
      </c>
      <c r="I1019" s="40">
        <v>0</v>
      </c>
      <c r="J1019" s="39" t="s">
        <v>2613</v>
      </c>
      <c r="K1019" s="41">
        <v>0</v>
      </c>
      <c r="L1019" s="41" t="s">
        <v>2614</v>
      </c>
      <c r="M1019" s="38" t="s">
        <v>117</v>
      </c>
      <c r="N1019" s="42">
        <v>0</v>
      </c>
      <c r="O1019" s="42">
        <v>0</v>
      </c>
      <c r="P1019" s="42">
        <v>0</v>
      </c>
      <c r="Q1019" s="38" t="s">
        <v>102</v>
      </c>
      <c r="R1019" s="38" t="s">
        <v>102</v>
      </c>
      <c r="S1019" s="38" t="s">
        <v>102</v>
      </c>
      <c r="T1019" s="38" t="s">
        <v>461</v>
      </c>
      <c r="U1019" s="43">
        <v>4</v>
      </c>
    </row>
    <row r="1020" spans="2:21" ht="14.5" outlineLevel="3">
      <c r="B1020" s="44" t="s">
        <v>3300</v>
      </c>
      <c r="C1020" s="45" t="s">
        <v>3153</v>
      </c>
      <c r="D1020" s="46" t="s">
        <v>102</v>
      </c>
      <c r="E1020" s="47" t="s">
        <v>102</v>
      </c>
      <c r="F1020" s="46" t="s">
        <v>102</v>
      </c>
      <c r="G1020" s="47" t="s">
        <v>102</v>
      </c>
      <c r="H1020" s="48">
        <v>0</v>
      </c>
      <c r="I1020" s="48">
        <v>0</v>
      </c>
      <c r="J1020" s="47" t="s">
        <v>102</v>
      </c>
      <c r="K1020" s="49">
        <v>0</v>
      </c>
      <c r="L1020" s="49" t="s">
        <v>102</v>
      </c>
      <c r="M1020" s="46" t="s">
        <v>102</v>
      </c>
      <c r="N1020" s="50">
        <v>0</v>
      </c>
      <c r="O1020" s="50">
        <v>0</v>
      </c>
      <c r="P1020" s="50">
        <v>0</v>
      </c>
      <c r="Q1020" s="46" t="s">
        <v>102</v>
      </c>
      <c r="R1020" s="46" t="s">
        <v>102</v>
      </c>
      <c r="S1020" s="46" t="s">
        <v>2956</v>
      </c>
      <c r="T1020" s="46" t="s">
        <v>102</v>
      </c>
      <c r="U1020" s="51">
        <v>3</v>
      </c>
    </row>
    <row r="1021" spans="2:21" ht="14.5" outlineLevel="3">
      <c r="B1021" s="44" t="s">
        <v>3301</v>
      </c>
      <c r="C1021" s="45" t="s">
        <v>3155</v>
      </c>
      <c r="D1021" s="46" t="s">
        <v>2804</v>
      </c>
      <c r="E1021" s="47" t="s">
        <v>102</v>
      </c>
      <c r="F1021" s="46" t="s">
        <v>102</v>
      </c>
      <c r="G1021" s="47" t="s">
        <v>102</v>
      </c>
      <c r="H1021" s="48">
        <v>0</v>
      </c>
      <c r="I1021" s="48">
        <v>0</v>
      </c>
      <c r="J1021" s="47" t="s">
        <v>2613</v>
      </c>
      <c r="K1021" s="49">
        <v>0</v>
      </c>
      <c r="L1021" s="49" t="s">
        <v>2614</v>
      </c>
      <c r="M1021" s="46" t="s">
        <v>117</v>
      </c>
      <c r="N1021" s="50">
        <v>0</v>
      </c>
      <c r="O1021" s="50">
        <v>0</v>
      </c>
      <c r="P1021" s="50">
        <v>0</v>
      </c>
      <c r="Q1021" s="46" t="s">
        <v>102</v>
      </c>
      <c r="R1021" s="46" t="s">
        <v>102</v>
      </c>
      <c r="S1021" s="46" t="s">
        <v>102</v>
      </c>
      <c r="T1021" s="46" t="s">
        <v>1019</v>
      </c>
      <c r="U1021" s="51">
        <v>4</v>
      </c>
    </row>
    <row r="1022" spans="2:21" ht="14.5" outlineLevel="2">
      <c r="B1022" s="36" t="s">
        <v>3302</v>
      </c>
      <c r="C1022" s="37" t="s">
        <v>3157</v>
      </c>
      <c r="D1022" s="38" t="s">
        <v>102</v>
      </c>
      <c r="E1022" s="39" t="s">
        <v>102</v>
      </c>
      <c r="F1022" s="38" t="s">
        <v>102</v>
      </c>
      <c r="G1022" s="39" t="s">
        <v>102</v>
      </c>
      <c r="H1022" s="40">
        <v>0</v>
      </c>
      <c r="I1022" s="40">
        <v>0</v>
      </c>
      <c r="J1022" s="39" t="s">
        <v>102</v>
      </c>
      <c r="K1022" s="41">
        <v>0</v>
      </c>
      <c r="L1022" s="41" t="s">
        <v>102</v>
      </c>
      <c r="M1022" s="38" t="s">
        <v>102</v>
      </c>
      <c r="N1022" s="42">
        <v>0</v>
      </c>
      <c r="O1022" s="42">
        <v>0</v>
      </c>
      <c r="P1022" s="42">
        <v>0</v>
      </c>
      <c r="Q1022" s="38" t="s">
        <v>102</v>
      </c>
      <c r="R1022" s="38" t="s">
        <v>102</v>
      </c>
      <c r="S1022" s="38" t="s">
        <v>2961</v>
      </c>
      <c r="T1022" s="38" t="s">
        <v>102</v>
      </c>
      <c r="U1022" s="43">
        <v>3</v>
      </c>
    </row>
    <row r="1023" spans="2:21" ht="14.5" outlineLevel="3">
      <c r="B1023" s="44" t="s">
        <v>3303</v>
      </c>
      <c r="C1023" s="45" t="s">
        <v>3159</v>
      </c>
      <c r="D1023" s="46" t="s">
        <v>2804</v>
      </c>
      <c r="E1023" s="47" t="s">
        <v>102</v>
      </c>
      <c r="F1023" s="46" t="s">
        <v>102</v>
      </c>
      <c r="G1023" s="47" t="s">
        <v>102</v>
      </c>
      <c r="H1023" s="48">
        <v>0</v>
      </c>
      <c r="I1023" s="48">
        <v>0</v>
      </c>
      <c r="J1023" s="47" t="s">
        <v>2613</v>
      </c>
      <c r="K1023" s="49">
        <v>0</v>
      </c>
      <c r="L1023" s="49" t="s">
        <v>2614</v>
      </c>
      <c r="M1023" s="46" t="s">
        <v>117</v>
      </c>
      <c r="N1023" s="50">
        <v>0</v>
      </c>
      <c r="O1023" s="50">
        <v>0</v>
      </c>
      <c r="P1023" s="50">
        <v>0</v>
      </c>
      <c r="Q1023" s="46" t="s">
        <v>102</v>
      </c>
      <c r="R1023" s="46" t="s">
        <v>102</v>
      </c>
      <c r="S1023" s="46" t="s">
        <v>102</v>
      </c>
      <c r="T1023" s="46" t="s">
        <v>1019</v>
      </c>
      <c r="U1023" s="51">
        <v>4</v>
      </c>
    </row>
    <row r="1024" spans="2:21" ht="14.5" outlineLevel="2">
      <c r="B1024" s="36" t="s">
        <v>3304</v>
      </c>
      <c r="C1024" s="37" t="s">
        <v>3161</v>
      </c>
      <c r="D1024" s="38" t="s">
        <v>2804</v>
      </c>
      <c r="E1024" s="39" t="s">
        <v>102</v>
      </c>
      <c r="F1024" s="38" t="s">
        <v>102</v>
      </c>
      <c r="G1024" s="39" t="s">
        <v>102</v>
      </c>
      <c r="H1024" s="40">
        <v>0</v>
      </c>
      <c r="I1024" s="40">
        <v>0</v>
      </c>
      <c r="J1024" s="39" t="s">
        <v>2613</v>
      </c>
      <c r="K1024" s="41">
        <v>0</v>
      </c>
      <c r="L1024" s="41" t="s">
        <v>2614</v>
      </c>
      <c r="M1024" s="38" t="s">
        <v>117</v>
      </c>
      <c r="N1024" s="42">
        <v>0</v>
      </c>
      <c r="O1024" s="42">
        <v>0</v>
      </c>
      <c r="P1024" s="42">
        <v>0</v>
      </c>
      <c r="Q1024" s="38" t="s">
        <v>102</v>
      </c>
      <c r="R1024" s="38" t="s">
        <v>102</v>
      </c>
      <c r="S1024" s="38" t="s">
        <v>102</v>
      </c>
      <c r="T1024" s="38" t="s">
        <v>2828</v>
      </c>
      <c r="U1024" s="43">
        <v>4</v>
      </c>
    </row>
    <row r="1025" spans="2:21" ht="14.5" outlineLevel="3">
      <c r="B1025" s="44" t="s">
        <v>3305</v>
      </c>
      <c r="C1025" s="45" t="s">
        <v>3163</v>
      </c>
      <c r="D1025" s="46" t="s">
        <v>102</v>
      </c>
      <c r="E1025" s="47" t="s">
        <v>102</v>
      </c>
      <c r="F1025" s="46" t="s">
        <v>102</v>
      </c>
      <c r="G1025" s="47" t="s">
        <v>102</v>
      </c>
      <c r="H1025" s="48">
        <v>0</v>
      </c>
      <c r="I1025" s="48">
        <v>0</v>
      </c>
      <c r="J1025" s="47" t="s">
        <v>102</v>
      </c>
      <c r="K1025" s="49">
        <v>0</v>
      </c>
      <c r="L1025" s="49" t="s">
        <v>102</v>
      </c>
      <c r="M1025" s="46" t="s">
        <v>102</v>
      </c>
      <c r="N1025" s="50">
        <v>0</v>
      </c>
      <c r="O1025" s="50">
        <v>0</v>
      </c>
      <c r="P1025" s="50">
        <v>0</v>
      </c>
      <c r="Q1025" s="46" t="s">
        <v>102</v>
      </c>
      <c r="R1025" s="46" t="s">
        <v>102</v>
      </c>
      <c r="S1025" s="46" t="s">
        <v>2968</v>
      </c>
      <c r="T1025" s="46" t="s">
        <v>102</v>
      </c>
      <c r="U1025" s="51">
        <v>3</v>
      </c>
    </row>
    <row r="1026" spans="2:21" ht="14.5" outlineLevel="3">
      <c r="B1026" s="44" t="s">
        <v>3306</v>
      </c>
      <c r="C1026" s="45" t="s">
        <v>3165</v>
      </c>
      <c r="D1026" s="46" t="s">
        <v>2804</v>
      </c>
      <c r="E1026" s="47" t="s">
        <v>102</v>
      </c>
      <c r="F1026" s="46" t="s">
        <v>102</v>
      </c>
      <c r="G1026" s="47" t="s">
        <v>102</v>
      </c>
      <c r="H1026" s="48">
        <v>0</v>
      </c>
      <c r="I1026" s="48">
        <v>0</v>
      </c>
      <c r="J1026" s="47" t="s">
        <v>2613</v>
      </c>
      <c r="K1026" s="49">
        <v>0</v>
      </c>
      <c r="L1026" s="49" t="s">
        <v>2614</v>
      </c>
      <c r="M1026" s="46" t="s">
        <v>117</v>
      </c>
      <c r="N1026" s="50">
        <v>0</v>
      </c>
      <c r="O1026" s="50">
        <v>0</v>
      </c>
      <c r="P1026" s="50">
        <v>0</v>
      </c>
      <c r="Q1026" s="46" t="s">
        <v>102</v>
      </c>
      <c r="R1026" s="46" t="s">
        <v>102</v>
      </c>
      <c r="S1026" s="46" t="s">
        <v>102</v>
      </c>
      <c r="T1026" s="46" t="s">
        <v>1019</v>
      </c>
      <c r="U1026" s="51">
        <v>4</v>
      </c>
    </row>
    <row r="1027" spans="2:21" ht="14.5" outlineLevel="3">
      <c r="B1027" s="44" t="s">
        <v>3307</v>
      </c>
      <c r="C1027" s="45" t="s">
        <v>3167</v>
      </c>
      <c r="D1027" s="46" t="s">
        <v>102</v>
      </c>
      <c r="E1027" s="47" t="s">
        <v>102</v>
      </c>
      <c r="F1027" s="46" t="s">
        <v>102</v>
      </c>
      <c r="G1027" s="47" t="s">
        <v>102</v>
      </c>
      <c r="H1027" s="48">
        <v>0</v>
      </c>
      <c r="I1027" s="48">
        <v>0</v>
      </c>
      <c r="J1027" s="47" t="s">
        <v>102</v>
      </c>
      <c r="K1027" s="49">
        <v>0</v>
      </c>
      <c r="L1027" s="49" t="s">
        <v>102</v>
      </c>
      <c r="M1027" s="46" t="s">
        <v>102</v>
      </c>
      <c r="N1027" s="50">
        <v>0</v>
      </c>
      <c r="O1027" s="50">
        <v>0</v>
      </c>
      <c r="P1027" s="50">
        <v>0</v>
      </c>
      <c r="Q1027" s="46" t="s">
        <v>102</v>
      </c>
      <c r="R1027" s="46" t="s">
        <v>102</v>
      </c>
      <c r="S1027" s="46" t="s">
        <v>2973</v>
      </c>
      <c r="T1027" s="46" t="s">
        <v>102</v>
      </c>
      <c r="U1027" s="51">
        <v>3</v>
      </c>
    </row>
    <row r="1028" spans="2:21" ht="14.5" outlineLevel="3">
      <c r="B1028" s="44" t="s">
        <v>3308</v>
      </c>
      <c r="C1028" s="45" t="s">
        <v>3169</v>
      </c>
      <c r="D1028" s="46" t="s">
        <v>2804</v>
      </c>
      <c r="E1028" s="47" t="s">
        <v>102</v>
      </c>
      <c r="F1028" s="46" t="s">
        <v>102</v>
      </c>
      <c r="G1028" s="47" t="s">
        <v>102</v>
      </c>
      <c r="H1028" s="48">
        <v>0</v>
      </c>
      <c r="I1028" s="48">
        <v>0</v>
      </c>
      <c r="J1028" s="47" t="s">
        <v>2613</v>
      </c>
      <c r="K1028" s="49">
        <v>0</v>
      </c>
      <c r="L1028" s="49" t="s">
        <v>2614</v>
      </c>
      <c r="M1028" s="46" t="s">
        <v>117</v>
      </c>
      <c r="N1028" s="50">
        <v>0</v>
      </c>
      <c r="O1028" s="50">
        <v>0</v>
      </c>
      <c r="P1028" s="50">
        <v>0</v>
      </c>
      <c r="Q1028" s="46" t="s">
        <v>102</v>
      </c>
      <c r="R1028" s="46" t="s">
        <v>102</v>
      </c>
      <c r="S1028" s="46" t="s">
        <v>102</v>
      </c>
      <c r="T1028" s="46" t="s">
        <v>1019</v>
      </c>
      <c r="U1028" s="51">
        <v>4</v>
      </c>
    </row>
    <row r="1029" spans="2:21" ht="14.5" outlineLevel="3">
      <c r="B1029" s="44" t="s">
        <v>3309</v>
      </c>
      <c r="C1029" s="45" t="s">
        <v>3171</v>
      </c>
      <c r="D1029" s="46" t="s">
        <v>2804</v>
      </c>
      <c r="E1029" s="47" t="s">
        <v>102</v>
      </c>
      <c r="F1029" s="46" t="s">
        <v>102</v>
      </c>
      <c r="G1029" s="47" t="s">
        <v>102</v>
      </c>
      <c r="H1029" s="48">
        <v>0</v>
      </c>
      <c r="I1029" s="48">
        <v>0</v>
      </c>
      <c r="J1029" s="47" t="s">
        <v>2613</v>
      </c>
      <c r="K1029" s="49">
        <v>0</v>
      </c>
      <c r="L1029" s="49" t="s">
        <v>2614</v>
      </c>
      <c r="M1029" s="46" t="s">
        <v>117</v>
      </c>
      <c r="N1029" s="50">
        <v>0</v>
      </c>
      <c r="O1029" s="50">
        <v>0</v>
      </c>
      <c r="P1029" s="50">
        <v>0</v>
      </c>
      <c r="Q1029" s="46" t="s">
        <v>102</v>
      </c>
      <c r="R1029" s="46" t="s">
        <v>102</v>
      </c>
      <c r="S1029" s="46" t="s">
        <v>102</v>
      </c>
      <c r="T1029" s="46" t="s">
        <v>2740</v>
      </c>
      <c r="U1029" s="51">
        <v>4</v>
      </c>
    </row>
    <row r="1030" spans="2:21" ht="14.5" outlineLevel="2">
      <c r="B1030" s="36" t="s">
        <v>3310</v>
      </c>
      <c r="C1030" s="37" t="s">
        <v>3169</v>
      </c>
      <c r="D1030" s="38" t="s">
        <v>2804</v>
      </c>
      <c r="E1030" s="39" t="s">
        <v>102</v>
      </c>
      <c r="F1030" s="38" t="s">
        <v>102</v>
      </c>
      <c r="G1030" s="39" t="s">
        <v>102</v>
      </c>
      <c r="H1030" s="40">
        <v>0</v>
      </c>
      <c r="I1030" s="40">
        <v>0</v>
      </c>
      <c r="J1030" s="39" t="s">
        <v>2613</v>
      </c>
      <c r="K1030" s="41">
        <v>0</v>
      </c>
      <c r="L1030" s="41" t="s">
        <v>2614</v>
      </c>
      <c r="M1030" s="38" t="s">
        <v>117</v>
      </c>
      <c r="N1030" s="42">
        <v>0</v>
      </c>
      <c r="O1030" s="42">
        <v>0</v>
      </c>
      <c r="P1030" s="42">
        <v>0</v>
      </c>
      <c r="Q1030" s="38" t="s">
        <v>102</v>
      </c>
      <c r="R1030" s="38" t="s">
        <v>102</v>
      </c>
      <c r="S1030" s="38" t="s">
        <v>102</v>
      </c>
      <c r="T1030" s="38" t="s">
        <v>2815</v>
      </c>
      <c r="U1030" s="43">
        <v>4</v>
      </c>
    </row>
    <row r="1031" spans="2:21" ht="14.5" outlineLevel="3">
      <c r="B1031" s="44" t="s">
        <v>3311</v>
      </c>
      <c r="C1031" s="45" t="s">
        <v>3174</v>
      </c>
      <c r="D1031" s="46" t="s">
        <v>2804</v>
      </c>
      <c r="E1031" s="47" t="s">
        <v>102</v>
      </c>
      <c r="F1031" s="46" t="s">
        <v>102</v>
      </c>
      <c r="G1031" s="47" t="s">
        <v>102</v>
      </c>
      <c r="H1031" s="48">
        <v>0</v>
      </c>
      <c r="I1031" s="48">
        <v>0</v>
      </c>
      <c r="J1031" s="47" t="s">
        <v>2613</v>
      </c>
      <c r="K1031" s="49">
        <v>0</v>
      </c>
      <c r="L1031" s="49" t="s">
        <v>2614</v>
      </c>
      <c r="M1031" s="46" t="s">
        <v>117</v>
      </c>
      <c r="N1031" s="50">
        <v>0</v>
      </c>
      <c r="O1031" s="50">
        <v>0</v>
      </c>
      <c r="P1031" s="50">
        <v>0</v>
      </c>
      <c r="Q1031" s="46" t="s">
        <v>102</v>
      </c>
      <c r="R1031" s="46" t="s">
        <v>102</v>
      </c>
      <c r="S1031" s="46" t="s">
        <v>102</v>
      </c>
      <c r="T1031" s="46" t="s">
        <v>2787</v>
      </c>
      <c r="U1031" s="51">
        <v>4</v>
      </c>
    </row>
    <row r="1032" spans="2:21" ht="14.5" outlineLevel="3">
      <c r="B1032" s="44" t="s">
        <v>3312</v>
      </c>
      <c r="C1032" s="45" t="s">
        <v>3176</v>
      </c>
      <c r="D1032" s="46" t="s">
        <v>2804</v>
      </c>
      <c r="E1032" s="47" t="s">
        <v>102</v>
      </c>
      <c r="F1032" s="46" t="s">
        <v>102</v>
      </c>
      <c r="G1032" s="47" t="s">
        <v>102</v>
      </c>
      <c r="H1032" s="48">
        <v>0</v>
      </c>
      <c r="I1032" s="48">
        <v>0</v>
      </c>
      <c r="J1032" s="47" t="s">
        <v>2613</v>
      </c>
      <c r="K1032" s="49">
        <v>0</v>
      </c>
      <c r="L1032" s="49" t="s">
        <v>2614</v>
      </c>
      <c r="M1032" s="46" t="s">
        <v>117</v>
      </c>
      <c r="N1032" s="50">
        <v>0</v>
      </c>
      <c r="O1032" s="50">
        <v>0</v>
      </c>
      <c r="P1032" s="50">
        <v>0</v>
      </c>
      <c r="Q1032" s="46" t="s">
        <v>102</v>
      </c>
      <c r="R1032" s="46" t="s">
        <v>102</v>
      </c>
      <c r="S1032" s="46" t="s">
        <v>102</v>
      </c>
      <c r="T1032" s="46" t="s">
        <v>461</v>
      </c>
      <c r="U1032" s="51">
        <v>4</v>
      </c>
    </row>
    <row r="1033" spans="2:21" ht="14.5" outlineLevel="2">
      <c r="B1033" s="36" t="s">
        <v>3313</v>
      </c>
      <c r="C1033" s="37" t="s">
        <v>3178</v>
      </c>
      <c r="D1033" s="38" t="s">
        <v>102</v>
      </c>
      <c r="E1033" s="39" t="s">
        <v>102</v>
      </c>
      <c r="F1033" s="38" t="s">
        <v>102</v>
      </c>
      <c r="G1033" s="39" t="s">
        <v>102</v>
      </c>
      <c r="H1033" s="40">
        <v>0</v>
      </c>
      <c r="I1033" s="40">
        <v>0</v>
      </c>
      <c r="J1033" s="39" t="s">
        <v>102</v>
      </c>
      <c r="K1033" s="41">
        <v>0</v>
      </c>
      <c r="L1033" s="41" t="s">
        <v>102</v>
      </c>
      <c r="M1033" s="38" t="s">
        <v>102</v>
      </c>
      <c r="N1033" s="42">
        <v>0</v>
      </c>
      <c r="O1033" s="42">
        <v>0</v>
      </c>
      <c r="P1033" s="42">
        <v>0</v>
      </c>
      <c r="Q1033" s="38" t="s">
        <v>102</v>
      </c>
      <c r="R1033" s="38" t="s">
        <v>102</v>
      </c>
      <c r="S1033" s="38" t="s">
        <v>2985</v>
      </c>
      <c r="T1033" s="38" t="s">
        <v>102</v>
      </c>
      <c r="U1033" s="43">
        <v>3</v>
      </c>
    </row>
    <row r="1034" spans="2:21" ht="14.5" outlineLevel="3">
      <c r="B1034" s="44" t="s">
        <v>3314</v>
      </c>
      <c r="C1034" s="45" t="s">
        <v>3180</v>
      </c>
      <c r="D1034" s="46" t="s">
        <v>2804</v>
      </c>
      <c r="E1034" s="47" t="s">
        <v>102</v>
      </c>
      <c r="F1034" s="46" t="s">
        <v>102</v>
      </c>
      <c r="G1034" s="47" t="s">
        <v>102</v>
      </c>
      <c r="H1034" s="48">
        <v>0</v>
      </c>
      <c r="I1034" s="48">
        <v>0</v>
      </c>
      <c r="J1034" s="47" t="s">
        <v>2613</v>
      </c>
      <c r="K1034" s="49">
        <v>0</v>
      </c>
      <c r="L1034" s="49" t="s">
        <v>2614</v>
      </c>
      <c r="M1034" s="46" t="s">
        <v>117</v>
      </c>
      <c r="N1034" s="50">
        <v>0</v>
      </c>
      <c r="O1034" s="50">
        <v>0</v>
      </c>
      <c r="P1034" s="50">
        <v>0</v>
      </c>
      <c r="Q1034" s="46" t="s">
        <v>102</v>
      </c>
      <c r="R1034" s="46" t="s">
        <v>102</v>
      </c>
      <c r="S1034" s="46" t="s">
        <v>102</v>
      </c>
      <c r="T1034" s="46" t="s">
        <v>1019</v>
      </c>
      <c r="U1034" s="51">
        <v>4</v>
      </c>
    </row>
    <row r="1035" spans="2:21" ht="14.5" outlineLevel="2">
      <c r="B1035" s="36" t="s">
        <v>3315</v>
      </c>
      <c r="C1035" s="37" t="s">
        <v>3182</v>
      </c>
      <c r="D1035" s="38" t="s">
        <v>2804</v>
      </c>
      <c r="E1035" s="39" t="s">
        <v>102</v>
      </c>
      <c r="F1035" s="38" t="s">
        <v>102</v>
      </c>
      <c r="G1035" s="39" t="s">
        <v>102</v>
      </c>
      <c r="H1035" s="40">
        <v>0</v>
      </c>
      <c r="I1035" s="40">
        <v>0</v>
      </c>
      <c r="J1035" s="39" t="s">
        <v>2613</v>
      </c>
      <c r="K1035" s="41">
        <v>0</v>
      </c>
      <c r="L1035" s="41" t="s">
        <v>2614</v>
      </c>
      <c r="M1035" s="38" t="s">
        <v>117</v>
      </c>
      <c r="N1035" s="42">
        <v>0</v>
      </c>
      <c r="O1035" s="42">
        <v>0</v>
      </c>
      <c r="P1035" s="42">
        <v>0</v>
      </c>
      <c r="Q1035" s="38" t="s">
        <v>102</v>
      </c>
      <c r="R1035" s="38" t="s">
        <v>102</v>
      </c>
      <c r="S1035" s="38" t="s">
        <v>102</v>
      </c>
      <c r="T1035" s="38" t="s">
        <v>2815</v>
      </c>
      <c r="U1035" s="43">
        <v>4</v>
      </c>
    </row>
    <row r="1036" spans="2:21" ht="14.5" outlineLevel="3">
      <c r="B1036" s="44" t="s">
        <v>3316</v>
      </c>
      <c r="C1036" s="45" t="s">
        <v>3184</v>
      </c>
      <c r="D1036" s="46" t="s">
        <v>102</v>
      </c>
      <c r="E1036" s="47" t="s">
        <v>102</v>
      </c>
      <c r="F1036" s="46" t="s">
        <v>102</v>
      </c>
      <c r="G1036" s="47" t="s">
        <v>102</v>
      </c>
      <c r="H1036" s="48">
        <v>0</v>
      </c>
      <c r="I1036" s="48">
        <v>0</v>
      </c>
      <c r="J1036" s="47" t="s">
        <v>102</v>
      </c>
      <c r="K1036" s="49">
        <v>0</v>
      </c>
      <c r="L1036" s="49" t="s">
        <v>102</v>
      </c>
      <c r="M1036" s="46" t="s">
        <v>102</v>
      </c>
      <c r="N1036" s="50">
        <v>0</v>
      </c>
      <c r="O1036" s="50">
        <v>0</v>
      </c>
      <c r="P1036" s="50">
        <v>0</v>
      </c>
      <c r="Q1036" s="46" t="s">
        <v>102</v>
      </c>
      <c r="R1036" s="46" t="s">
        <v>102</v>
      </c>
      <c r="S1036" s="46" t="s">
        <v>2992</v>
      </c>
      <c r="T1036" s="46" t="s">
        <v>102</v>
      </c>
      <c r="U1036" s="51">
        <v>3</v>
      </c>
    </row>
    <row r="1037" spans="2:21" ht="14.5" outlineLevel="2">
      <c r="B1037" s="36" t="s">
        <v>3317</v>
      </c>
      <c r="C1037" s="37" t="s">
        <v>3186</v>
      </c>
      <c r="D1037" s="38" t="s">
        <v>2804</v>
      </c>
      <c r="E1037" s="39" t="s">
        <v>102</v>
      </c>
      <c r="F1037" s="38" t="s">
        <v>102</v>
      </c>
      <c r="G1037" s="39" t="s">
        <v>102</v>
      </c>
      <c r="H1037" s="40">
        <v>0</v>
      </c>
      <c r="I1037" s="40">
        <v>0</v>
      </c>
      <c r="J1037" s="39" t="s">
        <v>2613</v>
      </c>
      <c r="K1037" s="41">
        <v>0</v>
      </c>
      <c r="L1037" s="41" t="s">
        <v>2614</v>
      </c>
      <c r="M1037" s="38" t="s">
        <v>117</v>
      </c>
      <c r="N1037" s="42">
        <v>0</v>
      </c>
      <c r="O1037" s="42">
        <v>0</v>
      </c>
      <c r="P1037" s="42">
        <v>0</v>
      </c>
      <c r="Q1037" s="38" t="s">
        <v>102</v>
      </c>
      <c r="R1037" s="38" t="s">
        <v>102</v>
      </c>
      <c r="S1037" s="38" t="s">
        <v>102</v>
      </c>
      <c r="T1037" s="38" t="s">
        <v>1019</v>
      </c>
      <c r="U1037" s="43">
        <v>4</v>
      </c>
    </row>
    <row r="1038" spans="2:21" ht="14.5" outlineLevel="3">
      <c r="B1038" s="44" t="s">
        <v>3318</v>
      </c>
      <c r="C1038" s="45" t="s">
        <v>3188</v>
      </c>
      <c r="D1038" s="46" t="s">
        <v>102</v>
      </c>
      <c r="E1038" s="47" t="s">
        <v>102</v>
      </c>
      <c r="F1038" s="46" t="s">
        <v>102</v>
      </c>
      <c r="G1038" s="47" t="s">
        <v>102</v>
      </c>
      <c r="H1038" s="48">
        <v>0</v>
      </c>
      <c r="I1038" s="48">
        <v>0</v>
      </c>
      <c r="J1038" s="47" t="s">
        <v>102</v>
      </c>
      <c r="K1038" s="49">
        <v>0</v>
      </c>
      <c r="L1038" s="49" t="s">
        <v>102</v>
      </c>
      <c r="M1038" s="46" t="s">
        <v>102</v>
      </c>
      <c r="N1038" s="50">
        <v>0</v>
      </c>
      <c r="O1038" s="50">
        <v>0</v>
      </c>
      <c r="P1038" s="50">
        <v>0</v>
      </c>
      <c r="Q1038" s="46" t="s">
        <v>102</v>
      </c>
      <c r="R1038" s="46" t="s">
        <v>102</v>
      </c>
      <c r="S1038" s="46" t="s">
        <v>2997</v>
      </c>
      <c r="T1038" s="46" t="s">
        <v>102</v>
      </c>
      <c r="U1038" s="51">
        <v>3</v>
      </c>
    </row>
    <row r="1039" spans="2:21" ht="14.5" outlineLevel="2">
      <c r="B1039" s="36" t="s">
        <v>3319</v>
      </c>
      <c r="C1039" s="37" t="s">
        <v>3190</v>
      </c>
      <c r="D1039" s="38" t="s">
        <v>2804</v>
      </c>
      <c r="E1039" s="39" t="s">
        <v>102</v>
      </c>
      <c r="F1039" s="38" t="s">
        <v>102</v>
      </c>
      <c r="G1039" s="39" t="s">
        <v>102</v>
      </c>
      <c r="H1039" s="40">
        <v>0</v>
      </c>
      <c r="I1039" s="40">
        <v>0</v>
      </c>
      <c r="J1039" s="39" t="s">
        <v>2613</v>
      </c>
      <c r="K1039" s="41">
        <v>0</v>
      </c>
      <c r="L1039" s="41" t="s">
        <v>2614</v>
      </c>
      <c r="M1039" s="38" t="s">
        <v>117</v>
      </c>
      <c r="N1039" s="42">
        <v>0</v>
      </c>
      <c r="O1039" s="42">
        <v>0</v>
      </c>
      <c r="P1039" s="42">
        <v>0</v>
      </c>
      <c r="Q1039" s="38" t="s">
        <v>102</v>
      </c>
      <c r="R1039" s="38" t="s">
        <v>102</v>
      </c>
      <c r="S1039" s="38" t="s">
        <v>102</v>
      </c>
      <c r="T1039" s="38" t="s">
        <v>1019</v>
      </c>
      <c r="U1039" s="43">
        <v>4</v>
      </c>
    </row>
    <row r="1040" spans="2:21" ht="14.5" outlineLevel="3">
      <c r="B1040" s="44" t="s">
        <v>3320</v>
      </c>
      <c r="C1040" s="45" t="s">
        <v>3192</v>
      </c>
      <c r="D1040" s="46" t="s">
        <v>102</v>
      </c>
      <c r="E1040" s="47" t="s">
        <v>102</v>
      </c>
      <c r="F1040" s="46" t="s">
        <v>102</v>
      </c>
      <c r="G1040" s="47" t="s">
        <v>102</v>
      </c>
      <c r="H1040" s="48">
        <v>0</v>
      </c>
      <c r="I1040" s="48">
        <v>0</v>
      </c>
      <c r="J1040" s="47" t="s">
        <v>102</v>
      </c>
      <c r="K1040" s="49">
        <v>0</v>
      </c>
      <c r="L1040" s="49" t="s">
        <v>102</v>
      </c>
      <c r="M1040" s="46" t="s">
        <v>102</v>
      </c>
      <c r="N1040" s="50">
        <v>0</v>
      </c>
      <c r="O1040" s="50">
        <v>0</v>
      </c>
      <c r="P1040" s="50">
        <v>0</v>
      </c>
      <c r="Q1040" s="46" t="s">
        <v>102</v>
      </c>
      <c r="R1040" s="46" t="s">
        <v>102</v>
      </c>
      <c r="S1040" s="46" t="s">
        <v>3002</v>
      </c>
      <c r="T1040" s="46" t="s">
        <v>102</v>
      </c>
      <c r="U1040" s="51">
        <v>3</v>
      </c>
    </row>
    <row r="1041" spans="2:21" ht="14.5" outlineLevel="3">
      <c r="B1041" s="44" t="s">
        <v>3321</v>
      </c>
      <c r="C1041" s="45" t="s">
        <v>3194</v>
      </c>
      <c r="D1041" s="46" t="s">
        <v>2804</v>
      </c>
      <c r="E1041" s="47" t="s">
        <v>102</v>
      </c>
      <c r="F1041" s="46" t="s">
        <v>102</v>
      </c>
      <c r="G1041" s="47" t="s">
        <v>102</v>
      </c>
      <c r="H1041" s="48">
        <v>0</v>
      </c>
      <c r="I1041" s="48">
        <v>0</v>
      </c>
      <c r="J1041" s="47" t="s">
        <v>2613</v>
      </c>
      <c r="K1041" s="49">
        <v>0</v>
      </c>
      <c r="L1041" s="49" t="s">
        <v>2614</v>
      </c>
      <c r="M1041" s="46" t="s">
        <v>117</v>
      </c>
      <c r="N1041" s="50">
        <v>0</v>
      </c>
      <c r="O1041" s="50">
        <v>0</v>
      </c>
      <c r="P1041" s="50">
        <v>0</v>
      </c>
      <c r="Q1041" s="46" t="s">
        <v>102</v>
      </c>
      <c r="R1041" s="46" t="s">
        <v>102</v>
      </c>
      <c r="S1041" s="46" t="s">
        <v>102</v>
      </c>
      <c r="T1041" s="46" t="s">
        <v>1019</v>
      </c>
      <c r="U1041" s="51">
        <v>4</v>
      </c>
    </row>
    <row r="1042" spans="2:21" ht="14.5" outlineLevel="3">
      <c r="B1042" s="44" t="s">
        <v>3322</v>
      </c>
      <c r="C1042" s="45" t="s">
        <v>3196</v>
      </c>
      <c r="D1042" s="46" t="s">
        <v>102</v>
      </c>
      <c r="E1042" s="47" t="s">
        <v>102</v>
      </c>
      <c r="F1042" s="46" t="s">
        <v>102</v>
      </c>
      <c r="G1042" s="47" t="s">
        <v>102</v>
      </c>
      <c r="H1042" s="48">
        <v>0</v>
      </c>
      <c r="I1042" s="48">
        <v>0</v>
      </c>
      <c r="J1042" s="47" t="s">
        <v>102</v>
      </c>
      <c r="K1042" s="49">
        <v>0</v>
      </c>
      <c r="L1042" s="49" t="s">
        <v>102</v>
      </c>
      <c r="M1042" s="46" t="s">
        <v>102</v>
      </c>
      <c r="N1042" s="50">
        <v>0</v>
      </c>
      <c r="O1042" s="50">
        <v>0</v>
      </c>
      <c r="P1042" s="50">
        <v>0</v>
      </c>
      <c r="Q1042" s="46" t="s">
        <v>102</v>
      </c>
      <c r="R1042" s="46" t="s">
        <v>102</v>
      </c>
      <c r="S1042" s="46" t="s">
        <v>3007</v>
      </c>
      <c r="T1042" s="46" t="s">
        <v>102</v>
      </c>
      <c r="U1042" s="51">
        <v>3</v>
      </c>
    </row>
    <row r="1043" spans="2:21" ht="14.5" outlineLevel="2">
      <c r="B1043" s="36" t="s">
        <v>3323</v>
      </c>
      <c r="C1043" s="37" t="s">
        <v>3198</v>
      </c>
      <c r="D1043" s="38" t="s">
        <v>2804</v>
      </c>
      <c r="E1043" s="39" t="s">
        <v>102</v>
      </c>
      <c r="F1043" s="38" t="s">
        <v>102</v>
      </c>
      <c r="G1043" s="39" t="s">
        <v>102</v>
      </c>
      <c r="H1043" s="40">
        <v>0</v>
      </c>
      <c r="I1043" s="40">
        <v>0</v>
      </c>
      <c r="J1043" s="39" t="s">
        <v>2613</v>
      </c>
      <c r="K1043" s="41">
        <v>0</v>
      </c>
      <c r="L1043" s="41" t="s">
        <v>2614</v>
      </c>
      <c r="M1043" s="38" t="s">
        <v>117</v>
      </c>
      <c r="N1043" s="42">
        <v>0</v>
      </c>
      <c r="O1043" s="42">
        <v>0</v>
      </c>
      <c r="P1043" s="42">
        <v>0</v>
      </c>
      <c r="Q1043" s="38" t="s">
        <v>102</v>
      </c>
      <c r="R1043" s="38" t="s">
        <v>102</v>
      </c>
      <c r="S1043" s="38" t="s">
        <v>102</v>
      </c>
      <c r="T1043" s="38" t="s">
        <v>223</v>
      </c>
      <c r="U1043" s="43">
        <v>4</v>
      </c>
    </row>
    <row r="1044" spans="2:21" ht="14.5" outlineLevel="3">
      <c r="B1044" s="44" t="s">
        <v>3324</v>
      </c>
      <c r="C1044" s="45" t="s">
        <v>3200</v>
      </c>
      <c r="D1044" s="46" t="s">
        <v>2804</v>
      </c>
      <c r="E1044" s="47" t="s">
        <v>102</v>
      </c>
      <c r="F1044" s="46" t="s">
        <v>102</v>
      </c>
      <c r="G1044" s="47" t="s">
        <v>102</v>
      </c>
      <c r="H1044" s="48">
        <v>0</v>
      </c>
      <c r="I1044" s="48">
        <v>0</v>
      </c>
      <c r="J1044" s="47" t="s">
        <v>2613</v>
      </c>
      <c r="K1044" s="49">
        <v>0</v>
      </c>
      <c r="L1044" s="49" t="s">
        <v>2614</v>
      </c>
      <c r="M1044" s="46" t="s">
        <v>117</v>
      </c>
      <c r="N1044" s="50">
        <v>0</v>
      </c>
      <c r="O1044" s="50">
        <v>0</v>
      </c>
      <c r="P1044" s="50">
        <v>0</v>
      </c>
      <c r="Q1044" s="46" t="s">
        <v>102</v>
      </c>
      <c r="R1044" s="46" t="s">
        <v>102</v>
      </c>
      <c r="S1044" s="46" t="s">
        <v>102</v>
      </c>
      <c r="T1044" s="46" t="s">
        <v>778</v>
      </c>
      <c r="U1044" s="51">
        <v>4</v>
      </c>
    </row>
    <row r="1045" spans="2:21" ht="14.5" outlineLevel="2">
      <c r="B1045" s="36" t="s">
        <v>3325</v>
      </c>
      <c r="C1045" s="37" t="s">
        <v>3202</v>
      </c>
      <c r="D1045" s="38" t="s">
        <v>2804</v>
      </c>
      <c r="E1045" s="39" t="s">
        <v>102</v>
      </c>
      <c r="F1045" s="38" t="s">
        <v>102</v>
      </c>
      <c r="G1045" s="39" t="s">
        <v>102</v>
      </c>
      <c r="H1045" s="40">
        <v>0</v>
      </c>
      <c r="I1045" s="40">
        <v>0</v>
      </c>
      <c r="J1045" s="39" t="s">
        <v>2613</v>
      </c>
      <c r="K1045" s="41">
        <v>0</v>
      </c>
      <c r="L1045" s="41" t="s">
        <v>2614</v>
      </c>
      <c r="M1045" s="38" t="s">
        <v>117</v>
      </c>
      <c r="N1045" s="42">
        <v>0</v>
      </c>
      <c r="O1045" s="42">
        <v>0</v>
      </c>
      <c r="P1045" s="42">
        <v>0</v>
      </c>
      <c r="Q1045" s="38" t="s">
        <v>102</v>
      </c>
      <c r="R1045" s="38" t="s">
        <v>102</v>
      </c>
      <c r="S1045" s="38" t="s">
        <v>102</v>
      </c>
      <c r="T1045" s="38" t="s">
        <v>3014</v>
      </c>
      <c r="U1045" s="43">
        <v>4</v>
      </c>
    </row>
    <row r="1046" spans="2:21" ht="14.5" outlineLevel="3">
      <c r="B1046" s="44" t="s">
        <v>3326</v>
      </c>
      <c r="C1046" s="45" t="s">
        <v>3204</v>
      </c>
      <c r="D1046" s="46" t="s">
        <v>102</v>
      </c>
      <c r="E1046" s="47" t="s">
        <v>102</v>
      </c>
      <c r="F1046" s="46" t="s">
        <v>102</v>
      </c>
      <c r="G1046" s="47" t="s">
        <v>102</v>
      </c>
      <c r="H1046" s="48">
        <v>0</v>
      </c>
      <c r="I1046" s="48">
        <v>0</v>
      </c>
      <c r="J1046" s="47" t="s">
        <v>102</v>
      </c>
      <c r="K1046" s="49">
        <v>0</v>
      </c>
      <c r="L1046" s="49" t="s">
        <v>102</v>
      </c>
      <c r="M1046" s="46" t="s">
        <v>102</v>
      </c>
      <c r="N1046" s="50">
        <v>0</v>
      </c>
      <c r="O1046" s="50">
        <v>0</v>
      </c>
      <c r="P1046" s="50">
        <v>0</v>
      </c>
      <c r="Q1046" s="46" t="s">
        <v>102</v>
      </c>
      <c r="R1046" s="46" t="s">
        <v>102</v>
      </c>
      <c r="S1046" s="46" t="s">
        <v>3017</v>
      </c>
      <c r="T1046" s="46" t="s">
        <v>102</v>
      </c>
      <c r="U1046" s="51">
        <v>3</v>
      </c>
    </row>
    <row r="1047" spans="2:21" ht="14.5" outlineLevel="2">
      <c r="B1047" s="36" t="s">
        <v>3327</v>
      </c>
      <c r="C1047" s="37" t="s">
        <v>3206</v>
      </c>
      <c r="D1047" s="38" t="s">
        <v>2804</v>
      </c>
      <c r="E1047" s="39" t="s">
        <v>102</v>
      </c>
      <c r="F1047" s="38" t="s">
        <v>102</v>
      </c>
      <c r="G1047" s="39" t="s">
        <v>102</v>
      </c>
      <c r="H1047" s="40">
        <v>0</v>
      </c>
      <c r="I1047" s="40">
        <v>0</v>
      </c>
      <c r="J1047" s="39" t="s">
        <v>2613</v>
      </c>
      <c r="K1047" s="41">
        <v>0</v>
      </c>
      <c r="L1047" s="41" t="s">
        <v>2614</v>
      </c>
      <c r="M1047" s="38" t="s">
        <v>117</v>
      </c>
      <c r="N1047" s="42">
        <v>0</v>
      </c>
      <c r="O1047" s="42">
        <v>0</v>
      </c>
      <c r="P1047" s="42">
        <v>0</v>
      </c>
      <c r="Q1047" s="38" t="s">
        <v>102</v>
      </c>
      <c r="R1047" s="38" t="s">
        <v>102</v>
      </c>
      <c r="S1047" s="38" t="s">
        <v>102</v>
      </c>
      <c r="T1047" s="38" t="s">
        <v>1019</v>
      </c>
      <c r="U1047" s="43">
        <v>4</v>
      </c>
    </row>
    <row r="1048" spans="2:21" ht="14.5" outlineLevel="3">
      <c r="B1048" s="44" t="s">
        <v>3328</v>
      </c>
      <c r="C1048" s="45" t="s">
        <v>3208</v>
      </c>
      <c r="D1048" s="46" t="s">
        <v>102</v>
      </c>
      <c r="E1048" s="47" t="s">
        <v>102</v>
      </c>
      <c r="F1048" s="46" t="s">
        <v>102</v>
      </c>
      <c r="G1048" s="47" t="s">
        <v>102</v>
      </c>
      <c r="H1048" s="48">
        <v>0</v>
      </c>
      <c r="I1048" s="48">
        <v>0</v>
      </c>
      <c r="J1048" s="47" t="s">
        <v>102</v>
      </c>
      <c r="K1048" s="49">
        <v>0</v>
      </c>
      <c r="L1048" s="49" t="s">
        <v>102</v>
      </c>
      <c r="M1048" s="46" t="s">
        <v>102</v>
      </c>
      <c r="N1048" s="50">
        <v>0</v>
      </c>
      <c r="O1048" s="50">
        <v>0</v>
      </c>
      <c r="P1048" s="50">
        <v>0</v>
      </c>
      <c r="Q1048" s="46" t="s">
        <v>102</v>
      </c>
      <c r="R1048" s="46" t="s">
        <v>102</v>
      </c>
      <c r="S1048" s="46" t="s">
        <v>3022</v>
      </c>
      <c r="T1048" s="46" t="s">
        <v>102</v>
      </c>
      <c r="U1048" s="51">
        <v>3</v>
      </c>
    </row>
    <row r="1049" spans="2:21" ht="14.5" outlineLevel="2">
      <c r="B1049" s="36" t="s">
        <v>3329</v>
      </c>
      <c r="C1049" s="37" t="s">
        <v>3210</v>
      </c>
      <c r="D1049" s="38" t="s">
        <v>2804</v>
      </c>
      <c r="E1049" s="39" t="s">
        <v>102</v>
      </c>
      <c r="F1049" s="38" t="s">
        <v>102</v>
      </c>
      <c r="G1049" s="39" t="s">
        <v>102</v>
      </c>
      <c r="H1049" s="40">
        <v>0</v>
      </c>
      <c r="I1049" s="40">
        <v>0</v>
      </c>
      <c r="J1049" s="39" t="s">
        <v>2613</v>
      </c>
      <c r="K1049" s="41">
        <v>0</v>
      </c>
      <c r="L1049" s="41" t="s">
        <v>2614</v>
      </c>
      <c r="M1049" s="38" t="s">
        <v>117</v>
      </c>
      <c r="N1049" s="42">
        <v>0</v>
      </c>
      <c r="O1049" s="42">
        <v>0</v>
      </c>
      <c r="P1049" s="42">
        <v>0</v>
      </c>
      <c r="Q1049" s="38" t="s">
        <v>102</v>
      </c>
      <c r="R1049" s="38" t="s">
        <v>102</v>
      </c>
      <c r="S1049" s="38" t="s">
        <v>102</v>
      </c>
      <c r="T1049" s="38" t="s">
        <v>1019</v>
      </c>
      <c r="U1049" s="43">
        <v>4</v>
      </c>
    </row>
    <row r="1050" spans="2:21" ht="14.5" outlineLevel="3">
      <c r="B1050" s="44" t="s">
        <v>3330</v>
      </c>
      <c r="C1050" s="45" t="s">
        <v>3212</v>
      </c>
      <c r="D1050" s="46" t="s">
        <v>102</v>
      </c>
      <c r="E1050" s="47" t="s">
        <v>102</v>
      </c>
      <c r="F1050" s="46" t="s">
        <v>102</v>
      </c>
      <c r="G1050" s="47" t="s">
        <v>102</v>
      </c>
      <c r="H1050" s="48">
        <v>0</v>
      </c>
      <c r="I1050" s="48">
        <v>0</v>
      </c>
      <c r="J1050" s="47" t="s">
        <v>102</v>
      </c>
      <c r="K1050" s="49">
        <v>0</v>
      </c>
      <c r="L1050" s="49" t="s">
        <v>102</v>
      </c>
      <c r="M1050" s="46" t="s">
        <v>102</v>
      </c>
      <c r="N1050" s="50">
        <v>0</v>
      </c>
      <c r="O1050" s="50">
        <v>0</v>
      </c>
      <c r="P1050" s="50">
        <v>0</v>
      </c>
      <c r="Q1050" s="46" t="s">
        <v>102</v>
      </c>
      <c r="R1050" s="46" t="s">
        <v>102</v>
      </c>
      <c r="S1050" s="46" t="s">
        <v>3027</v>
      </c>
      <c r="T1050" s="46" t="s">
        <v>102</v>
      </c>
      <c r="U1050" s="51">
        <v>3</v>
      </c>
    </row>
    <row r="1051" spans="2:21" ht="14.5" outlineLevel="2">
      <c r="B1051" s="36" t="s">
        <v>3331</v>
      </c>
      <c r="C1051" s="37" t="s">
        <v>3214</v>
      </c>
      <c r="D1051" s="38" t="s">
        <v>2804</v>
      </c>
      <c r="E1051" s="39" t="s">
        <v>102</v>
      </c>
      <c r="F1051" s="38" t="s">
        <v>102</v>
      </c>
      <c r="G1051" s="39" t="s">
        <v>102</v>
      </c>
      <c r="H1051" s="40">
        <v>0</v>
      </c>
      <c r="I1051" s="40">
        <v>0</v>
      </c>
      <c r="J1051" s="39" t="s">
        <v>2613</v>
      </c>
      <c r="K1051" s="41">
        <v>0</v>
      </c>
      <c r="L1051" s="41" t="s">
        <v>2614</v>
      </c>
      <c r="M1051" s="38" t="s">
        <v>117</v>
      </c>
      <c r="N1051" s="42">
        <v>0</v>
      </c>
      <c r="O1051" s="42">
        <v>0</v>
      </c>
      <c r="P1051" s="42">
        <v>0</v>
      </c>
      <c r="Q1051" s="38" t="s">
        <v>102</v>
      </c>
      <c r="R1051" s="38" t="s">
        <v>102</v>
      </c>
      <c r="S1051" s="38" t="s">
        <v>102</v>
      </c>
      <c r="T1051" s="38" t="s">
        <v>1019</v>
      </c>
      <c r="U1051" s="43">
        <v>4</v>
      </c>
    </row>
    <row r="1052" spans="2:21" ht="14.5" outlineLevel="3">
      <c r="B1052" s="44" t="s">
        <v>3332</v>
      </c>
      <c r="C1052" s="45" t="s">
        <v>3216</v>
      </c>
      <c r="D1052" s="46" t="s">
        <v>102</v>
      </c>
      <c r="E1052" s="47" t="s">
        <v>102</v>
      </c>
      <c r="F1052" s="46" t="s">
        <v>102</v>
      </c>
      <c r="G1052" s="47" t="s">
        <v>102</v>
      </c>
      <c r="H1052" s="48">
        <v>0</v>
      </c>
      <c r="I1052" s="48">
        <v>0</v>
      </c>
      <c r="J1052" s="47" t="s">
        <v>102</v>
      </c>
      <c r="K1052" s="49">
        <v>0</v>
      </c>
      <c r="L1052" s="49" t="s">
        <v>102</v>
      </c>
      <c r="M1052" s="46" t="s">
        <v>102</v>
      </c>
      <c r="N1052" s="50">
        <v>0</v>
      </c>
      <c r="O1052" s="50">
        <v>0</v>
      </c>
      <c r="P1052" s="50">
        <v>0</v>
      </c>
      <c r="Q1052" s="46" t="s">
        <v>102</v>
      </c>
      <c r="R1052" s="46" t="s">
        <v>102</v>
      </c>
      <c r="S1052" s="46" t="s">
        <v>3032</v>
      </c>
      <c r="T1052" s="46" t="s">
        <v>102</v>
      </c>
      <c r="U1052" s="51">
        <v>3</v>
      </c>
    </row>
    <row r="1053" spans="2:21" ht="14.5" outlineLevel="3">
      <c r="B1053" s="44" t="s">
        <v>3333</v>
      </c>
      <c r="C1053" s="45" t="s">
        <v>3218</v>
      </c>
      <c r="D1053" s="46" t="s">
        <v>2804</v>
      </c>
      <c r="E1053" s="47" t="s">
        <v>102</v>
      </c>
      <c r="F1053" s="46" t="s">
        <v>102</v>
      </c>
      <c r="G1053" s="47" t="s">
        <v>102</v>
      </c>
      <c r="H1053" s="48">
        <v>0</v>
      </c>
      <c r="I1053" s="48">
        <v>0</v>
      </c>
      <c r="J1053" s="47" t="s">
        <v>2613</v>
      </c>
      <c r="K1053" s="49">
        <v>0</v>
      </c>
      <c r="L1053" s="49" t="s">
        <v>2614</v>
      </c>
      <c r="M1053" s="46" t="s">
        <v>117</v>
      </c>
      <c r="N1053" s="50">
        <v>0</v>
      </c>
      <c r="O1053" s="50">
        <v>0</v>
      </c>
      <c r="P1053" s="50">
        <v>0</v>
      </c>
      <c r="Q1053" s="46" t="s">
        <v>102</v>
      </c>
      <c r="R1053" s="46" t="s">
        <v>102</v>
      </c>
      <c r="S1053" s="46" t="s">
        <v>102</v>
      </c>
      <c r="T1053" s="46" t="s">
        <v>1019</v>
      </c>
      <c r="U1053" s="51">
        <v>4</v>
      </c>
    </row>
    <row r="1054" spans="2:21" ht="14.5" outlineLevel="3">
      <c r="B1054" s="44" t="s">
        <v>3334</v>
      </c>
      <c r="C1054" s="45" t="s">
        <v>3220</v>
      </c>
      <c r="D1054" s="46" t="s">
        <v>102</v>
      </c>
      <c r="E1054" s="47" t="s">
        <v>102</v>
      </c>
      <c r="F1054" s="46" t="s">
        <v>102</v>
      </c>
      <c r="G1054" s="47" t="s">
        <v>102</v>
      </c>
      <c r="H1054" s="48">
        <v>0</v>
      </c>
      <c r="I1054" s="48">
        <v>0</v>
      </c>
      <c r="J1054" s="47" t="s">
        <v>102</v>
      </c>
      <c r="K1054" s="49">
        <v>0</v>
      </c>
      <c r="L1054" s="49" t="s">
        <v>102</v>
      </c>
      <c r="M1054" s="46" t="s">
        <v>102</v>
      </c>
      <c r="N1054" s="50">
        <v>0</v>
      </c>
      <c r="O1054" s="50">
        <v>0</v>
      </c>
      <c r="P1054" s="50">
        <v>0</v>
      </c>
      <c r="Q1054" s="46" t="s">
        <v>102</v>
      </c>
      <c r="R1054" s="46" t="s">
        <v>102</v>
      </c>
      <c r="S1054" s="46" t="s">
        <v>3037</v>
      </c>
      <c r="T1054" s="46" t="s">
        <v>102</v>
      </c>
      <c r="U1054" s="51">
        <v>3</v>
      </c>
    </row>
    <row r="1055" spans="2:21" ht="14.5" outlineLevel="3">
      <c r="B1055" s="44" t="s">
        <v>3335</v>
      </c>
      <c r="C1055" s="45" t="s">
        <v>3222</v>
      </c>
      <c r="D1055" s="46" t="s">
        <v>2804</v>
      </c>
      <c r="E1055" s="47" t="s">
        <v>102</v>
      </c>
      <c r="F1055" s="46" t="s">
        <v>102</v>
      </c>
      <c r="G1055" s="47" t="s">
        <v>102</v>
      </c>
      <c r="H1055" s="48">
        <v>0</v>
      </c>
      <c r="I1055" s="48">
        <v>0</v>
      </c>
      <c r="J1055" s="47" t="s">
        <v>2613</v>
      </c>
      <c r="K1055" s="49">
        <v>0</v>
      </c>
      <c r="L1055" s="49" t="s">
        <v>2614</v>
      </c>
      <c r="M1055" s="46" t="s">
        <v>117</v>
      </c>
      <c r="N1055" s="50">
        <v>0</v>
      </c>
      <c r="O1055" s="50">
        <v>0</v>
      </c>
      <c r="P1055" s="50">
        <v>0</v>
      </c>
      <c r="Q1055" s="46" t="s">
        <v>102</v>
      </c>
      <c r="R1055" s="46" t="s">
        <v>102</v>
      </c>
      <c r="S1055" s="46" t="s">
        <v>102</v>
      </c>
      <c r="T1055" s="46" t="s">
        <v>1019</v>
      </c>
      <c r="U1055" s="51">
        <v>4</v>
      </c>
    </row>
    <row r="1056" spans="2:21" ht="14.5" outlineLevel="3">
      <c r="B1056" s="44" t="s">
        <v>3336</v>
      </c>
      <c r="C1056" s="45" t="s">
        <v>3224</v>
      </c>
      <c r="D1056" s="46" t="s">
        <v>2804</v>
      </c>
      <c r="E1056" s="47" t="s">
        <v>102</v>
      </c>
      <c r="F1056" s="46" t="s">
        <v>102</v>
      </c>
      <c r="G1056" s="47" t="s">
        <v>102</v>
      </c>
      <c r="H1056" s="48">
        <v>0</v>
      </c>
      <c r="I1056" s="48">
        <v>0</v>
      </c>
      <c r="J1056" s="47" t="s">
        <v>2613</v>
      </c>
      <c r="K1056" s="49">
        <v>0</v>
      </c>
      <c r="L1056" s="49" t="s">
        <v>2614</v>
      </c>
      <c r="M1056" s="46" t="s">
        <v>117</v>
      </c>
      <c r="N1056" s="50">
        <v>0</v>
      </c>
      <c r="O1056" s="50">
        <v>0</v>
      </c>
      <c r="P1056" s="50">
        <v>0</v>
      </c>
      <c r="Q1056" s="46" t="s">
        <v>102</v>
      </c>
      <c r="R1056" s="46" t="s">
        <v>102</v>
      </c>
      <c r="S1056" s="46" t="s">
        <v>102</v>
      </c>
      <c r="T1056" s="46" t="s">
        <v>2815</v>
      </c>
      <c r="U1056" s="51">
        <v>4</v>
      </c>
    </row>
    <row r="1057" spans="2:21" ht="14.5" outlineLevel="3">
      <c r="B1057" s="44" t="s">
        <v>3337</v>
      </c>
      <c r="C1057" s="45" t="s">
        <v>3226</v>
      </c>
      <c r="D1057" s="46" t="s">
        <v>2804</v>
      </c>
      <c r="E1057" s="47" t="s">
        <v>102</v>
      </c>
      <c r="F1057" s="46" t="s">
        <v>102</v>
      </c>
      <c r="G1057" s="47" t="s">
        <v>102</v>
      </c>
      <c r="H1057" s="48">
        <v>0</v>
      </c>
      <c r="I1057" s="48">
        <v>0</v>
      </c>
      <c r="J1057" s="47" t="s">
        <v>2613</v>
      </c>
      <c r="K1057" s="49">
        <v>0</v>
      </c>
      <c r="L1057" s="49" t="s">
        <v>2614</v>
      </c>
      <c r="M1057" s="46" t="s">
        <v>117</v>
      </c>
      <c r="N1057" s="50">
        <v>0</v>
      </c>
      <c r="O1057" s="50">
        <v>0</v>
      </c>
      <c r="P1057" s="50">
        <v>0</v>
      </c>
      <c r="Q1057" s="46" t="s">
        <v>102</v>
      </c>
      <c r="R1057" s="46" t="s">
        <v>102</v>
      </c>
      <c r="S1057" s="46" t="s">
        <v>102</v>
      </c>
      <c r="T1057" s="46" t="s">
        <v>461</v>
      </c>
      <c r="U1057" s="51">
        <v>4</v>
      </c>
    </row>
    <row r="1058" spans="2:21" ht="14.5" outlineLevel="3">
      <c r="B1058" s="44" t="s">
        <v>3338</v>
      </c>
      <c r="C1058" s="45" t="s">
        <v>3228</v>
      </c>
      <c r="D1058" s="46" t="s">
        <v>2804</v>
      </c>
      <c r="E1058" s="47" t="s">
        <v>102</v>
      </c>
      <c r="F1058" s="46" t="s">
        <v>102</v>
      </c>
      <c r="G1058" s="47" t="s">
        <v>102</v>
      </c>
      <c r="H1058" s="48">
        <v>0</v>
      </c>
      <c r="I1058" s="48">
        <v>0</v>
      </c>
      <c r="J1058" s="47" t="s">
        <v>2613</v>
      </c>
      <c r="K1058" s="49">
        <v>0</v>
      </c>
      <c r="L1058" s="49" t="s">
        <v>2614</v>
      </c>
      <c r="M1058" s="46" t="s">
        <v>117</v>
      </c>
      <c r="N1058" s="50">
        <v>0</v>
      </c>
      <c r="O1058" s="50">
        <v>0</v>
      </c>
      <c r="P1058" s="50">
        <v>0</v>
      </c>
      <c r="Q1058" s="46" t="s">
        <v>102</v>
      </c>
      <c r="R1058" s="46" t="s">
        <v>102</v>
      </c>
      <c r="S1058" s="46" t="s">
        <v>102</v>
      </c>
      <c r="T1058" s="46" t="s">
        <v>466</v>
      </c>
      <c r="U1058" s="51">
        <v>4</v>
      </c>
    </row>
    <row r="1059" spans="2:21" ht="14.5" outlineLevel="3">
      <c r="B1059" s="44" t="s">
        <v>3339</v>
      </c>
      <c r="C1059" s="45" t="s">
        <v>3230</v>
      </c>
      <c r="D1059" s="46" t="s">
        <v>2804</v>
      </c>
      <c r="E1059" s="47" t="s">
        <v>102</v>
      </c>
      <c r="F1059" s="46" t="s">
        <v>102</v>
      </c>
      <c r="G1059" s="47" t="s">
        <v>102</v>
      </c>
      <c r="H1059" s="48">
        <v>0</v>
      </c>
      <c r="I1059" s="48">
        <v>0</v>
      </c>
      <c r="J1059" s="47" t="s">
        <v>2613</v>
      </c>
      <c r="K1059" s="49">
        <v>0</v>
      </c>
      <c r="L1059" s="49" t="s">
        <v>2614</v>
      </c>
      <c r="M1059" s="46" t="s">
        <v>117</v>
      </c>
      <c r="N1059" s="50">
        <v>0</v>
      </c>
      <c r="O1059" s="50">
        <v>0</v>
      </c>
      <c r="P1059" s="50">
        <v>0</v>
      </c>
      <c r="Q1059" s="46" t="s">
        <v>102</v>
      </c>
      <c r="R1059" s="46" t="s">
        <v>102</v>
      </c>
      <c r="S1059" s="46" t="s">
        <v>102</v>
      </c>
      <c r="T1059" s="46" t="s">
        <v>472</v>
      </c>
      <c r="U1059" s="51">
        <v>4</v>
      </c>
    </row>
    <row r="1060" spans="2:21" ht="14.5" outlineLevel="3">
      <c r="B1060" s="44" t="s">
        <v>3340</v>
      </c>
      <c r="C1060" s="45" t="s">
        <v>3232</v>
      </c>
      <c r="D1060" s="46" t="s">
        <v>2804</v>
      </c>
      <c r="E1060" s="47" t="s">
        <v>102</v>
      </c>
      <c r="F1060" s="46" t="s">
        <v>102</v>
      </c>
      <c r="G1060" s="47" t="s">
        <v>102</v>
      </c>
      <c r="H1060" s="48">
        <v>0</v>
      </c>
      <c r="I1060" s="48">
        <v>0</v>
      </c>
      <c r="J1060" s="47" t="s">
        <v>2613</v>
      </c>
      <c r="K1060" s="49">
        <v>0</v>
      </c>
      <c r="L1060" s="49" t="s">
        <v>2614</v>
      </c>
      <c r="M1060" s="46" t="s">
        <v>117</v>
      </c>
      <c r="N1060" s="50">
        <v>0</v>
      </c>
      <c r="O1060" s="50">
        <v>0</v>
      </c>
      <c r="P1060" s="50">
        <v>0</v>
      </c>
      <c r="Q1060" s="46" t="s">
        <v>102</v>
      </c>
      <c r="R1060" s="46" t="s">
        <v>102</v>
      </c>
      <c r="S1060" s="46" t="s">
        <v>102</v>
      </c>
      <c r="T1060" s="46" t="s">
        <v>477</v>
      </c>
      <c r="U1060" s="51">
        <v>4</v>
      </c>
    </row>
    <row r="1061" spans="2:21" ht="14.5" outlineLevel="3">
      <c r="B1061" s="44" t="s">
        <v>3341</v>
      </c>
      <c r="C1061" s="45" t="s">
        <v>3234</v>
      </c>
      <c r="D1061" s="46" t="s">
        <v>2804</v>
      </c>
      <c r="E1061" s="47" t="s">
        <v>102</v>
      </c>
      <c r="F1061" s="46" t="s">
        <v>102</v>
      </c>
      <c r="G1061" s="47" t="s">
        <v>102</v>
      </c>
      <c r="H1061" s="48">
        <v>0</v>
      </c>
      <c r="I1061" s="48">
        <v>0</v>
      </c>
      <c r="J1061" s="47" t="s">
        <v>2613</v>
      </c>
      <c r="K1061" s="49">
        <v>0</v>
      </c>
      <c r="L1061" s="49" t="s">
        <v>2614</v>
      </c>
      <c r="M1061" s="46" t="s">
        <v>117</v>
      </c>
      <c r="N1061" s="50">
        <v>0</v>
      </c>
      <c r="O1061" s="50">
        <v>0</v>
      </c>
      <c r="P1061" s="50">
        <v>0</v>
      </c>
      <c r="Q1061" s="46" t="s">
        <v>102</v>
      </c>
      <c r="R1061" s="46" t="s">
        <v>102</v>
      </c>
      <c r="S1061" s="46" t="s">
        <v>102</v>
      </c>
      <c r="T1061" s="46" t="s">
        <v>482</v>
      </c>
      <c r="U1061" s="51">
        <v>4</v>
      </c>
    </row>
    <row r="1062" spans="2:21" ht="14.5" outlineLevel="3">
      <c r="B1062" s="44" t="s">
        <v>3342</v>
      </c>
      <c r="C1062" s="45" t="s">
        <v>3236</v>
      </c>
      <c r="D1062" s="46" t="s">
        <v>2804</v>
      </c>
      <c r="E1062" s="47" t="s">
        <v>102</v>
      </c>
      <c r="F1062" s="46" t="s">
        <v>102</v>
      </c>
      <c r="G1062" s="47" t="s">
        <v>102</v>
      </c>
      <c r="H1062" s="48">
        <v>0</v>
      </c>
      <c r="I1062" s="48">
        <v>0</v>
      </c>
      <c r="J1062" s="47" t="s">
        <v>2613</v>
      </c>
      <c r="K1062" s="49">
        <v>0</v>
      </c>
      <c r="L1062" s="49" t="s">
        <v>2614</v>
      </c>
      <c r="M1062" s="46" t="s">
        <v>117</v>
      </c>
      <c r="N1062" s="50">
        <v>0</v>
      </c>
      <c r="O1062" s="50">
        <v>0</v>
      </c>
      <c r="P1062" s="50">
        <v>0</v>
      </c>
      <c r="Q1062" s="46" t="s">
        <v>102</v>
      </c>
      <c r="R1062" s="46" t="s">
        <v>102</v>
      </c>
      <c r="S1062" s="46" t="s">
        <v>102</v>
      </c>
      <c r="T1062" s="46" t="s">
        <v>487</v>
      </c>
      <c r="U1062" s="51">
        <v>4</v>
      </c>
    </row>
    <row r="1063" spans="2:21" ht="14.5" outlineLevel="3">
      <c r="B1063" s="44" t="s">
        <v>3343</v>
      </c>
      <c r="C1063" s="45" t="s">
        <v>3238</v>
      </c>
      <c r="D1063" s="46" t="s">
        <v>2804</v>
      </c>
      <c r="E1063" s="47" t="s">
        <v>102</v>
      </c>
      <c r="F1063" s="46" t="s">
        <v>102</v>
      </c>
      <c r="G1063" s="47" t="s">
        <v>102</v>
      </c>
      <c r="H1063" s="48">
        <v>0</v>
      </c>
      <c r="I1063" s="48">
        <v>0</v>
      </c>
      <c r="J1063" s="47" t="s">
        <v>2613</v>
      </c>
      <c r="K1063" s="49">
        <v>0</v>
      </c>
      <c r="L1063" s="49" t="s">
        <v>2614</v>
      </c>
      <c r="M1063" s="46" t="s">
        <v>117</v>
      </c>
      <c r="N1063" s="50">
        <v>0</v>
      </c>
      <c r="O1063" s="50">
        <v>0</v>
      </c>
      <c r="P1063" s="50">
        <v>0</v>
      </c>
      <c r="Q1063" s="46" t="s">
        <v>102</v>
      </c>
      <c r="R1063" s="46" t="s">
        <v>102</v>
      </c>
      <c r="S1063" s="46" t="s">
        <v>102</v>
      </c>
      <c r="T1063" s="46" t="s">
        <v>3056</v>
      </c>
      <c r="U1063" s="51">
        <v>4</v>
      </c>
    </row>
    <row r="1064" spans="2:21" ht="14.5" outlineLevel="3">
      <c r="B1064" s="44" t="s">
        <v>3344</v>
      </c>
      <c r="C1064" s="45" t="s">
        <v>3240</v>
      </c>
      <c r="D1064" s="46" t="s">
        <v>2804</v>
      </c>
      <c r="E1064" s="47" t="s">
        <v>102</v>
      </c>
      <c r="F1064" s="46" t="s">
        <v>102</v>
      </c>
      <c r="G1064" s="47" t="s">
        <v>102</v>
      </c>
      <c r="H1064" s="48">
        <v>0</v>
      </c>
      <c r="I1064" s="48">
        <v>0</v>
      </c>
      <c r="J1064" s="47" t="s">
        <v>2613</v>
      </c>
      <c r="K1064" s="49">
        <v>0</v>
      </c>
      <c r="L1064" s="49" t="s">
        <v>2614</v>
      </c>
      <c r="M1064" s="46" t="s">
        <v>117</v>
      </c>
      <c r="N1064" s="50">
        <v>0</v>
      </c>
      <c r="O1064" s="50">
        <v>0</v>
      </c>
      <c r="P1064" s="50">
        <v>0</v>
      </c>
      <c r="Q1064" s="46" t="s">
        <v>102</v>
      </c>
      <c r="R1064" s="46" t="s">
        <v>102</v>
      </c>
      <c r="S1064" s="46" t="s">
        <v>102</v>
      </c>
      <c r="T1064" s="46" t="s">
        <v>3059</v>
      </c>
      <c r="U1064" s="51">
        <v>4</v>
      </c>
    </row>
    <row r="1065" spans="2:21" ht="14.5" outlineLevel="3">
      <c r="B1065" s="44" t="s">
        <v>3345</v>
      </c>
      <c r="C1065" s="45" t="s">
        <v>3242</v>
      </c>
      <c r="D1065" s="46" t="s">
        <v>2804</v>
      </c>
      <c r="E1065" s="47" t="s">
        <v>102</v>
      </c>
      <c r="F1065" s="46" t="s">
        <v>102</v>
      </c>
      <c r="G1065" s="47" t="s">
        <v>102</v>
      </c>
      <c r="H1065" s="48">
        <v>0</v>
      </c>
      <c r="I1065" s="48">
        <v>0</v>
      </c>
      <c r="J1065" s="47" t="s">
        <v>2613</v>
      </c>
      <c r="K1065" s="49">
        <v>0</v>
      </c>
      <c r="L1065" s="49" t="s">
        <v>2614</v>
      </c>
      <c r="M1065" s="46" t="s">
        <v>117</v>
      </c>
      <c r="N1065" s="50">
        <v>0</v>
      </c>
      <c r="O1065" s="50">
        <v>0</v>
      </c>
      <c r="P1065" s="50">
        <v>0</v>
      </c>
      <c r="Q1065" s="46" t="s">
        <v>102</v>
      </c>
      <c r="R1065" s="46" t="s">
        <v>102</v>
      </c>
      <c r="S1065" s="46" t="s">
        <v>102</v>
      </c>
      <c r="T1065" s="46" t="s">
        <v>2828</v>
      </c>
      <c r="U1065" s="51">
        <v>4</v>
      </c>
    </row>
    <row r="1066" spans="2:21" ht="14.5" outlineLevel="3">
      <c r="B1066" s="44" t="s">
        <v>3346</v>
      </c>
      <c r="C1066" s="45" t="s">
        <v>3244</v>
      </c>
      <c r="D1066" s="46" t="s">
        <v>2804</v>
      </c>
      <c r="E1066" s="47" t="s">
        <v>102</v>
      </c>
      <c r="F1066" s="46" t="s">
        <v>102</v>
      </c>
      <c r="G1066" s="47" t="s">
        <v>102</v>
      </c>
      <c r="H1066" s="48">
        <v>0</v>
      </c>
      <c r="I1066" s="48">
        <v>0</v>
      </c>
      <c r="J1066" s="47" t="s">
        <v>2613</v>
      </c>
      <c r="K1066" s="49">
        <v>0</v>
      </c>
      <c r="L1066" s="49" t="s">
        <v>2614</v>
      </c>
      <c r="M1066" s="46" t="s">
        <v>117</v>
      </c>
      <c r="N1066" s="50">
        <v>0</v>
      </c>
      <c r="O1066" s="50">
        <v>0</v>
      </c>
      <c r="P1066" s="50">
        <v>0</v>
      </c>
      <c r="Q1066" s="46" t="s">
        <v>102</v>
      </c>
      <c r="R1066" s="46" t="s">
        <v>102</v>
      </c>
      <c r="S1066" s="46" t="s">
        <v>102</v>
      </c>
      <c r="T1066" s="46" t="s">
        <v>2773</v>
      </c>
      <c r="U1066" s="51">
        <v>4</v>
      </c>
    </row>
    <row r="1067" spans="2:21" ht="14.5" outlineLevel="3">
      <c r="B1067" s="44" t="s">
        <v>3347</v>
      </c>
      <c r="C1067" s="45" t="s">
        <v>3246</v>
      </c>
      <c r="D1067" s="46" t="s">
        <v>2804</v>
      </c>
      <c r="E1067" s="47" t="s">
        <v>102</v>
      </c>
      <c r="F1067" s="46" t="s">
        <v>102</v>
      </c>
      <c r="G1067" s="47" t="s">
        <v>102</v>
      </c>
      <c r="H1067" s="48">
        <v>0</v>
      </c>
      <c r="I1067" s="48">
        <v>0</v>
      </c>
      <c r="J1067" s="47" t="s">
        <v>2613</v>
      </c>
      <c r="K1067" s="49">
        <v>0</v>
      </c>
      <c r="L1067" s="49" t="s">
        <v>2614</v>
      </c>
      <c r="M1067" s="46" t="s">
        <v>117</v>
      </c>
      <c r="N1067" s="50">
        <v>0</v>
      </c>
      <c r="O1067" s="50">
        <v>0</v>
      </c>
      <c r="P1067" s="50">
        <v>0</v>
      </c>
      <c r="Q1067" s="46" t="s">
        <v>102</v>
      </c>
      <c r="R1067" s="46" t="s">
        <v>102</v>
      </c>
      <c r="S1067" s="46" t="s">
        <v>102</v>
      </c>
      <c r="T1067" s="46" t="s">
        <v>3066</v>
      </c>
      <c r="U1067" s="51">
        <v>4</v>
      </c>
    </row>
    <row r="1068" spans="2:21" ht="14.5" outlineLevel="3">
      <c r="B1068" s="44" t="s">
        <v>3348</v>
      </c>
      <c r="C1068" s="45" t="s">
        <v>3248</v>
      </c>
      <c r="D1068" s="46" t="s">
        <v>2804</v>
      </c>
      <c r="E1068" s="47" t="s">
        <v>102</v>
      </c>
      <c r="F1068" s="46" t="s">
        <v>102</v>
      </c>
      <c r="G1068" s="47" t="s">
        <v>102</v>
      </c>
      <c r="H1068" s="48">
        <v>0</v>
      </c>
      <c r="I1068" s="48">
        <v>0</v>
      </c>
      <c r="J1068" s="47" t="s">
        <v>2613</v>
      </c>
      <c r="K1068" s="49">
        <v>0</v>
      </c>
      <c r="L1068" s="49" t="s">
        <v>2614</v>
      </c>
      <c r="M1068" s="46" t="s">
        <v>117</v>
      </c>
      <c r="N1068" s="50">
        <v>0</v>
      </c>
      <c r="O1068" s="50">
        <v>0</v>
      </c>
      <c r="P1068" s="50">
        <v>0</v>
      </c>
      <c r="Q1068" s="46" t="s">
        <v>102</v>
      </c>
      <c r="R1068" s="46" t="s">
        <v>102</v>
      </c>
      <c r="S1068" s="46" t="s">
        <v>102</v>
      </c>
      <c r="T1068" s="46" t="s">
        <v>3069</v>
      </c>
      <c r="U1068" s="51">
        <v>4</v>
      </c>
    </row>
    <row r="1069" spans="2:21" ht="14.5" outlineLevel="3">
      <c r="B1069" s="44" t="s">
        <v>3349</v>
      </c>
      <c r="C1069" s="45" t="s">
        <v>3250</v>
      </c>
      <c r="D1069" s="46" t="s">
        <v>2804</v>
      </c>
      <c r="E1069" s="47" t="s">
        <v>102</v>
      </c>
      <c r="F1069" s="46" t="s">
        <v>102</v>
      </c>
      <c r="G1069" s="47" t="s">
        <v>102</v>
      </c>
      <c r="H1069" s="48">
        <v>0</v>
      </c>
      <c r="I1069" s="48">
        <v>0</v>
      </c>
      <c r="J1069" s="47" t="s">
        <v>2613</v>
      </c>
      <c r="K1069" s="49">
        <v>0</v>
      </c>
      <c r="L1069" s="49" t="s">
        <v>2614</v>
      </c>
      <c r="M1069" s="46" t="s">
        <v>117</v>
      </c>
      <c r="N1069" s="50">
        <v>0</v>
      </c>
      <c r="O1069" s="50">
        <v>0</v>
      </c>
      <c r="P1069" s="50">
        <v>0</v>
      </c>
      <c r="Q1069" s="46" t="s">
        <v>102</v>
      </c>
      <c r="R1069" s="46" t="s">
        <v>102</v>
      </c>
      <c r="S1069" s="46" t="s">
        <v>102</v>
      </c>
      <c r="T1069" s="46" t="s">
        <v>3072</v>
      </c>
      <c r="U1069" s="51">
        <v>4</v>
      </c>
    </row>
    <row r="1070" spans="2:21" ht="14.5" outlineLevel="2">
      <c r="B1070" s="36" t="s">
        <v>3350</v>
      </c>
      <c r="C1070" s="37" t="s">
        <v>3252</v>
      </c>
      <c r="D1070" s="38" t="s">
        <v>2804</v>
      </c>
      <c r="E1070" s="39" t="s">
        <v>102</v>
      </c>
      <c r="F1070" s="38" t="s">
        <v>102</v>
      </c>
      <c r="G1070" s="39" t="s">
        <v>102</v>
      </c>
      <c r="H1070" s="40">
        <v>0</v>
      </c>
      <c r="I1070" s="40">
        <v>0</v>
      </c>
      <c r="J1070" s="39" t="s">
        <v>2613</v>
      </c>
      <c r="K1070" s="41">
        <v>0</v>
      </c>
      <c r="L1070" s="41" t="s">
        <v>2614</v>
      </c>
      <c r="M1070" s="38" t="s">
        <v>117</v>
      </c>
      <c r="N1070" s="42">
        <v>0</v>
      </c>
      <c r="O1070" s="42">
        <v>0</v>
      </c>
      <c r="P1070" s="42">
        <v>0</v>
      </c>
      <c r="Q1070" s="38" t="s">
        <v>102</v>
      </c>
      <c r="R1070" s="38" t="s">
        <v>102</v>
      </c>
      <c r="S1070" s="38" t="s">
        <v>102</v>
      </c>
      <c r="T1070" s="38" t="s">
        <v>3075</v>
      </c>
      <c r="U1070" s="43">
        <v>4</v>
      </c>
    </row>
    <row r="1071" spans="2:21" ht="14.5" outlineLevel="3">
      <c r="B1071" s="44" t="s">
        <v>3351</v>
      </c>
      <c r="C1071" s="45" t="s">
        <v>3254</v>
      </c>
      <c r="D1071" s="46" t="s">
        <v>2804</v>
      </c>
      <c r="E1071" s="47" t="s">
        <v>102</v>
      </c>
      <c r="F1071" s="46" t="s">
        <v>102</v>
      </c>
      <c r="G1071" s="47" t="s">
        <v>102</v>
      </c>
      <c r="H1071" s="48">
        <v>0</v>
      </c>
      <c r="I1071" s="48">
        <v>0</v>
      </c>
      <c r="J1071" s="47" t="s">
        <v>2613</v>
      </c>
      <c r="K1071" s="49">
        <v>0</v>
      </c>
      <c r="L1071" s="49" t="s">
        <v>2614</v>
      </c>
      <c r="M1071" s="46" t="s">
        <v>117</v>
      </c>
      <c r="N1071" s="50">
        <v>0</v>
      </c>
      <c r="O1071" s="50">
        <v>0</v>
      </c>
      <c r="P1071" s="50">
        <v>0</v>
      </c>
      <c r="Q1071" s="46" t="s">
        <v>102</v>
      </c>
      <c r="R1071" s="46" t="s">
        <v>102</v>
      </c>
      <c r="S1071" s="46" t="s">
        <v>102</v>
      </c>
      <c r="T1071" s="46" t="s">
        <v>3078</v>
      </c>
      <c r="U1071" s="51">
        <v>4</v>
      </c>
    </row>
    <row r="1072" spans="2:21" ht="14.5" outlineLevel="3">
      <c r="B1072" s="44" t="s">
        <v>3352</v>
      </c>
      <c r="C1072" s="45" t="s">
        <v>3256</v>
      </c>
      <c r="D1072" s="46" t="s">
        <v>2804</v>
      </c>
      <c r="E1072" s="47" t="s">
        <v>102</v>
      </c>
      <c r="F1072" s="46" t="s">
        <v>102</v>
      </c>
      <c r="G1072" s="47" t="s">
        <v>102</v>
      </c>
      <c r="H1072" s="48">
        <v>0</v>
      </c>
      <c r="I1072" s="48">
        <v>0</v>
      </c>
      <c r="J1072" s="47" t="s">
        <v>2613</v>
      </c>
      <c r="K1072" s="49">
        <v>0</v>
      </c>
      <c r="L1072" s="49" t="s">
        <v>2614</v>
      </c>
      <c r="M1072" s="46" t="s">
        <v>117</v>
      </c>
      <c r="N1072" s="50">
        <v>0</v>
      </c>
      <c r="O1072" s="50">
        <v>0</v>
      </c>
      <c r="P1072" s="50">
        <v>0</v>
      </c>
      <c r="Q1072" s="46" t="s">
        <v>102</v>
      </c>
      <c r="R1072" s="46" t="s">
        <v>102</v>
      </c>
      <c r="S1072" s="46" t="s">
        <v>102</v>
      </c>
      <c r="T1072" s="46" t="s">
        <v>3081</v>
      </c>
      <c r="U1072" s="51">
        <v>4</v>
      </c>
    </row>
    <row r="1073" spans="2:21" ht="14.5" outlineLevel="3">
      <c r="B1073" s="44" t="s">
        <v>3353</v>
      </c>
      <c r="C1073" s="45" t="s">
        <v>3258</v>
      </c>
      <c r="D1073" s="46" t="s">
        <v>102</v>
      </c>
      <c r="E1073" s="47" t="s">
        <v>102</v>
      </c>
      <c r="F1073" s="46" t="s">
        <v>102</v>
      </c>
      <c r="G1073" s="47" t="s">
        <v>102</v>
      </c>
      <c r="H1073" s="48">
        <v>0</v>
      </c>
      <c r="I1073" s="48">
        <v>0</v>
      </c>
      <c r="J1073" s="47" t="s">
        <v>102</v>
      </c>
      <c r="K1073" s="49">
        <v>0</v>
      </c>
      <c r="L1073" s="49" t="s">
        <v>102</v>
      </c>
      <c r="M1073" s="46" t="s">
        <v>102</v>
      </c>
      <c r="N1073" s="50">
        <v>0</v>
      </c>
      <c r="O1073" s="50">
        <v>0</v>
      </c>
      <c r="P1073" s="50">
        <v>0</v>
      </c>
      <c r="Q1073" s="46" t="s">
        <v>102</v>
      </c>
      <c r="R1073" s="46" t="s">
        <v>102</v>
      </c>
      <c r="S1073" s="46" t="s">
        <v>2776</v>
      </c>
      <c r="T1073" s="46" t="s">
        <v>102</v>
      </c>
      <c r="U1073" s="51">
        <v>3</v>
      </c>
    </row>
    <row r="1074" spans="2:21" ht="14.5" outlineLevel="3">
      <c r="B1074" s="44" t="s">
        <v>3354</v>
      </c>
      <c r="C1074" s="45" t="s">
        <v>3260</v>
      </c>
      <c r="D1074" s="46" t="s">
        <v>102</v>
      </c>
      <c r="E1074" s="47" t="s">
        <v>102</v>
      </c>
      <c r="F1074" s="46" t="s">
        <v>102</v>
      </c>
      <c r="G1074" s="47" t="s">
        <v>102</v>
      </c>
      <c r="H1074" s="48">
        <v>0</v>
      </c>
      <c r="I1074" s="48">
        <v>0</v>
      </c>
      <c r="J1074" s="47" t="s">
        <v>2613</v>
      </c>
      <c r="K1074" s="49">
        <v>0</v>
      </c>
      <c r="L1074" s="49" t="s">
        <v>2614</v>
      </c>
      <c r="M1074" s="46" t="s">
        <v>117</v>
      </c>
      <c r="N1074" s="50">
        <v>0</v>
      </c>
      <c r="O1074" s="50">
        <v>0</v>
      </c>
      <c r="P1074" s="50">
        <v>0</v>
      </c>
      <c r="Q1074" s="46" t="s">
        <v>102</v>
      </c>
      <c r="R1074" s="46" t="s">
        <v>102</v>
      </c>
      <c r="S1074" s="46" t="s">
        <v>102</v>
      </c>
      <c r="T1074" s="46" t="s">
        <v>2666</v>
      </c>
      <c r="U1074" s="51">
        <v>4</v>
      </c>
    </row>
    <row r="1075" spans="2:21" ht="14.5" outlineLevel="3">
      <c r="B1075" s="44" t="s">
        <v>3355</v>
      </c>
      <c r="C1075" s="45" t="s">
        <v>3262</v>
      </c>
      <c r="D1075" s="46" t="s">
        <v>102</v>
      </c>
      <c r="E1075" s="47" t="s">
        <v>102</v>
      </c>
      <c r="F1075" s="46" t="s">
        <v>102</v>
      </c>
      <c r="G1075" s="47" t="s">
        <v>102</v>
      </c>
      <c r="H1075" s="48">
        <v>0</v>
      </c>
      <c r="I1075" s="48">
        <v>0</v>
      </c>
      <c r="J1075" s="47" t="s">
        <v>2613</v>
      </c>
      <c r="K1075" s="49">
        <v>0</v>
      </c>
      <c r="L1075" s="49" t="s">
        <v>2614</v>
      </c>
      <c r="M1075" s="46" t="s">
        <v>117</v>
      </c>
      <c r="N1075" s="50">
        <v>0</v>
      </c>
      <c r="O1075" s="50">
        <v>0</v>
      </c>
      <c r="P1075" s="50">
        <v>0</v>
      </c>
      <c r="Q1075" s="46" t="s">
        <v>102</v>
      </c>
      <c r="R1075" s="46" t="s">
        <v>102</v>
      </c>
      <c r="S1075" s="46" t="s">
        <v>102</v>
      </c>
      <c r="T1075" s="46" t="s">
        <v>3088</v>
      </c>
      <c r="U1075" s="51">
        <v>4</v>
      </c>
    </row>
    <row r="1076" spans="2:21" ht="14.5" outlineLevel="3">
      <c r="B1076" s="44" t="s">
        <v>3356</v>
      </c>
      <c r="C1076" s="45" t="s">
        <v>3264</v>
      </c>
      <c r="D1076" s="46" t="s">
        <v>102</v>
      </c>
      <c r="E1076" s="47" t="s">
        <v>102</v>
      </c>
      <c r="F1076" s="46" t="s">
        <v>102</v>
      </c>
      <c r="G1076" s="47" t="s">
        <v>102</v>
      </c>
      <c r="H1076" s="48">
        <v>0</v>
      </c>
      <c r="I1076" s="48">
        <v>0</v>
      </c>
      <c r="J1076" s="47" t="s">
        <v>2613</v>
      </c>
      <c r="K1076" s="49">
        <v>0</v>
      </c>
      <c r="L1076" s="49" t="s">
        <v>2614</v>
      </c>
      <c r="M1076" s="46" t="s">
        <v>117</v>
      </c>
      <c r="N1076" s="50">
        <v>0</v>
      </c>
      <c r="O1076" s="50">
        <v>0</v>
      </c>
      <c r="P1076" s="50">
        <v>0</v>
      </c>
      <c r="Q1076" s="46" t="s">
        <v>102</v>
      </c>
      <c r="R1076" s="46" t="s">
        <v>102</v>
      </c>
      <c r="S1076" s="46" t="s">
        <v>102</v>
      </c>
      <c r="T1076" s="46" t="s">
        <v>3091</v>
      </c>
      <c r="U1076" s="51">
        <v>4</v>
      </c>
    </row>
    <row r="1077" spans="2:21" ht="14.5" outlineLevel="3">
      <c r="B1077" s="44" t="s">
        <v>3357</v>
      </c>
      <c r="C1077" s="45" t="s">
        <v>3266</v>
      </c>
      <c r="D1077" s="46" t="s">
        <v>102</v>
      </c>
      <c r="E1077" s="47" t="s">
        <v>102</v>
      </c>
      <c r="F1077" s="46" t="s">
        <v>102</v>
      </c>
      <c r="G1077" s="47" t="s">
        <v>102</v>
      </c>
      <c r="H1077" s="48">
        <v>0</v>
      </c>
      <c r="I1077" s="48">
        <v>0</v>
      </c>
      <c r="J1077" s="47" t="s">
        <v>2613</v>
      </c>
      <c r="K1077" s="49">
        <v>0</v>
      </c>
      <c r="L1077" s="49" t="s">
        <v>2614</v>
      </c>
      <c r="M1077" s="46" t="s">
        <v>117</v>
      </c>
      <c r="N1077" s="50">
        <v>0</v>
      </c>
      <c r="O1077" s="50">
        <v>0</v>
      </c>
      <c r="P1077" s="50">
        <v>0</v>
      </c>
      <c r="Q1077" s="46" t="s">
        <v>102</v>
      </c>
      <c r="R1077" s="46" t="s">
        <v>102</v>
      </c>
      <c r="S1077" s="46" t="s">
        <v>102</v>
      </c>
      <c r="T1077" s="46" t="s">
        <v>3094</v>
      </c>
      <c r="U1077" s="51">
        <v>4</v>
      </c>
    </row>
    <row r="1078" spans="2:21" ht="14.5" outlineLevel="2">
      <c r="B1078" s="36" t="s">
        <v>3358</v>
      </c>
      <c r="C1078" s="37" t="s">
        <v>3268</v>
      </c>
      <c r="D1078" s="38" t="s">
        <v>102</v>
      </c>
      <c r="E1078" s="39" t="s">
        <v>102</v>
      </c>
      <c r="F1078" s="38" t="s">
        <v>102</v>
      </c>
      <c r="G1078" s="39" t="s">
        <v>102</v>
      </c>
      <c r="H1078" s="40">
        <v>0</v>
      </c>
      <c r="I1078" s="40">
        <v>0</v>
      </c>
      <c r="J1078" s="39" t="s">
        <v>2613</v>
      </c>
      <c r="K1078" s="41">
        <v>0</v>
      </c>
      <c r="L1078" s="41" t="s">
        <v>2614</v>
      </c>
      <c r="M1078" s="38" t="s">
        <v>117</v>
      </c>
      <c r="N1078" s="42">
        <v>0</v>
      </c>
      <c r="O1078" s="42">
        <v>0</v>
      </c>
      <c r="P1078" s="42">
        <v>0</v>
      </c>
      <c r="Q1078" s="38" t="s">
        <v>102</v>
      </c>
      <c r="R1078" s="38" t="s">
        <v>102</v>
      </c>
      <c r="S1078" s="38" t="s">
        <v>102</v>
      </c>
      <c r="T1078" s="38" t="s">
        <v>3097</v>
      </c>
      <c r="U1078" s="43">
        <v>4</v>
      </c>
    </row>
    <row r="1079" spans="2:21" ht="14.5" outlineLevel="3">
      <c r="B1079" s="44" t="s">
        <v>3359</v>
      </c>
      <c r="C1079" s="45" t="s">
        <v>3270</v>
      </c>
      <c r="D1079" s="46" t="s">
        <v>102</v>
      </c>
      <c r="E1079" s="47" t="s">
        <v>102</v>
      </c>
      <c r="F1079" s="46" t="s">
        <v>102</v>
      </c>
      <c r="G1079" s="47" t="s">
        <v>102</v>
      </c>
      <c r="H1079" s="48">
        <v>0</v>
      </c>
      <c r="I1079" s="48">
        <v>0</v>
      </c>
      <c r="J1079" s="47" t="s">
        <v>2613</v>
      </c>
      <c r="K1079" s="49">
        <v>0</v>
      </c>
      <c r="L1079" s="49" t="s">
        <v>2614</v>
      </c>
      <c r="M1079" s="46" t="s">
        <v>117</v>
      </c>
      <c r="N1079" s="50">
        <v>0</v>
      </c>
      <c r="O1079" s="50">
        <v>0</v>
      </c>
      <c r="P1079" s="50">
        <v>0</v>
      </c>
      <c r="Q1079" s="46" t="s">
        <v>102</v>
      </c>
      <c r="R1079" s="46" t="s">
        <v>102</v>
      </c>
      <c r="S1079" s="46" t="s">
        <v>102</v>
      </c>
      <c r="T1079" s="46" t="s">
        <v>3100</v>
      </c>
      <c r="U1079" s="51">
        <v>4</v>
      </c>
    </row>
    <row r="1080" spans="2:21" ht="14.5" outlineLevel="1">
      <c r="B1080" s="28" t="s">
        <v>3360</v>
      </c>
      <c r="C1080" s="29" t="s">
        <v>3272</v>
      </c>
      <c r="D1080" s="30" t="s">
        <v>102</v>
      </c>
      <c r="E1080" s="31" t="s">
        <v>102</v>
      </c>
      <c r="F1080" s="30" t="s">
        <v>102</v>
      </c>
      <c r="G1080" s="31" t="s">
        <v>102</v>
      </c>
      <c r="H1080" s="32">
        <v>0</v>
      </c>
      <c r="I1080" s="32">
        <v>0</v>
      </c>
      <c r="J1080" s="31" t="s">
        <v>2613</v>
      </c>
      <c r="K1080" s="33">
        <v>0</v>
      </c>
      <c r="L1080" s="33" t="s">
        <v>2614</v>
      </c>
      <c r="M1080" s="30" t="s">
        <v>117</v>
      </c>
      <c r="N1080" s="34">
        <v>0</v>
      </c>
      <c r="O1080" s="34">
        <v>0</v>
      </c>
      <c r="P1080" s="34">
        <v>0</v>
      </c>
      <c r="Q1080" s="30" t="s">
        <v>102</v>
      </c>
      <c r="R1080" s="30" t="s">
        <v>102</v>
      </c>
      <c r="S1080" s="30" t="s">
        <v>102</v>
      </c>
      <c r="T1080" s="30" t="s">
        <v>3103</v>
      </c>
      <c r="U1080" s="35">
        <v>4</v>
      </c>
    </row>
    <row r="1081" spans="2:21" ht="14.5" outlineLevel="2">
      <c r="B1081" s="36" t="s">
        <v>3361</v>
      </c>
      <c r="C1081" s="37" t="s">
        <v>3274</v>
      </c>
      <c r="D1081" s="38" t="s">
        <v>102</v>
      </c>
      <c r="E1081" s="39" t="s">
        <v>102</v>
      </c>
      <c r="F1081" s="38" t="s">
        <v>102</v>
      </c>
      <c r="G1081" s="39" t="s">
        <v>102</v>
      </c>
      <c r="H1081" s="40">
        <v>0</v>
      </c>
      <c r="I1081" s="40">
        <v>0</v>
      </c>
      <c r="J1081" s="39" t="s">
        <v>102</v>
      </c>
      <c r="K1081" s="41">
        <v>0</v>
      </c>
      <c r="L1081" s="41" t="s">
        <v>102</v>
      </c>
      <c r="M1081" s="38" t="s">
        <v>102</v>
      </c>
      <c r="N1081" s="42">
        <v>0</v>
      </c>
      <c r="O1081" s="42">
        <v>0</v>
      </c>
      <c r="P1081" s="42">
        <v>0</v>
      </c>
      <c r="Q1081" s="38" t="s">
        <v>102</v>
      </c>
      <c r="R1081" s="38" t="s">
        <v>102</v>
      </c>
      <c r="S1081" s="38" t="s">
        <v>3106</v>
      </c>
      <c r="T1081" s="38" t="s">
        <v>102</v>
      </c>
      <c r="U1081" s="43">
        <v>3</v>
      </c>
    </row>
    <row r="1082" spans="2:21" ht="14.5" outlineLevel="3">
      <c r="B1082" s="44" t="s">
        <v>3362</v>
      </c>
      <c r="C1082" s="45" t="s">
        <v>3276</v>
      </c>
      <c r="D1082" s="46" t="s">
        <v>102</v>
      </c>
      <c r="E1082" s="47" t="s">
        <v>102</v>
      </c>
      <c r="F1082" s="46" t="s">
        <v>102</v>
      </c>
      <c r="G1082" s="47" t="s">
        <v>102</v>
      </c>
      <c r="H1082" s="48">
        <v>0</v>
      </c>
      <c r="I1082" s="48">
        <v>0</v>
      </c>
      <c r="J1082" s="47" t="s">
        <v>2613</v>
      </c>
      <c r="K1082" s="49">
        <v>0</v>
      </c>
      <c r="L1082" s="49" t="s">
        <v>2614</v>
      </c>
      <c r="M1082" s="46" t="s">
        <v>117</v>
      </c>
      <c r="N1082" s="50">
        <v>0</v>
      </c>
      <c r="O1082" s="50">
        <v>0</v>
      </c>
      <c r="P1082" s="50">
        <v>0</v>
      </c>
      <c r="Q1082" s="46" t="s">
        <v>102</v>
      </c>
      <c r="R1082" s="46" t="s">
        <v>102</v>
      </c>
      <c r="S1082" s="46" t="s">
        <v>102</v>
      </c>
      <c r="T1082" s="46" t="s">
        <v>2666</v>
      </c>
      <c r="U1082" s="51">
        <v>4</v>
      </c>
    </row>
    <row r="1083" spans="2:21" ht="14.5" outlineLevel="3">
      <c r="B1083" s="44" t="s">
        <v>3363</v>
      </c>
      <c r="C1083" s="45" t="s">
        <v>3364</v>
      </c>
      <c r="D1083" s="46" t="s">
        <v>102</v>
      </c>
      <c r="E1083" s="47" t="s">
        <v>102</v>
      </c>
      <c r="F1083" s="46" t="s">
        <v>102</v>
      </c>
      <c r="G1083" s="47" t="s">
        <v>102</v>
      </c>
      <c r="H1083" s="48">
        <v>0</v>
      </c>
      <c r="I1083" s="48">
        <v>0</v>
      </c>
      <c r="J1083" s="47" t="s">
        <v>102</v>
      </c>
      <c r="K1083" s="49">
        <v>0</v>
      </c>
      <c r="L1083" s="49" t="s">
        <v>102</v>
      </c>
      <c r="M1083" s="46" t="s">
        <v>102</v>
      </c>
      <c r="N1083" s="50">
        <v>0</v>
      </c>
      <c r="O1083" s="50">
        <v>0</v>
      </c>
      <c r="P1083" s="50">
        <v>0</v>
      </c>
      <c r="Q1083" s="46" t="s">
        <v>102</v>
      </c>
      <c r="R1083" s="46" t="s">
        <v>3365</v>
      </c>
      <c r="S1083" s="46" t="s">
        <v>102</v>
      </c>
      <c r="T1083" s="46" t="s">
        <v>102</v>
      </c>
      <c r="U1083" s="51">
        <v>2</v>
      </c>
    </row>
    <row r="1084" spans="2:21" ht="14.5" outlineLevel="3">
      <c r="B1084" s="44" t="s">
        <v>3366</v>
      </c>
      <c r="C1084" s="45" t="s">
        <v>3367</v>
      </c>
      <c r="D1084" s="46" t="s">
        <v>102</v>
      </c>
      <c r="E1084" s="47" t="s">
        <v>102</v>
      </c>
      <c r="F1084" s="46" t="s">
        <v>102</v>
      </c>
      <c r="G1084" s="47" t="s">
        <v>102</v>
      </c>
      <c r="H1084" s="48">
        <v>0</v>
      </c>
      <c r="I1084" s="48">
        <v>0</v>
      </c>
      <c r="J1084" s="47" t="s">
        <v>102</v>
      </c>
      <c r="K1084" s="49">
        <v>0</v>
      </c>
      <c r="L1084" s="49" t="s">
        <v>102</v>
      </c>
      <c r="M1084" s="46" t="s">
        <v>102</v>
      </c>
      <c r="N1084" s="50">
        <v>0</v>
      </c>
      <c r="O1084" s="50">
        <v>0</v>
      </c>
      <c r="P1084" s="50">
        <v>0</v>
      </c>
      <c r="Q1084" s="46" t="s">
        <v>102</v>
      </c>
      <c r="R1084" s="46" t="s">
        <v>102</v>
      </c>
      <c r="S1084" s="46" t="s">
        <v>3368</v>
      </c>
      <c r="T1084" s="46" t="s">
        <v>102</v>
      </c>
      <c r="U1084" s="51">
        <v>3</v>
      </c>
    </row>
    <row r="1085" spans="2:21" ht="14.5" outlineLevel="3">
      <c r="B1085" s="44" t="s">
        <v>3369</v>
      </c>
      <c r="C1085" s="45" t="s">
        <v>3370</v>
      </c>
      <c r="D1085" s="46" t="s">
        <v>111</v>
      </c>
      <c r="E1085" s="47" t="s">
        <v>102</v>
      </c>
      <c r="F1085" s="46" t="s">
        <v>102</v>
      </c>
      <c r="G1085" s="47" t="s">
        <v>102</v>
      </c>
      <c r="H1085" s="48">
        <v>0</v>
      </c>
      <c r="I1085" s="48">
        <v>0</v>
      </c>
      <c r="J1085" s="47" t="s">
        <v>3371</v>
      </c>
      <c r="K1085" s="49">
        <v>1</v>
      </c>
      <c r="L1085" s="49" t="s">
        <v>2614</v>
      </c>
      <c r="M1085" s="46" t="s">
        <v>117</v>
      </c>
      <c r="N1085" s="50">
        <v>0</v>
      </c>
      <c r="O1085" s="50">
        <v>0</v>
      </c>
      <c r="P1085" s="50">
        <v>0</v>
      </c>
      <c r="Q1085" s="46" t="s">
        <v>102</v>
      </c>
      <c r="R1085" s="46" t="s">
        <v>102</v>
      </c>
      <c r="S1085" s="46" t="s">
        <v>102</v>
      </c>
      <c r="T1085" s="46" t="s">
        <v>273</v>
      </c>
      <c r="U1085" s="51">
        <v>4</v>
      </c>
    </row>
    <row r="1086" spans="2:21" ht="14.5" outlineLevel="3">
      <c r="B1086" s="44" t="s">
        <v>3372</v>
      </c>
      <c r="C1086" s="45" t="s">
        <v>3373</v>
      </c>
      <c r="D1086" s="46" t="s">
        <v>111</v>
      </c>
      <c r="E1086" s="47" t="s">
        <v>102</v>
      </c>
      <c r="F1086" s="46" t="s">
        <v>102</v>
      </c>
      <c r="G1086" s="47" t="s">
        <v>102</v>
      </c>
      <c r="H1086" s="48">
        <v>0</v>
      </c>
      <c r="I1086" s="48">
        <v>0</v>
      </c>
      <c r="J1086" s="47" t="s">
        <v>3371</v>
      </c>
      <c r="K1086" s="49">
        <v>1</v>
      </c>
      <c r="L1086" s="49" t="s">
        <v>2614</v>
      </c>
      <c r="M1086" s="46" t="s">
        <v>117</v>
      </c>
      <c r="N1086" s="50">
        <v>0</v>
      </c>
      <c r="O1086" s="50">
        <v>0</v>
      </c>
      <c r="P1086" s="50">
        <v>0</v>
      </c>
      <c r="Q1086" s="46" t="s">
        <v>102</v>
      </c>
      <c r="R1086" s="46" t="s">
        <v>102</v>
      </c>
      <c r="S1086" s="46" t="s">
        <v>102</v>
      </c>
      <c r="T1086" s="46" t="s">
        <v>283</v>
      </c>
      <c r="U1086" s="51">
        <v>4</v>
      </c>
    </row>
    <row r="1087" spans="2:21" ht="14.5" outlineLevel="3">
      <c r="B1087" s="44" t="s">
        <v>3374</v>
      </c>
      <c r="C1087" s="45" t="s">
        <v>3375</v>
      </c>
      <c r="D1087" s="46" t="s">
        <v>111</v>
      </c>
      <c r="E1087" s="47" t="s">
        <v>102</v>
      </c>
      <c r="F1087" s="46" t="s">
        <v>102</v>
      </c>
      <c r="G1087" s="47" t="s">
        <v>102</v>
      </c>
      <c r="H1087" s="48">
        <v>0</v>
      </c>
      <c r="I1087" s="48">
        <v>0</v>
      </c>
      <c r="J1087" s="47" t="s">
        <v>3371</v>
      </c>
      <c r="K1087" s="49">
        <v>1</v>
      </c>
      <c r="L1087" s="49" t="s">
        <v>2614</v>
      </c>
      <c r="M1087" s="46" t="s">
        <v>117</v>
      </c>
      <c r="N1087" s="50">
        <v>0</v>
      </c>
      <c r="O1087" s="50">
        <v>0</v>
      </c>
      <c r="P1087" s="50">
        <v>0</v>
      </c>
      <c r="Q1087" s="46" t="s">
        <v>102</v>
      </c>
      <c r="R1087" s="46" t="s">
        <v>102</v>
      </c>
      <c r="S1087" s="46" t="s">
        <v>102</v>
      </c>
      <c r="T1087" s="46" t="s">
        <v>418</v>
      </c>
      <c r="U1087" s="51">
        <v>4</v>
      </c>
    </row>
    <row r="1088" spans="2:21" ht="14.5" outlineLevel="3">
      <c r="B1088" s="44" t="s">
        <v>3376</v>
      </c>
      <c r="C1088" s="45" t="s">
        <v>3377</v>
      </c>
      <c r="D1088" s="46" t="s">
        <v>111</v>
      </c>
      <c r="E1088" s="47" t="s">
        <v>102</v>
      </c>
      <c r="F1088" s="46" t="s">
        <v>102</v>
      </c>
      <c r="G1088" s="47" t="s">
        <v>102</v>
      </c>
      <c r="H1088" s="48">
        <v>0</v>
      </c>
      <c r="I1088" s="48">
        <v>0</v>
      </c>
      <c r="J1088" s="47" t="s">
        <v>3371</v>
      </c>
      <c r="K1088" s="49">
        <v>1</v>
      </c>
      <c r="L1088" s="49" t="s">
        <v>2614</v>
      </c>
      <c r="M1088" s="46" t="s">
        <v>117</v>
      </c>
      <c r="N1088" s="50">
        <v>0</v>
      </c>
      <c r="O1088" s="50">
        <v>0</v>
      </c>
      <c r="P1088" s="50">
        <v>0</v>
      </c>
      <c r="Q1088" s="46" t="s">
        <v>102</v>
      </c>
      <c r="R1088" s="46" t="s">
        <v>102</v>
      </c>
      <c r="S1088" s="46" t="s">
        <v>102</v>
      </c>
      <c r="T1088" s="46" t="s">
        <v>663</v>
      </c>
      <c r="U1088" s="51">
        <v>4</v>
      </c>
    </row>
    <row r="1089" spans="2:21" ht="14.5" outlineLevel="3">
      <c r="B1089" s="44" t="s">
        <v>3378</v>
      </c>
      <c r="C1089" s="45" t="s">
        <v>3379</v>
      </c>
      <c r="D1089" s="46" t="s">
        <v>111</v>
      </c>
      <c r="E1089" s="47" t="s">
        <v>102</v>
      </c>
      <c r="F1089" s="46" t="s">
        <v>102</v>
      </c>
      <c r="G1089" s="47" t="s">
        <v>102</v>
      </c>
      <c r="H1089" s="48">
        <v>0</v>
      </c>
      <c r="I1089" s="48">
        <v>0</v>
      </c>
      <c r="J1089" s="47" t="s">
        <v>3371</v>
      </c>
      <c r="K1089" s="49">
        <v>1</v>
      </c>
      <c r="L1089" s="49" t="s">
        <v>2614</v>
      </c>
      <c r="M1089" s="46" t="s">
        <v>117</v>
      </c>
      <c r="N1089" s="50">
        <v>0</v>
      </c>
      <c r="O1089" s="50">
        <v>0</v>
      </c>
      <c r="P1089" s="50">
        <v>0</v>
      </c>
      <c r="Q1089" s="46" t="s">
        <v>102</v>
      </c>
      <c r="R1089" s="46" t="s">
        <v>102</v>
      </c>
      <c r="S1089" s="46" t="s">
        <v>102</v>
      </c>
      <c r="T1089" s="46" t="s">
        <v>223</v>
      </c>
      <c r="U1089" s="51">
        <v>4</v>
      </c>
    </row>
    <row r="1090" spans="2:21" ht="14.5" outlineLevel="3">
      <c r="B1090" s="44" t="s">
        <v>3380</v>
      </c>
      <c r="C1090" s="45" t="s">
        <v>3381</v>
      </c>
      <c r="D1090" s="46" t="s">
        <v>111</v>
      </c>
      <c r="E1090" s="47" t="s">
        <v>102</v>
      </c>
      <c r="F1090" s="46" t="s">
        <v>102</v>
      </c>
      <c r="G1090" s="47" t="s">
        <v>102</v>
      </c>
      <c r="H1090" s="48">
        <v>0</v>
      </c>
      <c r="I1090" s="48">
        <v>0</v>
      </c>
      <c r="J1090" s="47" t="s">
        <v>3371</v>
      </c>
      <c r="K1090" s="49">
        <v>1</v>
      </c>
      <c r="L1090" s="49" t="s">
        <v>2614</v>
      </c>
      <c r="M1090" s="46" t="s">
        <v>117</v>
      </c>
      <c r="N1090" s="50">
        <v>0</v>
      </c>
      <c r="O1090" s="50">
        <v>0</v>
      </c>
      <c r="P1090" s="50">
        <v>0</v>
      </c>
      <c r="Q1090" s="46" t="s">
        <v>102</v>
      </c>
      <c r="R1090" s="46" t="s">
        <v>102</v>
      </c>
      <c r="S1090" s="46" t="s">
        <v>102</v>
      </c>
      <c r="T1090" s="46" t="s">
        <v>450</v>
      </c>
      <c r="U1090" s="51">
        <v>4</v>
      </c>
    </row>
    <row r="1091" spans="2:21" ht="14.5" outlineLevel="3">
      <c r="B1091" s="44" t="s">
        <v>3382</v>
      </c>
      <c r="C1091" s="45" t="s">
        <v>3383</v>
      </c>
      <c r="D1091" s="46" t="s">
        <v>195</v>
      </c>
      <c r="E1091" s="47" t="s">
        <v>102</v>
      </c>
      <c r="F1091" s="46" t="s">
        <v>102</v>
      </c>
      <c r="G1091" s="47" t="s">
        <v>102</v>
      </c>
      <c r="H1091" s="48">
        <v>0</v>
      </c>
      <c r="I1091" s="48">
        <v>0</v>
      </c>
      <c r="J1091" s="47" t="s">
        <v>3371</v>
      </c>
      <c r="K1091" s="49">
        <v>1</v>
      </c>
      <c r="L1091" s="49" t="s">
        <v>2614</v>
      </c>
      <c r="M1091" s="46" t="s">
        <v>117</v>
      </c>
      <c r="N1091" s="50">
        <v>0</v>
      </c>
      <c r="O1091" s="50">
        <v>0</v>
      </c>
      <c r="P1091" s="50">
        <v>0</v>
      </c>
      <c r="Q1091" s="46" t="s">
        <v>102</v>
      </c>
      <c r="R1091" s="46" t="s">
        <v>102</v>
      </c>
      <c r="S1091" s="46" t="s">
        <v>102</v>
      </c>
      <c r="T1091" s="46" t="s">
        <v>455</v>
      </c>
      <c r="U1091" s="51">
        <v>4</v>
      </c>
    </row>
    <row r="1092" spans="2:21" ht="14.5" outlineLevel="3">
      <c r="B1092" s="44" t="s">
        <v>3384</v>
      </c>
      <c r="C1092" s="45" t="s">
        <v>3385</v>
      </c>
      <c r="D1092" s="46" t="s">
        <v>102</v>
      </c>
      <c r="E1092" s="47" t="s">
        <v>102</v>
      </c>
      <c r="F1092" s="46" t="s">
        <v>102</v>
      </c>
      <c r="G1092" s="47" t="s">
        <v>102</v>
      </c>
      <c r="H1092" s="48">
        <v>0</v>
      </c>
      <c r="I1092" s="48">
        <v>0</v>
      </c>
      <c r="J1092" s="47" t="s">
        <v>3371</v>
      </c>
      <c r="K1092" s="49">
        <v>1</v>
      </c>
      <c r="L1092" s="49" t="s">
        <v>2614</v>
      </c>
      <c r="M1092" s="46" t="s">
        <v>117</v>
      </c>
      <c r="N1092" s="50">
        <v>0</v>
      </c>
      <c r="O1092" s="50">
        <v>0</v>
      </c>
      <c r="P1092" s="50">
        <v>0</v>
      </c>
      <c r="Q1092" s="46" t="s">
        <v>102</v>
      </c>
      <c r="R1092" s="46" t="s">
        <v>102</v>
      </c>
      <c r="S1092" s="46" t="s">
        <v>102</v>
      </c>
      <c r="T1092" s="46" t="s">
        <v>1019</v>
      </c>
      <c r="U1092" s="51">
        <v>4</v>
      </c>
    </row>
    <row r="1093" spans="2:21" ht="14.5" outlineLevel="3">
      <c r="B1093" s="44" t="s">
        <v>3386</v>
      </c>
      <c r="C1093" s="45" t="s">
        <v>3387</v>
      </c>
      <c r="D1093" s="46" t="s">
        <v>102</v>
      </c>
      <c r="E1093" s="47" t="s">
        <v>102</v>
      </c>
      <c r="F1093" s="46" t="s">
        <v>102</v>
      </c>
      <c r="G1093" s="47" t="s">
        <v>102</v>
      </c>
      <c r="H1093" s="48">
        <v>0</v>
      </c>
      <c r="I1093" s="48">
        <v>0</v>
      </c>
      <c r="J1093" s="47" t="s">
        <v>3371</v>
      </c>
      <c r="K1093" s="49">
        <v>1</v>
      </c>
      <c r="L1093" s="49" t="s">
        <v>2614</v>
      </c>
      <c r="M1093" s="46" t="s">
        <v>117</v>
      </c>
      <c r="N1093" s="50">
        <v>0</v>
      </c>
      <c r="O1093" s="50">
        <v>0</v>
      </c>
      <c r="P1093" s="50">
        <v>0</v>
      </c>
      <c r="Q1093" s="46" t="s">
        <v>102</v>
      </c>
      <c r="R1093" s="46" t="s">
        <v>102</v>
      </c>
      <c r="S1093" s="46" t="s">
        <v>102</v>
      </c>
      <c r="T1093" s="46" t="s">
        <v>2815</v>
      </c>
      <c r="U1093" s="51">
        <v>4</v>
      </c>
    </row>
    <row r="1094" spans="2:21" ht="14.5" outlineLevel="3">
      <c r="B1094" s="44" t="s">
        <v>3388</v>
      </c>
      <c r="C1094" s="45" t="s">
        <v>3389</v>
      </c>
      <c r="D1094" s="46" t="s">
        <v>392</v>
      </c>
      <c r="E1094" s="47" t="s">
        <v>102</v>
      </c>
      <c r="F1094" s="46" t="s">
        <v>102</v>
      </c>
      <c r="G1094" s="47" t="s">
        <v>102</v>
      </c>
      <c r="H1094" s="48">
        <v>0</v>
      </c>
      <c r="I1094" s="48">
        <v>0</v>
      </c>
      <c r="J1094" s="47" t="s">
        <v>3371</v>
      </c>
      <c r="K1094" s="49">
        <v>1</v>
      </c>
      <c r="L1094" s="49" t="s">
        <v>2614</v>
      </c>
      <c r="M1094" s="46" t="s">
        <v>117</v>
      </c>
      <c r="N1094" s="50">
        <v>0</v>
      </c>
      <c r="O1094" s="50">
        <v>0</v>
      </c>
      <c r="P1094" s="50">
        <v>0</v>
      </c>
      <c r="Q1094" s="46" t="s">
        <v>102</v>
      </c>
      <c r="R1094" s="46" t="s">
        <v>102</v>
      </c>
      <c r="S1094" s="46" t="s">
        <v>102</v>
      </c>
      <c r="T1094" s="46" t="s">
        <v>461</v>
      </c>
      <c r="U1094" s="51">
        <v>4</v>
      </c>
    </row>
    <row r="1095" spans="2:21" ht="14.5" outlineLevel="3">
      <c r="B1095" s="44" t="s">
        <v>3390</v>
      </c>
      <c r="C1095" s="45" t="s">
        <v>3391</v>
      </c>
      <c r="D1095" s="46" t="s">
        <v>102</v>
      </c>
      <c r="E1095" s="47" t="s">
        <v>102</v>
      </c>
      <c r="F1095" s="46" t="s">
        <v>102</v>
      </c>
      <c r="G1095" s="47" t="s">
        <v>102</v>
      </c>
      <c r="H1095" s="48">
        <v>0</v>
      </c>
      <c r="I1095" s="48">
        <v>0</v>
      </c>
      <c r="J1095" s="47" t="s">
        <v>3371</v>
      </c>
      <c r="K1095" s="49">
        <v>1</v>
      </c>
      <c r="L1095" s="49" t="s">
        <v>2614</v>
      </c>
      <c r="M1095" s="46" t="s">
        <v>117</v>
      </c>
      <c r="N1095" s="50">
        <v>0</v>
      </c>
      <c r="O1095" s="50">
        <v>0</v>
      </c>
      <c r="P1095" s="50">
        <v>0</v>
      </c>
      <c r="Q1095" s="46" t="s">
        <v>102</v>
      </c>
      <c r="R1095" s="46" t="s">
        <v>102</v>
      </c>
      <c r="S1095" s="46" t="s">
        <v>102</v>
      </c>
      <c r="T1095" s="46" t="s">
        <v>466</v>
      </c>
      <c r="U1095" s="51">
        <v>4</v>
      </c>
    </row>
    <row r="1096" spans="2:21" ht="14.5" outlineLevel="3">
      <c r="B1096" s="44" t="s">
        <v>3392</v>
      </c>
      <c r="C1096" s="45" t="s">
        <v>3393</v>
      </c>
      <c r="D1096" s="46" t="s">
        <v>102</v>
      </c>
      <c r="E1096" s="47" t="s">
        <v>102</v>
      </c>
      <c r="F1096" s="46" t="s">
        <v>102</v>
      </c>
      <c r="G1096" s="47" t="s">
        <v>102</v>
      </c>
      <c r="H1096" s="48">
        <v>0</v>
      </c>
      <c r="I1096" s="48">
        <v>0</v>
      </c>
      <c r="J1096" s="47" t="s">
        <v>3371</v>
      </c>
      <c r="K1096" s="49">
        <v>1</v>
      </c>
      <c r="L1096" s="49" t="s">
        <v>2614</v>
      </c>
      <c r="M1096" s="46" t="s">
        <v>117</v>
      </c>
      <c r="N1096" s="50">
        <v>0</v>
      </c>
      <c r="O1096" s="50">
        <v>0</v>
      </c>
      <c r="P1096" s="50">
        <v>0</v>
      </c>
      <c r="Q1096" s="46" t="s">
        <v>102</v>
      </c>
      <c r="R1096" s="46" t="s">
        <v>102</v>
      </c>
      <c r="S1096" s="46" t="s">
        <v>102</v>
      </c>
      <c r="T1096" s="46" t="s">
        <v>472</v>
      </c>
      <c r="U1096" s="51">
        <v>4</v>
      </c>
    </row>
    <row r="1097" spans="2:21" ht="14.5" outlineLevel="3">
      <c r="B1097" s="44" t="s">
        <v>3394</v>
      </c>
      <c r="C1097" s="45" t="s">
        <v>3395</v>
      </c>
      <c r="D1097" s="46" t="s">
        <v>102</v>
      </c>
      <c r="E1097" s="47" t="s">
        <v>102</v>
      </c>
      <c r="F1097" s="46" t="s">
        <v>102</v>
      </c>
      <c r="G1097" s="47" t="s">
        <v>102</v>
      </c>
      <c r="H1097" s="48">
        <v>0</v>
      </c>
      <c r="I1097" s="48">
        <v>0</v>
      </c>
      <c r="J1097" s="47" t="s">
        <v>3371</v>
      </c>
      <c r="K1097" s="49">
        <v>1</v>
      </c>
      <c r="L1097" s="49" t="s">
        <v>2614</v>
      </c>
      <c r="M1097" s="46" t="s">
        <v>117</v>
      </c>
      <c r="N1097" s="50">
        <v>0</v>
      </c>
      <c r="O1097" s="50">
        <v>0</v>
      </c>
      <c r="P1097" s="50">
        <v>0</v>
      </c>
      <c r="Q1097" s="46" t="s">
        <v>102</v>
      </c>
      <c r="R1097" s="46" t="s">
        <v>102</v>
      </c>
      <c r="S1097" s="46" t="s">
        <v>102</v>
      </c>
      <c r="T1097" s="46" t="s">
        <v>2828</v>
      </c>
      <c r="U1097" s="51">
        <v>4</v>
      </c>
    </row>
    <row r="1098" spans="2:21" ht="14.5" outlineLevel="3">
      <c r="B1098" s="44" t="s">
        <v>3396</v>
      </c>
      <c r="C1098" s="45" t="s">
        <v>3397</v>
      </c>
      <c r="D1098" s="46" t="s">
        <v>111</v>
      </c>
      <c r="E1098" s="47" t="s">
        <v>102</v>
      </c>
      <c r="F1098" s="46" t="s">
        <v>102</v>
      </c>
      <c r="G1098" s="47" t="s">
        <v>102</v>
      </c>
      <c r="H1098" s="48">
        <v>0</v>
      </c>
      <c r="I1098" s="48">
        <v>0</v>
      </c>
      <c r="J1098" s="47" t="s">
        <v>3371</v>
      </c>
      <c r="K1098" s="49">
        <v>1</v>
      </c>
      <c r="L1098" s="49" t="s">
        <v>2614</v>
      </c>
      <c r="M1098" s="46" t="s">
        <v>117</v>
      </c>
      <c r="N1098" s="50">
        <v>0</v>
      </c>
      <c r="O1098" s="50">
        <v>0</v>
      </c>
      <c r="P1098" s="50">
        <v>0</v>
      </c>
      <c r="Q1098" s="46" t="s">
        <v>102</v>
      </c>
      <c r="R1098" s="46" t="s">
        <v>102</v>
      </c>
      <c r="S1098" s="46" t="s">
        <v>102</v>
      </c>
      <c r="T1098" s="46" t="s">
        <v>2773</v>
      </c>
      <c r="U1098" s="51">
        <v>4</v>
      </c>
    </row>
    <row r="1099" spans="2:21" ht="14.5" outlineLevel="3">
      <c r="B1099" s="44" t="s">
        <v>3398</v>
      </c>
      <c r="C1099" s="45" t="s">
        <v>3399</v>
      </c>
      <c r="D1099" s="46" t="s">
        <v>102</v>
      </c>
      <c r="E1099" s="47" t="s">
        <v>102</v>
      </c>
      <c r="F1099" s="46" t="s">
        <v>102</v>
      </c>
      <c r="G1099" s="47" t="s">
        <v>102</v>
      </c>
      <c r="H1099" s="48">
        <v>0</v>
      </c>
      <c r="I1099" s="48">
        <v>0</v>
      </c>
      <c r="J1099" s="47" t="s">
        <v>3371</v>
      </c>
      <c r="K1099" s="49">
        <v>1</v>
      </c>
      <c r="L1099" s="49" t="s">
        <v>2614</v>
      </c>
      <c r="M1099" s="46" t="s">
        <v>117</v>
      </c>
      <c r="N1099" s="50">
        <v>0</v>
      </c>
      <c r="O1099" s="50">
        <v>0</v>
      </c>
      <c r="P1099" s="50">
        <v>0</v>
      </c>
      <c r="Q1099" s="46" t="s">
        <v>102</v>
      </c>
      <c r="R1099" s="46" t="s">
        <v>102</v>
      </c>
      <c r="S1099" s="46" t="s">
        <v>102</v>
      </c>
      <c r="T1099" s="46" t="s">
        <v>2831</v>
      </c>
      <c r="U1099" s="51">
        <v>4</v>
      </c>
    </row>
    <row r="1100" spans="2:21" ht="14.5" outlineLevel="3">
      <c r="B1100" s="44" t="s">
        <v>3400</v>
      </c>
      <c r="C1100" s="45" t="s">
        <v>3401</v>
      </c>
      <c r="D1100" s="46" t="s">
        <v>102</v>
      </c>
      <c r="E1100" s="47" t="s">
        <v>102</v>
      </c>
      <c r="F1100" s="46" t="s">
        <v>102</v>
      </c>
      <c r="G1100" s="47" t="s">
        <v>102</v>
      </c>
      <c r="H1100" s="48">
        <v>0</v>
      </c>
      <c r="I1100" s="48">
        <v>0</v>
      </c>
      <c r="J1100" s="47" t="s">
        <v>3371</v>
      </c>
      <c r="K1100" s="49">
        <v>1</v>
      </c>
      <c r="L1100" s="49" t="s">
        <v>2614</v>
      </c>
      <c r="M1100" s="46" t="s">
        <v>117</v>
      </c>
      <c r="N1100" s="50">
        <v>0</v>
      </c>
      <c r="O1100" s="50">
        <v>0</v>
      </c>
      <c r="P1100" s="50">
        <v>0</v>
      </c>
      <c r="Q1100" s="46" t="s">
        <v>102</v>
      </c>
      <c r="R1100" s="46" t="s">
        <v>102</v>
      </c>
      <c r="S1100" s="46" t="s">
        <v>102</v>
      </c>
      <c r="T1100" s="46" t="s">
        <v>3402</v>
      </c>
      <c r="U1100" s="51">
        <v>4</v>
      </c>
    </row>
    <row r="1101" spans="2:21" ht="14.5" outlineLevel="3">
      <c r="B1101" s="44" t="s">
        <v>3403</v>
      </c>
      <c r="C1101" s="45" t="s">
        <v>3404</v>
      </c>
      <c r="D1101" s="46" t="s">
        <v>102</v>
      </c>
      <c r="E1101" s="47" t="s">
        <v>102</v>
      </c>
      <c r="F1101" s="46" t="s">
        <v>102</v>
      </c>
      <c r="G1101" s="47" t="s">
        <v>102</v>
      </c>
      <c r="H1101" s="48">
        <v>0</v>
      </c>
      <c r="I1101" s="48">
        <v>0</v>
      </c>
      <c r="J1101" s="47" t="s">
        <v>3371</v>
      </c>
      <c r="K1101" s="49">
        <v>1</v>
      </c>
      <c r="L1101" s="49" t="s">
        <v>2614</v>
      </c>
      <c r="M1101" s="46" t="s">
        <v>117</v>
      </c>
      <c r="N1101" s="50">
        <v>0</v>
      </c>
      <c r="O1101" s="50">
        <v>0</v>
      </c>
      <c r="P1101" s="50">
        <v>0</v>
      </c>
      <c r="Q1101" s="46" t="s">
        <v>102</v>
      </c>
      <c r="R1101" s="46" t="s">
        <v>102</v>
      </c>
      <c r="S1101" s="46" t="s">
        <v>102</v>
      </c>
      <c r="T1101" s="46" t="s">
        <v>527</v>
      </c>
      <c r="U1101" s="51">
        <v>4</v>
      </c>
    </row>
    <row r="1102" spans="2:21" ht="14.5" outlineLevel="3">
      <c r="B1102" s="44" t="s">
        <v>3405</v>
      </c>
      <c r="C1102" s="45" t="s">
        <v>3406</v>
      </c>
      <c r="D1102" s="46" t="s">
        <v>392</v>
      </c>
      <c r="E1102" s="47" t="s">
        <v>102</v>
      </c>
      <c r="F1102" s="46" t="s">
        <v>102</v>
      </c>
      <c r="G1102" s="47" t="s">
        <v>102</v>
      </c>
      <c r="H1102" s="48">
        <v>0</v>
      </c>
      <c r="I1102" s="48">
        <v>0</v>
      </c>
      <c r="J1102" s="47" t="s">
        <v>3371</v>
      </c>
      <c r="K1102" s="49">
        <v>1</v>
      </c>
      <c r="L1102" s="49" t="s">
        <v>2614</v>
      </c>
      <c r="M1102" s="46" t="s">
        <v>117</v>
      </c>
      <c r="N1102" s="50">
        <v>0</v>
      </c>
      <c r="O1102" s="50">
        <v>0</v>
      </c>
      <c r="P1102" s="50">
        <v>0</v>
      </c>
      <c r="Q1102" s="46" t="s">
        <v>102</v>
      </c>
      <c r="R1102" s="46" t="s">
        <v>102</v>
      </c>
      <c r="S1102" s="46" t="s">
        <v>102</v>
      </c>
      <c r="T1102" s="46" t="s">
        <v>3407</v>
      </c>
      <c r="U1102" s="51">
        <v>4</v>
      </c>
    </row>
    <row r="1103" spans="2:21" ht="14.5" outlineLevel="3">
      <c r="B1103" s="44" t="s">
        <v>3408</v>
      </c>
      <c r="C1103" s="45" t="s">
        <v>3409</v>
      </c>
      <c r="D1103" s="46" t="s">
        <v>102</v>
      </c>
      <c r="E1103" s="47" t="s">
        <v>102</v>
      </c>
      <c r="F1103" s="46" t="s">
        <v>102</v>
      </c>
      <c r="G1103" s="47" t="s">
        <v>102</v>
      </c>
      <c r="H1103" s="48">
        <v>0</v>
      </c>
      <c r="I1103" s="48">
        <v>0</v>
      </c>
      <c r="J1103" s="47" t="s">
        <v>3371</v>
      </c>
      <c r="K1103" s="49">
        <v>1</v>
      </c>
      <c r="L1103" s="49" t="s">
        <v>2614</v>
      </c>
      <c r="M1103" s="46" t="s">
        <v>117</v>
      </c>
      <c r="N1103" s="50">
        <v>0</v>
      </c>
      <c r="O1103" s="50">
        <v>0</v>
      </c>
      <c r="P1103" s="50">
        <v>0</v>
      </c>
      <c r="Q1103" s="46" t="s">
        <v>102</v>
      </c>
      <c r="R1103" s="46" t="s">
        <v>102</v>
      </c>
      <c r="S1103" s="46" t="s">
        <v>102</v>
      </c>
      <c r="T1103" s="46" t="s">
        <v>3410</v>
      </c>
      <c r="U1103" s="51">
        <v>4</v>
      </c>
    </row>
    <row r="1104" spans="2:21" ht="14.5" outlineLevel="3">
      <c r="B1104" s="44" t="s">
        <v>3411</v>
      </c>
      <c r="C1104" s="45" t="s">
        <v>3412</v>
      </c>
      <c r="D1104" s="46" t="s">
        <v>3413</v>
      </c>
      <c r="E1104" s="47" t="s">
        <v>102</v>
      </c>
      <c r="F1104" s="46" t="s">
        <v>102</v>
      </c>
      <c r="G1104" s="47" t="s">
        <v>102</v>
      </c>
      <c r="H1104" s="48">
        <v>0</v>
      </c>
      <c r="I1104" s="48">
        <v>0</v>
      </c>
      <c r="J1104" s="47" t="s">
        <v>3414</v>
      </c>
      <c r="K1104" s="49">
        <v>1</v>
      </c>
      <c r="L1104" s="49" t="s">
        <v>2614</v>
      </c>
      <c r="M1104" s="46" t="s">
        <v>117</v>
      </c>
      <c r="N1104" s="50">
        <v>0</v>
      </c>
      <c r="O1104" s="50">
        <v>0</v>
      </c>
      <c r="P1104" s="50">
        <v>0</v>
      </c>
      <c r="Q1104" s="46" t="s">
        <v>102</v>
      </c>
      <c r="R1104" s="46" t="s">
        <v>102</v>
      </c>
      <c r="S1104" s="46" t="s">
        <v>102</v>
      </c>
      <c r="T1104" s="46" t="s">
        <v>3415</v>
      </c>
      <c r="U1104" s="51">
        <v>4</v>
      </c>
    </row>
    <row r="1105" spans="2:21" ht="14.5" outlineLevel="3">
      <c r="B1105" s="44" t="s">
        <v>3416</v>
      </c>
      <c r="C1105" s="45" t="s">
        <v>3417</v>
      </c>
      <c r="D1105" s="46" t="s">
        <v>3413</v>
      </c>
      <c r="E1105" s="47" t="s">
        <v>102</v>
      </c>
      <c r="F1105" s="46" t="s">
        <v>102</v>
      </c>
      <c r="G1105" s="47" t="s">
        <v>102</v>
      </c>
      <c r="H1105" s="48">
        <v>0</v>
      </c>
      <c r="I1105" s="48">
        <v>0</v>
      </c>
      <c r="J1105" s="47" t="s">
        <v>3414</v>
      </c>
      <c r="K1105" s="49">
        <v>1</v>
      </c>
      <c r="L1105" s="49" t="s">
        <v>2614</v>
      </c>
      <c r="M1105" s="46" t="s">
        <v>117</v>
      </c>
      <c r="N1105" s="50">
        <v>0</v>
      </c>
      <c r="O1105" s="50">
        <v>0</v>
      </c>
      <c r="P1105" s="50">
        <v>0</v>
      </c>
      <c r="Q1105" s="46" t="s">
        <v>102</v>
      </c>
      <c r="R1105" s="46" t="s">
        <v>102</v>
      </c>
      <c r="S1105" s="46" t="s">
        <v>102</v>
      </c>
      <c r="T1105" s="46" t="s">
        <v>3418</v>
      </c>
      <c r="U1105" s="51">
        <v>4</v>
      </c>
    </row>
    <row r="1106" spans="2:21" ht="14.5" outlineLevel="3">
      <c r="B1106" s="44" t="s">
        <v>3419</v>
      </c>
      <c r="C1106" s="45" t="s">
        <v>3420</v>
      </c>
      <c r="D1106" s="46" t="s">
        <v>3413</v>
      </c>
      <c r="E1106" s="47" t="s">
        <v>102</v>
      </c>
      <c r="F1106" s="46" t="s">
        <v>102</v>
      </c>
      <c r="G1106" s="47" t="s">
        <v>102</v>
      </c>
      <c r="H1106" s="48">
        <v>0</v>
      </c>
      <c r="I1106" s="48">
        <v>0</v>
      </c>
      <c r="J1106" s="47" t="s">
        <v>3414</v>
      </c>
      <c r="K1106" s="49">
        <v>1</v>
      </c>
      <c r="L1106" s="49" t="s">
        <v>2614</v>
      </c>
      <c r="M1106" s="46" t="s">
        <v>117</v>
      </c>
      <c r="N1106" s="50">
        <v>0</v>
      </c>
      <c r="O1106" s="50">
        <v>0</v>
      </c>
      <c r="P1106" s="50">
        <v>0</v>
      </c>
      <c r="Q1106" s="46" t="s">
        <v>102</v>
      </c>
      <c r="R1106" s="46" t="s">
        <v>102</v>
      </c>
      <c r="S1106" s="46" t="s">
        <v>102</v>
      </c>
      <c r="T1106" s="46" t="s">
        <v>3421</v>
      </c>
      <c r="U1106" s="51">
        <v>4</v>
      </c>
    </row>
    <row r="1107" spans="2:21" ht="14.5" outlineLevel="3">
      <c r="B1107" s="44" t="s">
        <v>3422</v>
      </c>
      <c r="C1107" s="45" t="s">
        <v>3423</v>
      </c>
      <c r="D1107" s="46" t="s">
        <v>3413</v>
      </c>
      <c r="E1107" s="47" t="s">
        <v>102</v>
      </c>
      <c r="F1107" s="46" t="s">
        <v>102</v>
      </c>
      <c r="G1107" s="47" t="s">
        <v>102</v>
      </c>
      <c r="H1107" s="48">
        <v>0</v>
      </c>
      <c r="I1107" s="48">
        <v>0</v>
      </c>
      <c r="J1107" s="47" t="s">
        <v>3414</v>
      </c>
      <c r="K1107" s="49">
        <v>1</v>
      </c>
      <c r="L1107" s="49" t="s">
        <v>2614</v>
      </c>
      <c r="M1107" s="46" t="s">
        <v>117</v>
      </c>
      <c r="N1107" s="50">
        <v>0</v>
      </c>
      <c r="O1107" s="50">
        <v>0</v>
      </c>
      <c r="P1107" s="50">
        <v>0</v>
      </c>
      <c r="Q1107" s="46" t="s">
        <v>102</v>
      </c>
      <c r="R1107" s="46" t="s">
        <v>102</v>
      </c>
      <c r="S1107" s="46" t="s">
        <v>102</v>
      </c>
      <c r="T1107" s="46" t="s">
        <v>3424</v>
      </c>
      <c r="U1107" s="51">
        <v>4</v>
      </c>
    </row>
    <row r="1108" spans="2:21" ht="14.5" outlineLevel="2">
      <c r="B1108" s="36" t="s">
        <v>3425</v>
      </c>
      <c r="C1108" s="37" t="s">
        <v>3426</v>
      </c>
      <c r="D1108" s="38" t="s">
        <v>392</v>
      </c>
      <c r="E1108" s="39" t="s">
        <v>102</v>
      </c>
      <c r="F1108" s="38" t="s">
        <v>102</v>
      </c>
      <c r="G1108" s="39" t="s">
        <v>102</v>
      </c>
      <c r="H1108" s="40">
        <v>0</v>
      </c>
      <c r="I1108" s="40">
        <v>0</v>
      </c>
      <c r="J1108" s="39" t="s">
        <v>3414</v>
      </c>
      <c r="K1108" s="41">
        <v>1</v>
      </c>
      <c r="L1108" s="41" t="s">
        <v>2614</v>
      </c>
      <c r="M1108" s="38" t="s">
        <v>117</v>
      </c>
      <c r="N1108" s="42">
        <v>0</v>
      </c>
      <c r="O1108" s="42">
        <v>0</v>
      </c>
      <c r="P1108" s="42">
        <v>0</v>
      </c>
      <c r="Q1108" s="38" t="s">
        <v>102</v>
      </c>
      <c r="R1108" s="38" t="s">
        <v>102</v>
      </c>
      <c r="S1108" s="38" t="s">
        <v>102</v>
      </c>
      <c r="T1108" s="38" t="s">
        <v>3427</v>
      </c>
      <c r="U1108" s="43">
        <v>4</v>
      </c>
    </row>
    <row r="1109" spans="2:21" ht="14.5" outlineLevel="3">
      <c r="B1109" s="44" t="s">
        <v>3428</v>
      </c>
      <c r="C1109" s="45" t="s">
        <v>3429</v>
      </c>
      <c r="D1109" s="46" t="s">
        <v>3430</v>
      </c>
      <c r="E1109" s="47" t="s">
        <v>102</v>
      </c>
      <c r="F1109" s="46" t="s">
        <v>102</v>
      </c>
      <c r="G1109" s="47" t="s">
        <v>102</v>
      </c>
      <c r="H1109" s="48">
        <v>0</v>
      </c>
      <c r="I1109" s="48">
        <v>0</v>
      </c>
      <c r="J1109" s="47" t="s">
        <v>3414</v>
      </c>
      <c r="K1109" s="49">
        <v>1</v>
      </c>
      <c r="L1109" s="49" t="s">
        <v>2614</v>
      </c>
      <c r="M1109" s="46" t="s">
        <v>117</v>
      </c>
      <c r="N1109" s="50">
        <v>0</v>
      </c>
      <c r="O1109" s="50">
        <v>0</v>
      </c>
      <c r="P1109" s="50">
        <v>0</v>
      </c>
      <c r="Q1109" s="46" t="s">
        <v>102</v>
      </c>
      <c r="R1109" s="46" t="s">
        <v>102</v>
      </c>
      <c r="S1109" s="46" t="s">
        <v>102</v>
      </c>
      <c r="T1109" s="46" t="s">
        <v>3431</v>
      </c>
      <c r="U1109" s="51">
        <v>4</v>
      </c>
    </row>
    <row r="1110" spans="2:21" ht="14.5" outlineLevel="3">
      <c r="B1110" s="44" t="s">
        <v>3432</v>
      </c>
      <c r="C1110" s="45" t="s">
        <v>3433</v>
      </c>
      <c r="D1110" s="46" t="s">
        <v>111</v>
      </c>
      <c r="E1110" s="47" t="s">
        <v>102</v>
      </c>
      <c r="F1110" s="46" t="s">
        <v>102</v>
      </c>
      <c r="G1110" s="47" t="s">
        <v>102</v>
      </c>
      <c r="H1110" s="48">
        <v>0</v>
      </c>
      <c r="I1110" s="48">
        <v>0</v>
      </c>
      <c r="J1110" s="47" t="s">
        <v>3414</v>
      </c>
      <c r="K1110" s="49">
        <v>1</v>
      </c>
      <c r="L1110" s="49" t="s">
        <v>2614</v>
      </c>
      <c r="M1110" s="46" t="s">
        <v>117</v>
      </c>
      <c r="N1110" s="50">
        <v>0</v>
      </c>
      <c r="O1110" s="50">
        <v>0</v>
      </c>
      <c r="P1110" s="50">
        <v>0</v>
      </c>
      <c r="Q1110" s="46" t="s">
        <v>102</v>
      </c>
      <c r="R1110" s="46" t="s">
        <v>102</v>
      </c>
      <c r="S1110" s="46" t="s">
        <v>102</v>
      </c>
      <c r="T1110" s="46" t="s">
        <v>3434</v>
      </c>
      <c r="U1110" s="51">
        <v>4</v>
      </c>
    </row>
    <row r="1111" spans="2:21" ht="14.5" outlineLevel="3">
      <c r="B1111" s="44" t="s">
        <v>3435</v>
      </c>
      <c r="C1111" s="45" t="s">
        <v>3436</v>
      </c>
      <c r="D1111" s="46" t="s">
        <v>102</v>
      </c>
      <c r="E1111" s="47" t="s">
        <v>102</v>
      </c>
      <c r="F1111" s="46" t="s">
        <v>102</v>
      </c>
      <c r="G1111" s="47" t="s">
        <v>102</v>
      </c>
      <c r="H1111" s="48">
        <v>0</v>
      </c>
      <c r="I1111" s="48">
        <v>0</v>
      </c>
      <c r="J1111" s="47" t="s">
        <v>102</v>
      </c>
      <c r="K1111" s="49">
        <v>0</v>
      </c>
      <c r="L1111" s="49" t="s">
        <v>102</v>
      </c>
      <c r="M1111" s="46" t="s">
        <v>102</v>
      </c>
      <c r="N1111" s="50">
        <v>0</v>
      </c>
      <c r="O1111" s="50">
        <v>0</v>
      </c>
      <c r="P1111" s="50">
        <v>0</v>
      </c>
      <c r="Q1111" s="46" t="s">
        <v>102</v>
      </c>
      <c r="R1111" s="46" t="s">
        <v>102</v>
      </c>
      <c r="S1111" s="46" t="s">
        <v>3437</v>
      </c>
      <c r="T1111" s="46" t="s">
        <v>102</v>
      </c>
      <c r="U1111" s="51">
        <v>3</v>
      </c>
    </row>
    <row r="1112" spans="2:21" ht="14.5" outlineLevel="3">
      <c r="B1112" s="44" t="s">
        <v>3438</v>
      </c>
      <c r="C1112" s="45" t="s">
        <v>3439</v>
      </c>
      <c r="D1112" s="46" t="s">
        <v>458</v>
      </c>
      <c r="E1112" s="47" t="s">
        <v>102</v>
      </c>
      <c r="F1112" s="46" t="s">
        <v>102</v>
      </c>
      <c r="G1112" s="47" t="s">
        <v>102</v>
      </c>
      <c r="H1112" s="48">
        <v>0</v>
      </c>
      <c r="I1112" s="48">
        <v>0</v>
      </c>
      <c r="J1112" s="47" t="s">
        <v>3371</v>
      </c>
      <c r="K1112" s="49">
        <v>1</v>
      </c>
      <c r="L1112" s="49" t="s">
        <v>2614</v>
      </c>
      <c r="M1112" s="46" t="s">
        <v>117</v>
      </c>
      <c r="N1112" s="50">
        <v>0</v>
      </c>
      <c r="O1112" s="50">
        <v>0</v>
      </c>
      <c r="P1112" s="50">
        <v>0</v>
      </c>
      <c r="Q1112" s="46" t="s">
        <v>102</v>
      </c>
      <c r="R1112" s="46" t="s">
        <v>102</v>
      </c>
      <c r="S1112" s="46" t="s">
        <v>102</v>
      </c>
      <c r="T1112" s="46" t="s">
        <v>2781</v>
      </c>
      <c r="U1112" s="51">
        <v>4</v>
      </c>
    </row>
    <row r="1113" spans="2:21" ht="14.5" outlineLevel="3">
      <c r="B1113" s="44" t="s">
        <v>3440</v>
      </c>
      <c r="C1113" s="45" t="s">
        <v>3441</v>
      </c>
      <c r="D1113" s="46" t="s">
        <v>458</v>
      </c>
      <c r="E1113" s="47" t="s">
        <v>102</v>
      </c>
      <c r="F1113" s="46" t="s">
        <v>102</v>
      </c>
      <c r="G1113" s="47" t="s">
        <v>102</v>
      </c>
      <c r="H1113" s="48">
        <v>0</v>
      </c>
      <c r="I1113" s="48">
        <v>0</v>
      </c>
      <c r="J1113" s="47" t="s">
        <v>3371</v>
      </c>
      <c r="K1113" s="49">
        <v>1</v>
      </c>
      <c r="L1113" s="49" t="s">
        <v>2614</v>
      </c>
      <c r="M1113" s="46" t="s">
        <v>117</v>
      </c>
      <c r="N1113" s="50">
        <v>0</v>
      </c>
      <c r="O1113" s="50">
        <v>0</v>
      </c>
      <c r="P1113" s="50">
        <v>0</v>
      </c>
      <c r="Q1113" s="46" t="s">
        <v>102</v>
      </c>
      <c r="R1113" s="46" t="s">
        <v>102</v>
      </c>
      <c r="S1113" s="46" t="s">
        <v>102</v>
      </c>
      <c r="T1113" s="46" t="s">
        <v>2740</v>
      </c>
      <c r="U1113" s="51">
        <v>4</v>
      </c>
    </row>
    <row r="1114" spans="2:21" ht="14.5" outlineLevel="3">
      <c r="B1114" s="44" t="s">
        <v>3442</v>
      </c>
      <c r="C1114" s="45" t="s">
        <v>3443</v>
      </c>
      <c r="D1114" s="46" t="s">
        <v>458</v>
      </c>
      <c r="E1114" s="47" t="s">
        <v>102</v>
      </c>
      <c r="F1114" s="46" t="s">
        <v>102</v>
      </c>
      <c r="G1114" s="47" t="s">
        <v>102</v>
      </c>
      <c r="H1114" s="48">
        <v>0</v>
      </c>
      <c r="I1114" s="48">
        <v>0</v>
      </c>
      <c r="J1114" s="47" t="s">
        <v>3371</v>
      </c>
      <c r="K1114" s="49">
        <v>1</v>
      </c>
      <c r="L1114" s="49" t="s">
        <v>2614</v>
      </c>
      <c r="M1114" s="46" t="s">
        <v>117</v>
      </c>
      <c r="N1114" s="50">
        <v>0</v>
      </c>
      <c r="O1114" s="50">
        <v>0</v>
      </c>
      <c r="P1114" s="50">
        <v>0</v>
      </c>
      <c r="Q1114" s="46" t="s">
        <v>102</v>
      </c>
      <c r="R1114" s="46" t="s">
        <v>102</v>
      </c>
      <c r="S1114" s="46" t="s">
        <v>102</v>
      </c>
      <c r="T1114" s="46" t="s">
        <v>2784</v>
      </c>
      <c r="U1114" s="51">
        <v>4</v>
      </c>
    </row>
    <row r="1115" spans="2:21" ht="14.5" outlineLevel="3">
      <c r="B1115" s="44" t="s">
        <v>3444</v>
      </c>
      <c r="C1115" s="45" t="s">
        <v>3445</v>
      </c>
      <c r="D1115" s="46" t="s">
        <v>458</v>
      </c>
      <c r="E1115" s="47" t="s">
        <v>102</v>
      </c>
      <c r="F1115" s="46" t="s">
        <v>102</v>
      </c>
      <c r="G1115" s="47" t="s">
        <v>102</v>
      </c>
      <c r="H1115" s="48">
        <v>0</v>
      </c>
      <c r="I1115" s="48">
        <v>0</v>
      </c>
      <c r="J1115" s="47" t="s">
        <v>3371</v>
      </c>
      <c r="K1115" s="49">
        <v>1</v>
      </c>
      <c r="L1115" s="49" t="s">
        <v>2614</v>
      </c>
      <c r="M1115" s="46" t="s">
        <v>117</v>
      </c>
      <c r="N1115" s="50">
        <v>0</v>
      </c>
      <c r="O1115" s="50">
        <v>0</v>
      </c>
      <c r="P1115" s="50">
        <v>0</v>
      </c>
      <c r="Q1115" s="46" t="s">
        <v>102</v>
      </c>
      <c r="R1115" s="46" t="s">
        <v>102</v>
      </c>
      <c r="S1115" s="46" t="s">
        <v>102</v>
      </c>
      <c r="T1115" s="46" t="s">
        <v>2787</v>
      </c>
      <c r="U1115" s="51">
        <v>4</v>
      </c>
    </row>
    <row r="1116" spans="2:21" ht="14.5" outlineLevel="3">
      <c r="B1116" s="44" t="s">
        <v>3446</v>
      </c>
      <c r="C1116" s="45" t="s">
        <v>3447</v>
      </c>
      <c r="D1116" s="46" t="s">
        <v>458</v>
      </c>
      <c r="E1116" s="47" t="s">
        <v>102</v>
      </c>
      <c r="F1116" s="46" t="s">
        <v>102</v>
      </c>
      <c r="G1116" s="47" t="s">
        <v>102</v>
      </c>
      <c r="H1116" s="48">
        <v>0</v>
      </c>
      <c r="I1116" s="48">
        <v>0</v>
      </c>
      <c r="J1116" s="47" t="s">
        <v>3371</v>
      </c>
      <c r="K1116" s="49">
        <v>1</v>
      </c>
      <c r="L1116" s="49" t="s">
        <v>2614</v>
      </c>
      <c r="M1116" s="46" t="s">
        <v>117</v>
      </c>
      <c r="N1116" s="50">
        <v>0</v>
      </c>
      <c r="O1116" s="50">
        <v>0</v>
      </c>
      <c r="P1116" s="50">
        <v>0</v>
      </c>
      <c r="Q1116" s="46" t="s">
        <v>102</v>
      </c>
      <c r="R1116" s="46" t="s">
        <v>102</v>
      </c>
      <c r="S1116" s="46" t="s">
        <v>102</v>
      </c>
      <c r="T1116" s="46" t="s">
        <v>3448</v>
      </c>
      <c r="U1116" s="51">
        <v>4</v>
      </c>
    </row>
    <row r="1117" spans="2:21" ht="14.5" outlineLevel="3">
      <c r="B1117" s="44" t="s">
        <v>3449</v>
      </c>
      <c r="C1117" s="45" t="s">
        <v>3450</v>
      </c>
      <c r="D1117" s="46" t="s">
        <v>458</v>
      </c>
      <c r="E1117" s="47" t="s">
        <v>102</v>
      </c>
      <c r="F1117" s="46" t="s">
        <v>102</v>
      </c>
      <c r="G1117" s="47" t="s">
        <v>102</v>
      </c>
      <c r="H1117" s="48">
        <v>0</v>
      </c>
      <c r="I1117" s="48">
        <v>0</v>
      </c>
      <c r="J1117" s="47" t="s">
        <v>3371</v>
      </c>
      <c r="K1117" s="49">
        <v>1</v>
      </c>
      <c r="L1117" s="49" t="s">
        <v>2614</v>
      </c>
      <c r="M1117" s="46" t="s">
        <v>117</v>
      </c>
      <c r="N1117" s="50">
        <v>0</v>
      </c>
      <c r="O1117" s="50">
        <v>0</v>
      </c>
      <c r="P1117" s="50">
        <v>0</v>
      </c>
      <c r="Q1117" s="46" t="s">
        <v>102</v>
      </c>
      <c r="R1117" s="46" t="s">
        <v>102</v>
      </c>
      <c r="S1117" s="46" t="s">
        <v>102</v>
      </c>
      <c r="T1117" s="46" t="s">
        <v>466</v>
      </c>
      <c r="U1117" s="51">
        <v>4</v>
      </c>
    </row>
    <row r="1118" spans="2:21" ht="14.5" outlineLevel="3">
      <c r="B1118" s="44" t="s">
        <v>3451</v>
      </c>
      <c r="C1118" s="45" t="s">
        <v>3452</v>
      </c>
      <c r="D1118" s="46" t="s">
        <v>458</v>
      </c>
      <c r="E1118" s="47" t="s">
        <v>102</v>
      </c>
      <c r="F1118" s="46" t="s">
        <v>102</v>
      </c>
      <c r="G1118" s="47" t="s">
        <v>102</v>
      </c>
      <c r="H1118" s="48">
        <v>0</v>
      </c>
      <c r="I1118" s="48">
        <v>0</v>
      </c>
      <c r="J1118" s="47" t="s">
        <v>3371</v>
      </c>
      <c r="K1118" s="49">
        <v>1</v>
      </c>
      <c r="L1118" s="49" t="s">
        <v>2614</v>
      </c>
      <c r="M1118" s="46" t="s">
        <v>117</v>
      </c>
      <c r="N1118" s="50">
        <v>0</v>
      </c>
      <c r="O1118" s="50">
        <v>0</v>
      </c>
      <c r="P1118" s="50">
        <v>0</v>
      </c>
      <c r="Q1118" s="46" t="s">
        <v>102</v>
      </c>
      <c r="R1118" s="46" t="s">
        <v>102</v>
      </c>
      <c r="S1118" s="46" t="s">
        <v>102</v>
      </c>
      <c r="T1118" s="46" t="s">
        <v>3453</v>
      </c>
      <c r="U1118" s="51">
        <v>4</v>
      </c>
    </row>
    <row r="1119" spans="2:21" ht="14.5" outlineLevel="3">
      <c r="B1119" s="44" t="s">
        <v>3454</v>
      </c>
      <c r="C1119" s="45" t="s">
        <v>3455</v>
      </c>
      <c r="D1119" s="46" t="s">
        <v>458</v>
      </c>
      <c r="E1119" s="47" t="s">
        <v>102</v>
      </c>
      <c r="F1119" s="46" t="s">
        <v>102</v>
      </c>
      <c r="G1119" s="47" t="s">
        <v>102</v>
      </c>
      <c r="H1119" s="48">
        <v>0</v>
      </c>
      <c r="I1119" s="48">
        <v>0</v>
      </c>
      <c r="J1119" s="47" t="s">
        <v>3371</v>
      </c>
      <c r="K1119" s="49">
        <v>1</v>
      </c>
      <c r="L1119" s="49" t="s">
        <v>2614</v>
      </c>
      <c r="M1119" s="46" t="s">
        <v>117</v>
      </c>
      <c r="N1119" s="50">
        <v>0</v>
      </c>
      <c r="O1119" s="50">
        <v>0</v>
      </c>
      <c r="P1119" s="50">
        <v>0</v>
      </c>
      <c r="Q1119" s="46" t="s">
        <v>102</v>
      </c>
      <c r="R1119" s="46" t="s">
        <v>102</v>
      </c>
      <c r="S1119" s="46" t="s">
        <v>102</v>
      </c>
      <c r="T1119" s="46" t="s">
        <v>3456</v>
      </c>
      <c r="U1119" s="51">
        <v>4</v>
      </c>
    </row>
    <row r="1120" spans="2:21" ht="14.5" outlineLevel="3">
      <c r="B1120" s="44" t="s">
        <v>3457</v>
      </c>
      <c r="C1120" s="45" t="s">
        <v>3458</v>
      </c>
      <c r="D1120" s="46" t="s">
        <v>179</v>
      </c>
      <c r="E1120" s="47" t="s">
        <v>102</v>
      </c>
      <c r="F1120" s="46" t="s">
        <v>102</v>
      </c>
      <c r="G1120" s="47" t="s">
        <v>102</v>
      </c>
      <c r="H1120" s="48">
        <v>0</v>
      </c>
      <c r="I1120" s="48">
        <v>0</v>
      </c>
      <c r="J1120" s="47" t="s">
        <v>3371</v>
      </c>
      <c r="K1120" s="49">
        <v>1</v>
      </c>
      <c r="L1120" s="49" t="s">
        <v>2614</v>
      </c>
      <c r="M1120" s="46" t="s">
        <v>117</v>
      </c>
      <c r="N1120" s="50">
        <v>0</v>
      </c>
      <c r="O1120" s="50">
        <v>0</v>
      </c>
      <c r="P1120" s="50">
        <v>0</v>
      </c>
      <c r="Q1120" s="46" t="s">
        <v>102</v>
      </c>
      <c r="R1120" s="46" t="s">
        <v>102</v>
      </c>
      <c r="S1120" s="46" t="s">
        <v>102</v>
      </c>
      <c r="T1120" s="46" t="s">
        <v>3459</v>
      </c>
      <c r="U1120" s="51">
        <v>4</v>
      </c>
    </row>
    <row r="1121" spans="2:21" ht="14.5" outlineLevel="2">
      <c r="B1121" s="36" t="s">
        <v>3460</v>
      </c>
      <c r="C1121" s="37" t="s">
        <v>3461</v>
      </c>
      <c r="D1121" s="38" t="s">
        <v>179</v>
      </c>
      <c r="E1121" s="39" t="s">
        <v>102</v>
      </c>
      <c r="F1121" s="38" t="s">
        <v>102</v>
      </c>
      <c r="G1121" s="39" t="s">
        <v>102</v>
      </c>
      <c r="H1121" s="40">
        <v>0</v>
      </c>
      <c r="I1121" s="40">
        <v>0</v>
      </c>
      <c r="J1121" s="39" t="s">
        <v>3371</v>
      </c>
      <c r="K1121" s="41">
        <v>1</v>
      </c>
      <c r="L1121" s="41" t="s">
        <v>2614</v>
      </c>
      <c r="M1121" s="38" t="s">
        <v>117</v>
      </c>
      <c r="N1121" s="42">
        <v>0</v>
      </c>
      <c r="O1121" s="42">
        <v>0</v>
      </c>
      <c r="P1121" s="42">
        <v>0</v>
      </c>
      <c r="Q1121" s="38" t="s">
        <v>102</v>
      </c>
      <c r="R1121" s="38" t="s">
        <v>102</v>
      </c>
      <c r="S1121" s="38" t="s">
        <v>102</v>
      </c>
      <c r="T1121" s="38" t="s">
        <v>3462</v>
      </c>
      <c r="U1121" s="43">
        <v>4</v>
      </c>
    </row>
    <row r="1122" spans="2:21" ht="14.5" outlineLevel="3">
      <c r="B1122" s="44" t="s">
        <v>3463</v>
      </c>
      <c r="C1122" s="45" t="s">
        <v>3464</v>
      </c>
      <c r="D1122" s="46" t="s">
        <v>179</v>
      </c>
      <c r="E1122" s="47" t="s">
        <v>102</v>
      </c>
      <c r="F1122" s="46" t="s">
        <v>102</v>
      </c>
      <c r="G1122" s="47" t="s">
        <v>102</v>
      </c>
      <c r="H1122" s="48">
        <v>0</v>
      </c>
      <c r="I1122" s="48">
        <v>0</v>
      </c>
      <c r="J1122" s="47" t="s">
        <v>3371</v>
      </c>
      <c r="K1122" s="49">
        <v>1</v>
      </c>
      <c r="L1122" s="49" t="s">
        <v>2614</v>
      </c>
      <c r="M1122" s="46" t="s">
        <v>117</v>
      </c>
      <c r="N1122" s="50">
        <v>0</v>
      </c>
      <c r="O1122" s="50">
        <v>0</v>
      </c>
      <c r="P1122" s="50">
        <v>0</v>
      </c>
      <c r="Q1122" s="46" t="s">
        <v>102</v>
      </c>
      <c r="R1122" s="46" t="s">
        <v>102</v>
      </c>
      <c r="S1122" s="46" t="s">
        <v>102</v>
      </c>
      <c r="T1122" s="46" t="s">
        <v>3465</v>
      </c>
      <c r="U1122" s="51">
        <v>4</v>
      </c>
    </row>
    <row r="1123" spans="2:21" ht="14.5" outlineLevel="3">
      <c r="B1123" s="44" t="s">
        <v>3466</v>
      </c>
      <c r="C1123" s="45" t="s">
        <v>3467</v>
      </c>
      <c r="D1123" s="46" t="s">
        <v>392</v>
      </c>
      <c r="E1123" s="47" t="s">
        <v>102</v>
      </c>
      <c r="F1123" s="46" t="s">
        <v>102</v>
      </c>
      <c r="G1123" s="47" t="s">
        <v>102</v>
      </c>
      <c r="H1123" s="48">
        <v>0</v>
      </c>
      <c r="I1123" s="48">
        <v>0</v>
      </c>
      <c r="J1123" s="47" t="s">
        <v>3371</v>
      </c>
      <c r="K1123" s="49">
        <v>1</v>
      </c>
      <c r="L1123" s="49" t="s">
        <v>2614</v>
      </c>
      <c r="M1123" s="46" t="s">
        <v>117</v>
      </c>
      <c r="N1123" s="50">
        <v>0</v>
      </c>
      <c r="O1123" s="50">
        <v>0</v>
      </c>
      <c r="P1123" s="50">
        <v>0</v>
      </c>
      <c r="Q1123" s="46" t="s">
        <v>102</v>
      </c>
      <c r="R1123" s="46" t="s">
        <v>102</v>
      </c>
      <c r="S1123" s="46" t="s">
        <v>102</v>
      </c>
      <c r="T1123" s="46" t="s">
        <v>2854</v>
      </c>
      <c r="U1123" s="51">
        <v>4</v>
      </c>
    </row>
    <row r="1124" spans="2:21" ht="14.5" outlineLevel="3">
      <c r="B1124" s="44" t="s">
        <v>3468</v>
      </c>
      <c r="C1124" s="45" t="s">
        <v>3469</v>
      </c>
      <c r="D1124" s="46" t="s">
        <v>102</v>
      </c>
      <c r="E1124" s="47" t="s">
        <v>102</v>
      </c>
      <c r="F1124" s="46" t="s">
        <v>102</v>
      </c>
      <c r="G1124" s="47" t="s">
        <v>102</v>
      </c>
      <c r="H1124" s="48">
        <v>0</v>
      </c>
      <c r="I1124" s="48">
        <v>0</v>
      </c>
      <c r="J1124" s="47" t="s">
        <v>102</v>
      </c>
      <c r="K1124" s="49">
        <v>0</v>
      </c>
      <c r="L1124" s="49" t="s">
        <v>102</v>
      </c>
      <c r="M1124" s="46" t="s">
        <v>102</v>
      </c>
      <c r="N1124" s="50">
        <v>0</v>
      </c>
      <c r="O1124" s="50">
        <v>0</v>
      </c>
      <c r="P1124" s="50">
        <v>0</v>
      </c>
      <c r="Q1124" s="46" t="s">
        <v>102</v>
      </c>
      <c r="R1124" s="46" t="s">
        <v>102</v>
      </c>
      <c r="S1124" s="46" t="s">
        <v>3470</v>
      </c>
      <c r="T1124" s="46" t="s">
        <v>102</v>
      </c>
      <c r="U1124" s="51">
        <v>3</v>
      </c>
    </row>
    <row r="1125" spans="2:21" ht="14.5" outlineLevel="3">
      <c r="B1125" s="44" t="s">
        <v>3471</v>
      </c>
      <c r="C1125" s="45" t="s">
        <v>3472</v>
      </c>
      <c r="D1125" s="46" t="s">
        <v>179</v>
      </c>
      <c r="E1125" s="47" t="s">
        <v>102</v>
      </c>
      <c r="F1125" s="46" t="s">
        <v>102</v>
      </c>
      <c r="G1125" s="47" t="s">
        <v>102</v>
      </c>
      <c r="H1125" s="48">
        <v>0</v>
      </c>
      <c r="I1125" s="48">
        <v>0</v>
      </c>
      <c r="J1125" s="47" t="s">
        <v>3371</v>
      </c>
      <c r="K1125" s="49">
        <v>1</v>
      </c>
      <c r="L1125" s="49" t="s">
        <v>2614</v>
      </c>
      <c r="M1125" s="46" t="s">
        <v>117</v>
      </c>
      <c r="N1125" s="50">
        <v>0</v>
      </c>
      <c r="O1125" s="50">
        <v>0</v>
      </c>
      <c r="P1125" s="50">
        <v>0</v>
      </c>
      <c r="Q1125" s="46" t="s">
        <v>102</v>
      </c>
      <c r="R1125" s="46" t="s">
        <v>102</v>
      </c>
      <c r="S1125" s="46" t="s">
        <v>102</v>
      </c>
      <c r="T1125" s="46" t="s">
        <v>2781</v>
      </c>
      <c r="U1125" s="51">
        <v>4</v>
      </c>
    </row>
    <row r="1126" spans="2:21" ht="14.5" outlineLevel="3">
      <c r="B1126" s="44" t="s">
        <v>3473</v>
      </c>
      <c r="C1126" s="45" t="s">
        <v>3474</v>
      </c>
      <c r="D1126" s="46" t="s">
        <v>179</v>
      </c>
      <c r="E1126" s="47" t="s">
        <v>102</v>
      </c>
      <c r="F1126" s="46" t="s">
        <v>102</v>
      </c>
      <c r="G1126" s="47" t="s">
        <v>102</v>
      </c>
      <c r="H1126" s="48">
        <v>0</v>
      </c>
      <c r="I1126" s="48">
        <v>0</v>
      </c>
      <c r="J1126" s="47" t="s">
        <v>3371</v>
      </c>
      <c r="K1126" s="49">
        <v>1</v>
      </c>
      <c r="L1126" s="49" t="s">
        <v>2614</v>
      </c>
      <c r="M1126" s="46" t="s">
        <v>117</v>
      </c>
      <c r="N1126" s="50">
        <v>0</v>
      </c>
      <c r="O1126" s="50">
        <v>0</v>
      </c>
      <c r="P1126" s="50">
        <v>0</v>
      </c>
      <c r="Q1126" s="46" t="s">
        <v>102</v>
      </c>
      <c r="R1126" s="46" t="s">
        <v>102</v>
      </c>
      <c r="S1126" s="46" t="s">
        <v>102</v>
      </c>
      <c r="T1126" s="46" t="s">
        <v>2740</v>
      </c>
      <c r="U1126" s="51">
        <v>4</v>
      </c>
    </row>
    <row r="1127" spans="2:21" ht="14.5" outlineLevel="3">
      <c r="B1127" s="44" t="s">
        <v>3475</v>
      </c>
      <c r="C1127" s="45" t="s">
        <v>3476</v>
      </c>
      <c r="D1127" s="46" t="s">
        <v>179</v>
      </c>
      <c r="E1127" s="47" t="s">
        <v>102</v>
      </c>
      <c r="F1127" s="46" t="s">
        <v>102</v>
      </c>
      <c r="G1127" s="47" t="s">
        <v>102</v>
      </c>
      <c r="H1127" s="48">
        <v>0</v>
      </c>
      <c r="I1127" s="48">
        <v>0</v>
      </c>
      <c r="J1127" s="47" t="s">
        <v>3371</v>
      </c>
      <c r="K1127" s="49">
        <v>1</v>
      </c>
      <c r="L1127" s="49" t="s">
        <v>2614</v>
      </c>
      <c r="M1127" s="46" t="s">
        <v>117</v>
      </c>
      <c r="N1127" s="50">
        <v>0</v>
      </c>
      <c r="O1127" s="50">
        <v>0</v>
      </c>
      <c r="P1127" s="50">
        <v>0</v>
      </c>
      <c r="Q1127" s="46" t="s">
        <v>102</v>
      </c>
      <c r="R1127" s="46" t="s">
        <v>102</v>
      </c>
      <c r="S1127" s="46" t="s">
        <v>102</v>
      </c>
      <c r="T1127" s="46" t="s">
        <v>3477</v>
      </c>
      <c r="U1127" s="51">
        <v>4</v>
      </c>
    </row>
    <row r="1128" spans="2:21" ht="14.5" outlineLevel="3">
      <c r="B1128" s="44" t="s">
        <v>3478</v>
      </c>
      <c r="C1128" s="45" t="s">
        <v>3479</v>
      </c>
      <c r="D1128" s="46" t="s">
        <v>179</v>
      </c>
      <c r="E1128" s="47" t="s">
        <v>102</v>
      </c>
      <c r="F1128" s="46" t="s">
        <v>102</v>
      </c>
      <c r="G1128" s="47" t="s">
        <v>102</v>
      </c>
      <c r="H1128" s="48">
        <v>0</v>
      </c>
      <c r="I1128" s="48">
        <v>0</v>
      </c>
      <c r="J1128" s="47" t="s">
        <v>3371</v>
      </c>
      <c r="K1128" s="49">
        <v>1</v>
      </c>
      <c r="L1128" s="49" t="s">
        <v>2614</v>
      </c>
      <c r="M1128" s="46" t="s">
        <v>117</v>
      </c>
      <c r="N1128" s="50">
        <v>0</v>
      </c>
      <c r="O1128" s="50">
        <v>0</v>
      </c>
      <c r="P1128" s="50">
        <v>0</v>
      </c>
      <c r="Q1128" s="46" t="s">
        <v>102</v>
      </c>
      <c r="R1128" s="46" t="s">
        <v>102</v>
      </c>
      <c r="S1128" s="46" t="s">
        <v>102</v>
      </c>
      <c r="T1128" s="46" t="s">
        <v>2790</v>
      </c>
      <c r="U1128" s="51">
        <v>4</v>
      </c>
    </row>
    <row r="1129" spans="2:21" ht="14.5" outlineLevel="3">
      <c r="B1129" s="44" t="s">
        <v>3480</v>
      </c>
      <c r="C1129" s="45" t="s">
        <v>3481</v>
      </c>
      <c r="D1129" s="46" t="s">
        <v>179</v>
      </c>
      <c r="E1129" s="47" t="s">
        <v>102</v>
      </c>
      <c r="F1129" s="46" t="s">
        <v>102</v>
      </c>
      <c r="G1129" s="47" t="s">
        <v>102</v>
      </c>
      <c r="H1129" s="48">
        <v>0</v>
      </c>
      <c r="I1129" s="48">
        <v>0</v>
      </c>
      <c r="J1129" s="47" t="s">
        <v>3371</v>
      </c>
      <c r="K1129" s="49">
        <v>1</v>
      </c>
      <c r="L1129" s="49" t="s">
        <v>2614</v>
      </c>
      <c r="M1129" s="46" t="s">
        <v>117</v>
      </c>
      <c r="N1129" s="50">
        <v>0</v>
      </c>
      <c r="O1129" s="50">
        <v>0</v>
      </c>
      <c r="P1129" s="50">
        <v>0</v>
      </c>
      <c r="Q1129" s="46" t="s">
        <v>102</v>
      </c>
      <c r="R1129" s="46" t="s">
        <v>102</v>
      </c>
      <c r="S1129" s="46" t="s">
        <v>102</v>
      </c>
      <c r="T1129" s="46" t="s">
        <v>3448</v>
      </c>
      <c r="U1129" s="51">
        <v>4</v>
      </c>
    </row>
    <row r="1130" spans="2:21" ht="14.5" outlineLevel="3">
      <c r="B1130" s="44" t="s">
        <v>3482</v>
      </c>
      <c r="C1130" s="45" t="s">
        <v>3483</v>
      </c>
      <c r="D1130" s="46" t="s">
        <v>179</v>
      </c>
      <c r="E1130" s="47" t="s">
        <v>102</v>
      </c>
      <c r="F1130" s="46" t="s">
        <v>102</v>
      </c>
      <c r="G1130" s="47" t="s">
        <v>102</v>
      </c>
      <c r="H1130" s="48">
        <v>0</v>
      </c>
      <c r="I1130" s="48">
        <v>0</v>
      </c>
      <c r="J1130" s="47" t="s">
        <v>3371</v>
      </c>
      <c r="K1130" s="49">
        <v>1</v>
      </c>
      <c r="L1130" s="49" t="s">
        <v>2614</v>
      </c>
      <c r="M1130" s="46" t="s">
        <v>117</v>
      </c>
      <c r="N1130" s="50">
        <v>0</v>
      </c>
      <c r="O1130" s="50">
        <v>0</v>
      </c>
      <c r="P1130" s="50">
        <v>0</v>
      </c>
      <c r="Q1130" s="46" t="s">
        <v>102</v>
      </c>
      <c r="R1130" s="46" t="s">
        <v>102</v>
      </c>
      <c r="S1130" s="46" t="s">
        <v>102</v>
      </c>
      <c r="T1130" s="46" t="s">
        <v>3484</v>
      </c>
      <c r="U1130" s="51">
        <v>4</v>
      </c>
    </row>
    <row r="1131" spans="2:21" ht="14.5" outlineLevel="3">
      <c r="B1131" s="44" t="s">
        <v>3485</v>
      </c>
      <c r="C1131" s="45" t="s">
        <v>3486</v>
      </c>
      <c r="D1131" s="46" t="s">
        <v>179</v>
      </c>
      <c r="E1131" s="47" t="s">
        <v>102</v>
      </c>
      <c r="F1131" s="46" t="s">
        <v>102</v>
      </c>
      <c r="G1131" s="47" t="s">
        <v>102</v>
      </c>
      <c r="H1131" s="48">
        <v>0</v>
      </c>
      <c r="I1131" s="48">
        <v>0</v>
      </c>
      <c r="J1131" s="47" t="s">
        <v>3371</v>
      </c>
      <c r="K1131" s="49">
        <v>1</v>
      </c>
      <c r="L1131" s="49" t="s">
        <v>2614</v>
      </c>
      <c r="M1131" s="46" t="s">
        <v>117</v>
      </c>
      <c r="N1131" s="50">
        <v>0</v>
      </c>
      <c r="O1131" s="50">
        <v>0</v>
      </c>
      <c r="P1131" s="50">
        <v>0</v>
      </c>
      <c r="Q1131" s="46" t="s">
        <v>102</v>
      </c>
      <c r="R1131" s="46" t="s">
        <v>102</v>
      </c>
      <c r="S1131" s="46" t="s">
        <v>102</v>
      </c>
      <c r="T1131" s="46" t="s">
        <v>2746</v>
      </c>
      <c r="U1131" s="51">
        <v>4</v>
      </c>
    </row>
    <row r="1132" spans="2:21" ht="14.5" outlineLevel="3">
      <c r="B1132" s="44" t="s">
        <v>3487</v>
      </c>
      <c r="C1132" s="45" t="s">
        <v>3488</v>
      </c>
      <c r="D1132" s="46" t="s">
        <v>179</v>
      </c>
      <c r="E1132" s="47" t="s">
        <v>102</v>
      </c>
      <c r="F1132" s="46" t="s">
        <v>102</v>
      </c>
      <c r="G1132" s="47" t="s">
        <v>102</v>
      </c>
      <c r="H1132" s="48">
        <v>0</v>
      </c>
      <c r="I1132" s="48">
        <v>0</v>
      </c>
      <c r="J1132" s="47" t="s">
        <v>3371</v>
      </c>
      <c r="K1132" s="49">
        <v>1</v>
      </c>
      <c r="L1132" s="49" t="s">
        <v>2614</v>
      </c>
      <c r="M1132" s="46" t="s">
        <v>117</v>
      </c>
      <c r="N1132" s="50">
        <v>0</v>
      </c>
      <c r="O1132" s="50">
        <v>0</v>
      </c>
      <c r="P1132" s="50">
        <v>0</v>
      </c>
      <c r="Q1132" s="46" t="s">
        <v>102</v>
      </c>
      <c r="R1132" s="46" t="s">
        <v>102</v>
      </c>
      <c r="S1132" s="46" t="s">
        <v>102</v>
      </c>
      <c r="T1132" s="46" t="s">
        <v>3456</v>
      </c>
      <c r="U1132" s="51">
        <v>4</v>
      </c>
    </row>
    <row r="1133" spans="2:21" ht="14.5" outlineLevel="3">
      <c r="B1133" s="44" t="s">
        <v>3489</v>
      </c>
      <c r="C1133" s="45" t="s">
        <v>3490</v>
      </c>
      <c r="D1133" s="46" t="s">
        <v>179</v>
      </c>
      <c r="E1133" s="47" t="s">
        <v>102</v>
      </c>
      <c r="F1133" s="46" t="s">
        <v>102</v>
      </c>
      <c r="G1133" s="47" t="s">
        <v>102</v>
      </c>
      <c r="H1133" s="48">
        <v>0</v>
      </c>
      <c r="I1133" s="48">
        <v>0</v>
      </c>
      <c r="J1133" s="47" t="s">
        <v>3371</v>
      </c>
      <c r="K1133" s="49">
        <v>1</v>
      </c>
      <c r="L1133" s="49" t="s">
        <v>2614</v>
      </c>
      <c r="M1133" s="46" t="s">
        <v>117</v>
      </c>
      <c r="N1133" s="50">
        <v>0</v>
      </c>
      <c r="O1133" s="50">
        <v>0</v>
      </c>
      <c r="P1133" s="50">
        <v>0</v>
      </c>
      <c r="Q1133" s="46" t="s">
        <v>102</v>
      </c>
      <c r="R1133" s="46" t="s">
        <v>102</v>
      </c>
      <c r="S1133" s="46" t="s">
        <v>102</v>
      </c>
      <c r="T1133" s="46" t="s">
        <v>3459</v>
      </c>
      <c r="U1133" s="51">
        <v>4</v>
      </c>
    </row>
    <row r="1134" spans="2:21" ht="14.5" outlineLevel="3">
      <c r="B1134" s="44" t="s">
        <v>3491</v>
      </c>
      <c r="C1134" s="45" t="s">
        <v>3492</v>
      </c>
      <c r="D1134" s="46" t="s">
        <v>276</v>
      </c>
      <c r="E1134" s="47" t="s">
        <v>102</v>
      </c>
      <c r="F1134" s="46" t="s">
        <v>102</v>
      </c>
      <c r="G1134" s="47" t="s">
        <v>102</v>
      </c>
      <c r="H1134" s="48">
        <v>0</v>
      </c>
      <c r="I1134" s="48">
        <v>0</v>
      </c>
      <c r="J1134" s="47" t="s">
        <v>3371</v>
      </c>
      <c r="K1134" s="49">
        <v>1</v>
      </c>
      <c r="L1134" s="49" t="s">
        <v>2614</v>
      </c>
      <c r="M1134" s="46" t="s">
        <v>117</v>
      </c>
      <c r="N1134" s="50">
        <v>0</v>
      </c>
      <c r="O1134" s="50">
        <v>0</v>
      </c>
      <c r="P1134" s="50">
        <v>0</v>
      </c>
      <c r="Q1134" s="46" t="s">
        <v>102</v>
      </c>
      <c r="R1134" s="46" t="s">
        <v>102</v>
      </c>
      <c r="S1134" s="46" t="s">
        <v>102</v>
      </c>
      <c r="T1134" s="46" t="s">
        <v>2770</v>
      </c>
      <c r="U1134" s="51">
        <v>4</v>
      </c>
    </row>
    <row r="1135" spans="2:21" ht="14.5" outlineLevel="3">
      <c r="B1135" s="44" t="s">
        <v>3493</v>
      </c>
      <c r="C1135" s="45" t="s">
        <v>3494</v>
      </c>
      <c r="D1135" s="46" t="s">
        <v>458</v>
      </c>
      <c r="E1135" s="47" t="s">
        <v>102</v>
      </c>
      <c r="F1135" s="46" t="s">
        <v>102</v>
      </c>
      <c r="G1135" s="47" t="s">
        <v>102</v>
      </c>
      <c r="H1135" s="48">
        <v>0</v>
      </c>
      <c r="I1135" s="48">
        <v>0</v>
      </c>
      <c r="J1135" s="47" t="s">
        <v>3371</v>
      </c>
      <c r="K1135" s="49">
        <v>1</v>
      </c>
      <c r="L1135" s="49" t="s">
        <v>2614</v>
      </c>
      <c r="M1135" s="46" t="s">
        <v>117</v>
      </c>
      <c r="N1135" s="50">
        <v>0</v>
      </c>
      <c r="O1135" s="50">
        <v>0</v>
      </c>
      <c r="P1135" s="50">
        <v>0</v>
      </c>
      <c r="Q1135" s="46" t="s">
        <v>102</v>
      </c>
      <c r="R1135" s="46" t="s">
        <v>102</v>
      </c>
      <c r="S1135" s="46" t="s">
        <v>102</v>
      </c>
      <c r="T1135" s="46" t="s">
        <v>3495</v>
      </c>
      <c r="U1135" s="51">
        <v>4</v>
      </c>
    </row>
    <row r="1136" spans="2:21" ht="14.5" outlineLevel="3">
      <c r="B1136" s="44" t="s">
        <v>3496</v>
      </c>
      <c r="C1136" s="45" t="s">
        <v>3497</v>
      </c>
      <c r="D1136" s="46" t="s">
        <v>458</v>
      </c>
      <c r="E1136" s="47" t="s">
        <v>102</v>
      </c>
      <c r="F1136" s="46" t="s">
        <v>102</v>
      </c>
      <c r="G1136" s="47" t="s">
        <v>102</v>
      </c>
      <c r="H1136" s="48">
        <v>0</v>
      </c>
      <c r="I1136" s="48">
        <v>0</v>
      </c>
      <c r="J1136" s="47" t="s">
        <v>3371</v>
      </c>
      <c r="K1136" s="49">
        <v>1</v>
      </c>
      <c r="L1136" s="49" t="s">
        <v>2614</v>
      </c>
      <c r="M1136" s="46" t="s">
        <v>117</v>
      </c>
      <c r="N1136" s="50">
        <v>0</v>
      </c>
      <c r="O1136" s="50">
        <v>0</v>
      </c>
      <c r="P1136" s="50">
        <v>0</v>
      </c>
      <c r="Q1136" s="46" t="s">
        <v>102</v>
      </c>
      <c r="R1136" s="46" t="s">
        <v>102</v>
      </c>
      <c r="S1136" s="46" t="s">
        <v>102</v>
      </c>
      <c r="T1136" s="46" t="s">
        <v>3498</v>
      </c>
      <c r="U1136" s="51">
        <v>4</v>
      </c>
    </row>
    <row r="1137" spans="2:21" ht="14.5" outlineLevel="3">
      <c r="B1137" s="44" t="s">
        <v>3499</v>
      </c>
      <c r="C1137" s="45" t="s">
        <v>3500</v>
      </c>
      <c r="D1137" s="46" t="s">
        <v>458</v>
      </c>
      <c r="E1137" s="47" t="s">
        <v>102</v>
      </c>
      <c r="F1137" s="46" t="s">
        <v>102</v>
      </c>
      <c r="G1137" s="47" t="s">
        <v>102</v>
      </c>
      <c r="H1137" s="48">
        <v>0</v>
      </c>
      <c r="I1137" s="48">
        <v>0</v>
      </c>
      <c r="J1137" s="47" t="s">
        <v>3371</v>
      </c>
      <c r="K1137" s="49">
        <v>1</v>
      </c>
      <c r="L1137" s="49" t="s">
        <v>2614</v>
      </c>
      <c r="M1137" s="46" t="s">
        <v>117</v>
      </c>
      <c r="N1137" s="50">
        <v>0</v>
      </c>
      <c r="O1137" s="50">
        <v>0</v>
      </c>
      <c r="P1137" s="50">
        <v>0</v>
      </c>
      <c r="Q1137" s="46" t="s">
        <v>102</v>
      </c>
      <c r="R1137" s="46" t="s">
        <v>102</v>
      </c>
      <c r="S1137" s="46" t="s">
        <v>102</v>
      </c>
      <c r="T1137" s="46" t="s">
        <v>3501</v>
      </c>
      <c r="U1137" s="51">
        <v>4</v>
      </c>
    </row>
    <row r="1138" spans="2:21" ht="14.5" outlineLevel="3">
      <c r="B1138" s="44" t="s">
        <v>3502</v>
      </c>
      <c r="C1138" s="45" t="s">
        <v>3503</v>
      </c>
      <c r="D1138" s="46" t="s">
        <v>179</v>
      </c>
      <c r="E1138" s="47" t="s">
        <v>102</v>
      </c>
      <c r="F1138" s="46" t="s">
        <v>102</v>
      </c>
      <c r="G1138" s="47" t="s">
        <v>102</v>
      </c>
      <c r="H1138" s="48">
        <v>0</v>
      </c>
      <c r="I1138" s="48">
        <v>0</v>
      </c>
      <c r="J1138" s="47" t="s">
        <v>3371</v>
      </c>
      <c r="K1138" s="49">
        <v>1</v>
      </c>
      <c r="L1138" s="49" t="s">
        <v>2614</v>
      </c>
      <c r="M1138" s="46" t="s">
        <v>117</v>
      </c>
      <c r="N1138" s="50">
        <v>0</v>
      </c>
      <c r="O1138" s="50">
        <v>0</v>
      </c>
      <c r="P1138" s="50">
        <v>0</v>
      </c>
      <c r="Q1138" s="46" t="s">
        <v>102</v>
      </c>
      <c r="R1138" s="46" t="s">
        <v>102</v>
      </c>
      <c r="S1138" s="46" t="s">
        <v>102</v>
      </c>
      <c r="T1138" s="46" t="s">
        <v>3504</v>
      </c>
      <c r="U1138" s="51">
        <v>4</v>
      </c>
    </row>
    <row r="1139" spans="2:21" ht="14.5" outlineLevel="3">
      <c r="B1139" s="44" t="s">
        <v>3505</v>
      </c>
      <c r="C1139" s="45" t="s">
        <v>3506</v>
      </c>
      <c r="D1139" s="46" t="s">
        <v>102</v>
      </c>
      <c r="E1139" s="47" t="s">
        <v>102</v>
      </c>
      <c r="F1139" s="46" t="s">
        <v>102</v>
      </c>
      <c r="G1139" s="47" t="s">
        <v>102</v>
      </c>
      <c r="H1139" s="48">
        <v>0</v>
      </c>
      <c r="I1139" s="48">
        <v>0</v>
      </c>
      <c r="J1139" s="47" t="s">
        <v>3371</v>
      </c>
      <c r="K1139" s="49">
        <v>1</v>
      </c>
      <c r="L1139" s="49" t="s">
        <v>2614</v>
      </c>
      <c r="M1139" s="46" t="s">
        <v>117</v>
      </c>
      <c r="N1139" s="50">
        <v>0</v>
      </c>
      <c r="O1139" s="50">
        <v>0</v>
      </c>
      <c r="P1139" s="50">
        <v>0</v>
      </c>
      <c r="Q1139" s="46" t="s">
        <v>102</v>
      </c>
      <c r="R1139" s="46" t="s">
        <v>102</v>
      </c>
      <c r="S1139" s="46" t="s">
        <v>102</v>
      </c>
      <c r="T1139" s="46" t="s">
        <v>3507</v>
      </c>
      <c r="U1139" s="51">
        <v>4</v>
      </c>
    </row>
    <row r="1140" spans="2:21" ht="14.5" outlineLevel="2">
      <c r="B1140" s="36" t="s">
        <v>3508</v>
      </c>
      <c r="C1140" s="37" t="s">
        <v>3509</v>
      </c>
      <c r="D1140" s="38" t="s">
        <v>276</v>
      </c>
      <c r="E1140" s="39" t="s">
        <v>102</v>
      </c>
      <c r="F1140" s="38" t="s">
        <v>102</v>
      </c>
      <c r="G1140" s="39" t="s">
        <v>102</v>
      </c>
      <c r="H1140" s="40">
        <v>0</v>
      </c>
      <c r="I1140" s="40">
        <v>0</v>
      </c>
      <c r="J1140" s="39" t="s">
        <v>3371</v>
      </c>
      <c r="K1140" s="41">
        <v>1</v>
      </c>
      <c r="L1140" s="41" t="s">
        <v>2614</v>
      </c>
      <c r="M1140" s="38" t="s">
        <v>117</v>
      </c>
      <c r="N1140" s="42">
        <v>0</v>
      </c>
      <c r="O1140" s="42">
        <v>0</v>
      </c>
      <c r="P1140" s="42">
        <v>0</v>
      </c>
      <c r="Q1140" s="38" t="s">
        <v>102</v>
      </c>
      <c r="R1140" s="38" t="s">
        <v>102</v>
      </c>
      <c r="S1140" s="38" t="s">
        <v>102</v>
      </c>
      <c r="T1140" s="38" t="s">
        <v>3510</v>
      </c>
      <c r="U1140" s="43">
        <v>4</v>
      </c>
    </row>
    <row r="1141" spans="2:21" ht="14.5" outlineLevel="3">
      <c r="B1141" s="44" t="s">
        <v>3511</v>
      </c>
      <c r="C1141" s="45" t="s">
        <v>3512</v>
      </c>
      <c r="D1141" s="46" t="s">
        <v>179</v>
      </c>
      <c r="E1141" s="47" t="s">
        <v>102</v>
      </c>
      <c r="F1141" s="46" t="s">
        <v>102</v>
      </c>
      <c r="G1141" s="47" t="s">
        <v>102</v>
      </c>
      <c r="H1141" s="48">
        <v>0</v>
      </c>
      <c r="I1141" s="48">
        <v>0</v>
      </c>
      <c r="J1141" s="47" t="s">
        <v>3371</v>
      </c>
      <c r="K1141" s="49">
        <v>1</v>
      </c>
      <c r="L1141" s="49" t="s">
        <v>2614</v>
      </c>
      <c r="M1141" s="46" t="s">
        <v>117</v>
      </c>
      <c r="N1141" s="50">
        <v>0</v>
      </c>
      <c r="O1141" s="50">
        <v>0</v>
      </c>
      <c r="P1141" s="50">
        <v>0</v>
      </c>
      <c r="Q1141" s="46" t="s">
        <v>102</v>
      </c>
      <c r="R1141" s="46" t="s">
        <v>102</v>
      </c>
      <c r="S1141" s="46" t="s">
        <v>102</v>
      </c>
      <c r="T1141" s="46" t="s">
        <v>3513</v>
      </c>
      <c r="U1141" s="51">
        <v>4</v>
      </c>
    </row>
    <row r="1142" spans="2:21" ht="14.5" outlineLevel="3">
      <c r="B1142" s="44" t="s">
        <v>3514</v>
      </c>
      <c r="C1142" s="45" t="s">
        <v>3515</v>
      </c>
      <c r="D1142" s="46" t="s">
        <v>392</v>
      </c>
      <c r="E1142" s="47" t="s">
        <v>102</v>
      </c>
      <c r="F1142" s="46" t="s">
        <v>102</v>
      </c>
      <c r="G1142" s="47" t="s">
        <v>102</v>
      </c>
      <c r="H1142" s="48">
        <v>0</v>
      </c>
      <c r="I1142" s="48">
        <v>0</v>
      </c>
      <c r="J1142" s="47" t="s">
        <v>3371</v>
      </c>
      <c r="K1142" s="49">
        <v>1</v>
      </c>
      <c r="L1142" s="49" t="s">
        <v>2614</v>
      </c>
      <c r="M1142" s="46" t="s">
        <v>117</v>
      </c>
      <c r="N1142" s="50">
        <v>0</v>
      </c>
      <c r="O1142" s="50">
        <v>0</v>
      </c>
      <c r="P1142" s="50">
        <v>0</v>
      </c>
      <c r="Q1142" s="46" t="s">
        <v>102</v>
      </c>
      <c r="R1142" s="46" t="s">
        <v>102</v>
      </c>
      <c r="S1142" s="46" t="s">
        <v>102</v>
      </c>
      <c r="T1142" s="46" t="s">
        <v>3431</v>
      </c>
      <c r="U1142" s="51">
        <v>4</v>
      </c>
    </row>
    <row r="1143" spans="2:21" ht="14.5" outlineLevel="3">
      <c r="B1143" s="44" t="s">
        <v>3516</v>
      </c>
      <c r="C1143" s="45" t="s">
        <v>3517</v>
      </c>
      <c r="D1143" s="46" t="s">
        <v>102</v>
      </c>
      <c r="E1143" s="47" t="s">
        <v>102</v>
      </c>
      <c r="F1143" s="46" t="s">
        <v>102</v>
      </c>
      <c r="G1143" s="47" t="s">
        <v>102</v>
      </c>
      <c r="H1143" s="48">
        <v>0</v>
      </c>
      <c r="I1143" s="48">
        <v>0</v>
      </c>
      <c r="J1143" s="47" t="s">
        <v>102</v>
      </c>
      <c r="K1143" s="49">
        <v>0</v>
      </c>
      <c r="L1143" s="49" t="s">
        <v>102</v>
      </c>
      <c r="M1143" s="46" t="s">
        <v>102</v>
      </c>
      <c r="N1143" s="50">
        <v>0</v>
      </c>
      <c r="O1143" s="50">
        <v>0</v>
      </c>
      <c r="P1143" s="50">
        <v>0</v>
      </c>
      <c r="Q1143" s="46" t="s">
        <v>102</v>
      </c>
      <c r="R1143" s="46" t="s">
        <v>102</v>
      </c>
      <c r="S1143" s="46" t="s">
        <v>3518</v>
      </c>
      <c r="T1143" s="46" t="s">
        <v>102</v>
      </c>
      <c r="U1143" s="51">
        <v>3</v>
      </c>
    </row>
    <row r="1144" spans="2:21" ht="14.5" outlineLevel="3">
      <c r="B1144" s="44" t="s">
        <v>3519</v>
      </c>
      <c r="C1144" s="45" t="s">
        <v>3520</v>
      </c>
      <c r="D1144" s="46" t="s">
        <v>179</v>
      </c>
      <c r="E1144" s="47" t="s">
        <v>102</v>
      </c>
      <c r="F1144" s="46" t="s">
        <v>102</v>
      </c>
      <c r="G1144" s="47" t="s">
        <v>102</v>
      </c>
      <c r="H1144" s="48">
        <v>0</v>
      </c>
      <c r="I1144" s="48">
        <v>0</v>
      </c>
      <c r="J1144" s="47" t="s">
        <v>3371</v>
      </c>
      <c r="K1144" s="49">
        <v>1</v>
      </c>
      <c r="L1144" s="49" t="s">
        <v>2614</v>
      </c>
      <c r="M1144" s="46" t="s">
        <v>117</v>
      </c>
      <c r="N1144" s="50">
        <v>0</v>
      </c>
      <c r="O1144" s="50">
        <v>0</v>
      </c>
      <c r="P1144" s="50">
        <v>0</v>
      </c>
      <c r="Q1144" s="46" t="s">
        <v>102</v>
      </c>
      <c r="R1144" s="46" t="s">
        <v>102</v>
      </c>
      <c r="S1144" s="46" t="s">
        <v>102</v>
      </c>
      <c r="T1144" s="46" t="s">
        <v>1019</v>
      </c>
      <c r="U1144" s="51">
        <v>4</v>
      </c>
    </row>
    <row r="1145" spans="2:21" ht="14.5" outlineLevel="3">
      <c r="B1145" s="44" t="s">
        <v>3521</v>
      </c>
      <c r="C1145" s="45" t="s">
        <v>3522</v>
      </c>
      <c r="D1145" s="46" t="s">
        <v>179</v>
      </c>
      <c r="E1145" s="47" t="s">
        <v>102</v>
      </c>
      <c r="F1145" s="46" t="s">
        <v>102</v>
      </c>
      <c r="G1145" s="47" t="s">
        <v>102</v>
      </c>
      <c r="H1145" s="48">
        <v>0</v>
      </c>
      <c r="I1145" s="48">
        <v>0</v>
      </c>
      <c r="J1145" s="47" t="s">
        <v>3371</v>
      </c>
      <c r="K1145" s="49">
        <v>1</v>
      </c>
      <c r="L1145" s="49" t="s">
        <v>2614</v>
      </c>
      <c r="M1145" s="46" t="s">
        <v>117</v>
      </c>
      <c r="N1145" s="50">
        <v>0</v>
      </c>
      <c r="O1145" s="50">
        <v>0</v>
      </c>
      <c r="P1145" s="50">
        <v>0</v>
      </c>
      <c r="Q1145" s="46" t="s">
        <v>102</v>
      </c>
      <c r="R1145" s="46" t="s">
        <v>102</v>
      </c>
      <c r="S1145" s="46" t="s">
        <v>102</v>
      </c>
      <c r="T1145" s="46" t="s">
        <v>2828</v>
      </c>
      <c r="U1145" s="51">
        <v>4</v>
      </c>
    </row>
    <row r="1146" spans="2:21" ht="14.5" outlineLevel="3">
      <c r="B1146" s="44" t="s">
        <v>3523</v>
      </c>
      <c r="C1146" s="45" t="s">
        <v>3524</v>
      </c>
      <c r="D1146" s="46" t="s">
        <v>179</v>
      </c>
      <c r="E1146" s="47" t="s">
        <v>102</v>
      </c>
      <c r="F1146" s="46" t="s">
        <v>102</v>
      </c>
      <c r="G1146" s="47" t="s">
        <v>102</v>
      </c>
      <c r="H1146" s="48">
        <v>0</v>
      </c>
      <c r="I1146" s="48">
        <v>0</v>
      </c>
      <c r="J1146" s="47" t="s">
        <v>3371</v>
      </c>
      <c r="K1146" s="49">
        <v>1</v>
      </c>
      <c r="L1146" s="49" t="s">
        <v>2614</v>
      </c>
      <c r="M1146" s="46" t="s">
        <v>117</v>
      </c>
      <c r="N1146" s="50">
        <v>0</v>
      </c>
      <c r="O1146" s="50">
        <v>0</v>
      </c>
      <c r="P1146" s="50">
        <v>0</v>
      </c>
      <c r="Q1146" s="46" t="s">
        <v>102</v>
      </c>
      <c r="R1146" s="46" t="s">
        <v>102</v>
      </c>
      <c r="S1146" s="46" t="s">
        <v>102</v>
      </c>
      <c r="T1146" s="46" t="s">
        <v>2773</v>
      </c>
      <c r="U1146" s="51">
        <v>4</v>
      </c>
    </row>
    <row r="1147" spans="2:21" ht="14.5" outlineLevel="2">
      <c r="B1147" s="36" t="s">
        <v>3525</v>
      </c>
      <c r="C1147" s="37" t="s">
        <v>3526</v>
      </c>
      <c r="D1147" s="38" t="s">
        <v>392</v>
      </c>
      <c r="E1147" s="39" t="s">
        <v>102</v>
      </c>
      <c r="F1147" s="38" t="s">
        <v>102</v>
      </c>
      <c r="G1147" s="39" t="s">
        <v>102</v>
      </c>
      <c r="H1147" s="40">
        <v>0</v>
      </c>
      <c r="I1147" s="40">
        <v>0</v>
      </c>
      <c r="J1147" s="39" t="s">
        <v>3371</v>
      </c>
      <c r="K1147" s="41">
        <v>1</v>
      </c>
      <c r="L1147" s="41" t="s">
        <v>2614</v>
      </c>
      <c r="M1147" s="38" t="s">
        <v>117</v>
      </c>
      <c r="N1147" s="42">
        <v>0</v>
      </c>
      <c r="O1147" s="42">
        <v>0</v>
      </c>
      <c r="P1147" s="42">
        <v>0</v>
      </c>
      <c r="Q1147" s="38" t="s">
        <v>102</v>
      </c>
      <c r="R1147" s="38" t="s">
        <v>102</v>
      </c>
      <c r="S1147" s="38" t="s">
        <v>102</v>
      </c>
      <c r="T1147" s="38" t="s">
        <v>3527</v>
      </c>
      <c r="U1147" s="43">
        <v>4</v>
      </c>
    </row>
    <row r="1148" spans="2:21" ht="14.5" outlineLevel="3">
      <c r="B1148" s="44" t="s">
        <v>3528</v>
      </c>
      <c r="C1148" s="45" t="s">
        <v>3529</v>
      </c>
      <c r="D1148" s="46" t="s">
        <v>392</v>
      </c>
      <c r="E1148" s="47" t="s">
        <v>102</v>
      </c>
      <c r="F1148" s="46" t="s">
        <v>102</v>
      </c>
      <c r="G1148" s="47" t="s">
        <v>102</v>
      </c>
      <c r="H1148" s="48">
        <v>0</v>
      </c>
      <c r="I1148" s="48">
        <v>0</v>
      </c>
      <c r="J1148" s="47" t="s">
        <v>3371</v>
      </c>
      <c r="K1148" s="49">
        <v>1</v>
      </c>
      <c r="L1148" s="49" t="s">
        <v>2614</v>
      </c>
      <c r="M1148" s="46" t="s">
        <v>117</v>
      </c>
      <c r="N1148" s="50">
        <v>0</v>
      </c>
      <c r="O1148" s="50">
        <v>0</v>
      </c>
      <c r="P1148" s="50">
        <v>0</v>
      </c>
      <c r="Q1148" s="46" t="s">
        <v>102</v>
      </c>
      <c r="R1148" s="46" t="s">
        <v>102</v>
      </c>
      <c r="S1148" s="46" t="s">
        <v>102</v>
      </c>
      <c r="T1148" s="46" t="s">
        <v>2831</v>
      </c>
      <c r="U1148" s="51">
        <v>4</v>
      </c>
    </row>
    <row r="1149" spans="2:21" ht="14.5" outlineLevel="2">
      <c r="B1149" s="36" t="s">
        <v>3530</v>
      </c>
      <c r="C1149" s="37" t="s">
        <v>3531</v>
      </c>
      <c r="D1149" s="38" t="s">
        <v>392</v>
      </c>
      <c r="E1149" s="39" t="s">
        <v>102</v>
      </c>
      <c r="F1149" s="38" t="s">
        <v>102</v>
      </c>
      <c r="G1149" s="39" t="s">
        <v>102</v>
      </c>
      <c r="H1149" s="40">
        <v>0</v>
      </c>
      <c r="I1149" s="40">
        <v>0</v>
      </c>
      <c r="J1149" s="39" t="s">
        <v>3371</v>
      </c>
      <c r="K1149" s="41">
        <v>1</v>
      </c>
      <c r="L1149" s="41" t="s">
        <v>2614</v>
      </c>
      <c r="M1149" s="38" t="s">
        <v>117</v>
      </c>
      <c r="N1149" s="42">
        <v>0</v>
      </c>
      <c r="O1149" s="42">
        <v>0</v>
      </c>
      <c r="P1149" s="42">
        <v>0</v>
      </c>
      <c r="Q1149" s="38" t="s">
        <v>102</v>
      </c>
      <c r="R1149" s="38" t="s">
        <v>102</v>
      </c>
      <c r="S1149" s="38" t="s">
        <v>102</v>
      </c>
      <c r="T1149" s="38" t="s">
        <v>2795</v>
      </c>
      <c r="U1149" s="43">
        <v>4</v>
      </c>
    </row>
    <row r="1150" spans="2:21" ht="14.5" outlineLevel="3">
      <c r="B1150" s="44" t="s">
        <v>3532</v>
      </c>
      <c r="C1150" s="45" t="s">
        <v>3533</v>
      </c>
      <c r="D1150" s="46" t="s">
        <v>102</v>
      </c>
      <c r="E1150" s="47" t="s">
        <v>102</v>
      </c>
      <c r="F1150" s="46" t="s">
        <v>102</v>
      </c>
      <c r="G1150" s="47" t="s">
        <v>102</v>
      </c>
      <c r="H1150" s="48">
        <v>0</v>
      </c>
      <c r="I1150" s="48">
        <v>0</v>
      </c>
      <c r="J1150" s="47" t="s">
        <v>102</v>
      </c>
      <c r="K1150" s="49">
        <v>0</v>
      </c>
      <c r="L1150" s="49" t="s">
        <v>102</v>
      </c>
      <c r="M1150" s="46" t="s">
        <v>102</v>
      </c>
      <c r="N1150" s="50">
        <v>0</v>
      </c>
      <c r="O1150" s="50">
        <v>0</v>
      </c>
      <c r="P1150" s="50">
        <v>0</v>
      </c>
      <c r="Q1150" s="46" t="s">
        <v>102</v>
      </c>
      <c r="R1150" s="46" t="s">
        <v>102</v>
      </c>
      <c r="S1150" s="46" t="s">
        <v>3534</v>
      </c>
      <c r="T1150" s="46" t="s">
        <v>102</v>
      </c>
      <c r="U1150" s="51">
        <v>3</v>
      </c>
    </row>
    <row r="1151" spans="2:21" ht="14.5" outlineLevel="2">
      <c r="B1151" s="36" t="s">
        <v>3535</v>
      </c>
      <c r="C1151" s="37" t="s">
        <v>3536</v>
      </c>
      <c r="D1151" s="38" t="s">
        <v>392</v>
      </c>
      <c r="E1151" s="39" t="s">
        <v>102</v>
      </c>
      <c r="F1151" s="38" t="s">
        <v>102</v>
      </c>
      <c r="G1151" s="39" t="s">
        <v>102</v>
      </c>
      <c r="H1151" s="40">
        <v>0</v>
      </c>
      <c r="I1151" s="40">
        <v>0</v>
      </c>
      <c r="J1151" s="39" t="s">
        <v>3371</v>
      </c>
      <c r="K1151" s="41">
        <v>1</v>
      </c>
      <c r="L1151" s="41" t="s">
        <v>2614</v>
      </c>
      <c r="M1151" s="38" t="s">
        <v>117</v>
      </c>
      <c r="N1151" s="42">
        <v>0</v>
      </c>
      <c r="O1151" s="42">
        <v>0</v>
      </c>
      <c r="P1151" s="42">
        <v>0</v>
      </c>
      <c r="Q1151" s="38" t="s">
        <v>102</v>
      </c>
      <c r="R1151" s="38" t="s">
        <v>102</v>
      </c>
      <c r="S1151" s="38" t="s">
        <v>102</v>
      </c>
      <c r="T1151" s="38" t="s">
        <v>2854</v>
      </c>
      <c r="U1151" s="43">
        <v>4</v>
      </c>
    </row>
    <row r="1152" spans="2:21" ht="14.5" outlineLevel="3">
      <c r="B1152" s="44" t="s">
        <v>3537</v>
      </c>
      <c r="C1152" s="45" t="s">
        <v>3538</v>
      </c>
      <c r="D1152" s="46" t="s">
        <v>102</v>
      </c>
      <c r="E1152" s="47" t="s">
        <v>102</v>
      </c>
      <c r="F1152" s="46" t="s">
        <v>102</v>
      </c>
      <c r="G1152" s="47" t="s">
        <v>102</v>
      </c>
      <c r="H1152" s="48">
        <v>0</v>
      </c>
      <c r="I1152" s="48">
        <v>0</v>
      </c>
      <c r="J1152" s="47" t="s">
        <v>102</v>
      </c>
      <c r="K1152" s="49">
        <v>0</v>
      </c>
      <c r="L1152" s="49" t="s">
        <v>102</v>
      </c>
      <c r="M1152" s="46" t="s">
        <v>102</v>
      </c>
      <c r="N1152" s="50">
        <v>0</v>
      </c>
      <c r="O1152" s="50">
        <v>0</v>
      </c>
      <c r="P1152" s="50">
        <v>0</v>
      </c>
      <c r="Q1152" s="46" t="s">
        <v>102</v>
      </c>
      <c r="R1152" s="46" t="s">
        <v>102</v>
      </c>
      <c r="S1152" s="46" t="s">
        <v>3539</v>
      </c>
      <c r="T1152" s="46" t="s">
        <v>102</v>
      </c>
      <c r="U1152" s="51">
        <v>3</v>
      </c>
    </row>
    <row r="1153" spans="2:21" ht="14.5" outlineLevel="3">
      <c r="B1153" s="44" t="s">
        <v>3540</v>
      </c>
      <c r="C1153" s="45" t="s">
        <v>3541</v>
      </c>
      <c r="D1153" s="46" t="s">
        <v>392</v>
      </c>
      <c r="E1153" s="47" t="s">
        <v>102</v>
      </c>
      <c r="F1153" s="46" t="s">
        <v>102</v>
      </c>
      <c r="G1153" s="47" t="s">
        <v>102</v>
      </c>
      <c r="H1153" s="48">
        <v>0</v>
      </c>
      <c r="I1153" s="48">
        <v>0</v>
      </c>
      <c r="J1153" s="47" t="s">
        <v>3371</v>
      </c>
      <c r="K1153" s="49">
        <v>1</v>
      </c>
      <c r="L1153" s="49" t="s">
        <v>2614</v>
      </c>
      <c r="M1153" s="46" t="s">
        <v>117</v>
      </c>
      <c r="N1153" s="50">
        <v>0</v>
      </c>
      <c r="O1153" s="50">
        <v>0</v>
      </c>
      <c r="P1153" s="50">
        <v>0</v>
      </c>
      <c r="Q1153" s="46" t="s">
        <v>102</v>
      </c>
      <c r="R1153" s="46" t="s">
        <v>102</v>
      </c>
      <c r="S1153" s="46" t="s">
        <v>102</v>
      </c>
      <c r="T1153" s="46" t="s">
        <v>2854</v>
      </c>
      <c r="U1153" s="51">
        <v>4</v>
      </c>
    </row>
    <row r="1154" spans="2:21" ht="14.5" outlineLevel="3">
      <c r="B1154" s="44" t="s">
        <v>3542</v>
      </c>
      <c r="C1154" s="45" t="s">
        <v>3543</v>
      </c>
      <c r="D1154" s="46" t="s">
        <v>102</v>
      </c>
      <c r="E1154" s="47" t="s">
        <v>102</v>
      </c>
      <c r="F1154" s="46" t="s">
        <v>102</v>
      </c>
      <c r="G1154" s="47" t="s">
        <v>102</v>
      </c>
      <c r="H1154" s="48">
        <v>0</v>
      </c>
      <c r="I1154" s="48">
        <v>0</v>
      </c>
      <c r="J1154" s="47" t="s">
        <v>102</v>
      </c>
      <c r="K1154" s="49">
        <v>0</v>
      </c>
      <c r="L1154" s="49" t="s">
        <v>102</v>
      </c>
      <c r="M1154" s="46" t="s">
        <v>102</v>
      </c>
      <c r="N1154" s="50">
        <v>0</v>
      </c>
      <c r="O1154" s="50">
        <v>0</v>
      </c>
      <c r="P1154" s="50">
        <v>0</v>
      </c>
      <c r="Q1154" s="46" t="s">
        <v>102</v>
      </c>
      <c r="R1154" s="46" t="s">
        <v>102</v>
      </c>
      <c r="S1154" s="46" t="s">
        <v>3544</v>
      </c>
      <c r="T1154" s="46" t="s">
        <v>102</v>
      </c>
      <c r="U1154" s="51">
        <v>3</v>
      </c>
    </row>
    <row r="1155" spans="2:21" ht="14.5" outlineLevel="3">
      <c r="B1155" s="44" t="s">
        <v>3545</v>
      </c>
      <c r="C1155" s="45" t="s">
        <v>3546</v>
      </c>
      <c r="D1155" s="46" t="s">
        <v>458</v>
      </c>
      <c r="E1155" s="47" t="s">
        <v>102</v>
      </c>
      <c r="F1155" s="46" t="s">
        <v>102</v>
      </c>
      <c r="G1155" s="47" t="s">
        <v>102</v>
      </c>
      <c r="H1155" s="48">
        <v>0</v>
      </c>
      <c r="I1155" s="48">
        <v>0</v>
      </c>
      <c r="J1155" s="47" t="s">
        <v>3371</v>
      </c>
      <c r="K1155" s="49">
        <v>1</v>
      </c>
      <c r="L1155" s="49" t="s">
        <v>2614</v>
      </c>
      <c r="M1155" s="46" t="s">
        <v>117</v>
      </c>
      <c r="N1155" s="50">
        <v>0</v>
      </c>
      <c r="O1155" s="50">
        <v>0</v>
      </c>
      <c r="P1155" s="50">
        <v>0</v>
      </c>
      <c r="Q1155" s="46" t="s">
        <v>102</v>
      </c>
      <c r="R1155" s="46" t="s">
        <v>102</v>
      </c>
      <c r="S1155" s="46" t="s">
        <v>102</v>
      </c>
      <c r="T1155" s="46" t="s">
        <v>1019</v>
      </c>
      <c r="U1155" s="51">
        <v>4</v>
      </c>
    </row>
    <row r="1156" spans="2:21" ht="14.5" outlineLevel="3">
      <c r="B1156" s="44" t="s">
        <v>3547</v>
      </c>
      <c r="C1156" s="45" t="s">
        <v>3548</v>
      </c>
      <c r="D1156" s="46" t="s">
        <v>179</v>
      </c>
      <c r="E1156" s="47" t="s">
        <v>102</v>
      </c>
      <c r="F1156" s="46" t="s">
        <v>102</v>
      </c>
      <c r="G1156" s="47" t="s">
        <v>102</v>
      </c>
      <c r="H1156" s="48">
        <v>0</v>
      </c>
      <c r="I1156" s="48">
        <v>0</v>
      </c>
      <c r="J1156" s="47" t="s">
        <v>3371</v>
      </c>
      <c r="K1156" s="49">
        <v>1</v>
      </c>
      <c r="L1156" s="49" t="s">
        <v>2614</v>
      </c>
      <c r="M1156" s="46" t="s">
        <v>117</v>
      </c>
      <c r="N1156" s="50">
        <v>0</v>
      </c>
      <c r="O1156" s="50">
        <v>0</v>
      </c>
      <c r="P1156" s="50">
        <v>0</v>
      </c>
      <c r="Q1156" s="46" t="s">
        <v>102</v>
      </c>
      <c r="R1156" s="46" t="s">
        <v>102</v>
      </c>
      <c r="S1156" s="46" t="s">
        <v>102</v>
      </c>
      <c r="T1156" s="46" t="s">
        <v>2815</v>
      </c>
      <c r="U1156" s="51">
        <v>4</v>
      </c>
    </row>
    <row r="1157" spans="2:21" ht="14.5" outlineLevel="3">
      <c r="B1157" s="44" t="s">
        <v>3549</v>
      </c>
      <c r="C1157" s="45" t="s">
        <v>3550</v>
      </c>
      <c r="D1157" s="46" t="s">
        <v>179</v>
      </c>
      <c r="E1157" s="47" t="s">
        <v>102</v>
      </c>
      <c r="F1157" s="46" t="s">
        <v>102</v>
      </c>
      <c r="G1157" s="47" t="s">
        <v>102</v>
      </c>
      <c r="H1157" s="48">
        <v>0</v>
      </c>
      <c r="I1157" s="48">
        <v>0</v>
      </c>
      <c r="J1157" s="47" t="s">
        <v>3371</v>
      </c>
      <c r="K1157" s="49">
        <v>1</v>
      </c>
      <c r="L1157" s="49" t="s">
        <v>2614</v>
      </c>
      <c r="M1157" s="46" t="s">
        <v>117</v>
      </c>
      <c r="N1157" s="50">
        <v>0</v>
      </c>
      <c r="O1157" s="50">
        <v>0</v>
      </c>
      <c r="P1157" s="50">
        <v>0</v>
      </c>
      <c r="Q1157" s="46" t="s">
        <v>102</v>
      </c>
      <c r="R1157" s="46" t="s">
        <v>102</v>
      </c>
      <c r="S1157" s="46" t="s">
        <v>102</v>
      </c>
      <c r="T1157" s="46" t="s">
        <v>461</v>
      </c>
      <c r="U1157" s="51">
        <v>4</v>
      </c>
    </row>
    <row r="1158" spans="2:21" ht="14.5" outlineLevel="3">
      <c r="B1158" s="44" t="s">
        <v>3551</v>
      </c>
      <c r="C1158" s="45" t="s">
        <v>3552</v>
      </c>
      <c r="D1158" s="46" t="s">
        <v>179</v>
      </c>
      <c r="E1158" s="47" t="s">
        <v>102</v>
      </c>
      <c r="F1158" s="46" t="s">
        <v>102</v>
      </c>
      <c r="G1158" s="47" t="s">
        <v>102</v>
      </c>
      <c r="H1158" s="48">
        <v>0</v>
      </c>
      <c r="I1158" s="48">
        <v>0</v>
      </c>
      <c r="J1158" s="47" t="s">
        <v>3371</v>
      </c>
      <c r="K1158" s="49">
        <v>1</v>
      </c>
      <c r="L1158" s="49" t="s">
        <v>2614</v>
      </c>
      <c r="M1158" s="46" t="s">
        <v>117</v>
      </c>
      <c r="N1158" s="50">
        <v>0</v>
      </c>
      <c r="O1158" s="50">
        <v>0</v>
      </c>
      <c r="P1158" s="50">
        <v>0</v>
      </c>
      <c r="Q1158" s="46" t="s">
        <v>102</v>
      </c>
      <c r="R1158" s="46" t="s">
        <v>102</v>
      </c>
      <c r="S1158" s="46" t="s">
        <v>102</v>
      </c>
      <c r="T1158" s="46" t="s">
        <v>466</v>
      </c>
      <c r="U1158" s="51">
        <v>4</v>
      </c>
    </row>
    <row r="1159" spans="2:21" ht="14.5" outlineLevel="3">
      <c r="B1159" s="44" t="s">
        <v>3553</v>
      </c>
      <c r="C1159" s="45" t="s">
        <v>3554</v>
      </c>
      <c r="D1159" s="46" t="s">
        <v>179</v>
      </c>
      <c r="E1159" s="47" t="s">
        <v>102</v>
      </c>
      <c r="F1159" s="46" t="s">
        <v>102</v>
      </c>
      <c r="G1159" s="47" t="s">
        <v>102</v>
      </c>
      <c r="H1159" s="48">
        <v>0</v>
      </c>
      <c r="I1159" s="48">
        <v>0</v>
      </c>
      <c r="J1159" s="47" t="s">
        <v>3371</v>
      </c>
      <c r="K1159" s="49">
        <v>1</v>
      </c>
      <c r="L1159" s="49" t="s">
        <v>2614</v>
      </c>
      <c r="M1159" s="46" t="s">
        <v>117</v>
      </c>
      <c r="N1159" s="50">
        <v>0</v>
      </c>
      <c r="O1159" s="50">
        <v>0</v>
      </c>
      <c r="P1159" s="50">
        <v>0</v>
      </c>
      <c r="Q1159" s="46" t="s">
        <v>102</v>
      </c>
      <c r="R1159" s="46" t="s">
        <v>102</v>
      </c>
      <c r="S1159" s="46" t="s">
        <v>102</v>
      </c>
      <c r="T1159" s="46" t="s">
        <v>472</v>
      </c>
      <c r="U1159" s="51">
        <v>4</v>
      </c>
    </row>
    <row r="1160" spans="2:21" ht="14.5" outlineLevel="3">
      <c r="B1160" s="44" t="s">
        <v>3555</v>
      </c>
      <c r="C1160" s="45" t="s">
        <v>3556</v>
      </c>
      <c r="D1160" s="46" t="s">
        <v>179</v>
      </c>
      <c r="E1160" s="47" t="s">
        <v>102</v>
      </c>
      <c r="F1160" s="46" t="s">
        <v>102</v>
      </c>
      <c r="G1160" s="47" t="s">
        <v>102</v>
      </c>
      <c r="H1160" s="48">
        <v>0</v>
      </c>
      <c r="I1160" s="48">
        <v>0</v>
      </c>
      <c r="J1160" s="47" t="s">
        <v>3371</v>
      </c>
      <c r="K1160" s="49">
        <v>1</v>
      </c>
      <c r="L1160" s="49" t="s">
        <v>2614</v>
      </c>
      <c r="M1160" s="46" t="s">
        <v>117</v>
      </c>
      <c r="N1160" s="50">
        <v>0</v>
      </c>
      <c r="O1160" s="50">
        <v>0</v>
      </c>
      <c r="P1160" s="50">
        <v>0</v>
      </c>
      <c r="Q1160" s="46" t="s">
        <v>102</v>
      </c>
      <c r="R1160" s="46" t="s">
        <v>102</v>
      </c>
      <c r="S1160" s="46" t="s">
        <v>102</v>
      </c>
      <c r="T1160" s="46" t="s">
        <v>477</v>
      </c>
      <c r="U1160" s="51">
        <v>4</v>
      </c>
    </row>
    <row r="1161" spans="2:21" ht="14.5" outlineLevel="3">
      <c r="B1161" s="44" t="s">
        <v>3557</v>
      </c>
      <c r="C1161" s="45" t="s">
        <v>3558</v>
      </c>
      <c r="D1161" s="46" t="s">
        <v>458</v>
      </c>
      <c r="E1161" s="47" t="s">
        <v>102</v>
      </c>
      <c r="F1161" s="46" t="s">
        <v>102</v>
      </c>
      <c r="G1161" s="47" t="s">
        <v>102</v>
      </c>
      <c r="H1161" s="48">
        <v>0</v>
      </c>
      <c r="I1161" s="48">
        <v>0</v>
      </c>
      <c r="J1161" s="47" t="s">
        <v>3371</v>
      </c>
      <c r="K1161" s="49">
        <v>1</v>
      </c>
      <c r="L1161" s="49" t="s">
        <v>2614</v>
      </c>
      <c r="M1161" s="46" t="s">
        <v>117</v>
      </c>
      <c r="N1161" s="50">
        <v>0</v>
      </c>
      <c r="O1161" s="50">
        <v>0</v>
      </c>
      <c r="P1161" s="50">
        <v>0</v>
      </c>
      <c r="Q1161" s="46" t="s">
        <v>102</v>
      </c>
      <c r="R1161" s="46" t="s">
        <v>102</v>
      </c>
      <c r="S1161" s="46" t="s">
        <v>102</v>
      </c>
      <c r="T1161" s="46" t="s">
        <v>2828</v>
      </c>
      <c r="U1161" s="51">
        <v>4</v>
      </c>
    </row>
    <row r="1162" spans="2:21" ht="14.5" outlineLevel="3">
      <c r="B1162" s="44" t="s">
        <v>3559</v>
      </c>
      <c r="C1162" s="45" t="s">
        <v>3560</v>
      </c>
      <c r="D1162" s="46" t="s">
        <v>179</v>
      </c>
      <c r="E1162" s="47" t="s">
        <v>102</v>
      </c>
      <c r="F1162" s="46" t="s">
        <v>102</v>
      </c>
      <c r="G1162" s="47" t="s">
        <v>102</v>
      </c>
      <c r="H1162" s="48">
        <v>0</v>
      </c>
      <c r="I1162" s="48">
        <v>0</v>
      </c>
      <c r="J1162" s="47" t="s">
        <v>3371</v>
      </c>
      <c r="K1162" s="49">
        <v>1</v>
      </c>
      <c r="L1162" s="49" t="s">
        <v>2614</v>
      </c>
      <c r="M1162" s="46" t="s">
        <v>117</v>
      </c>
      <c r="N1162" s="50">
        <v>0</v>
      </c>
      <c r="O1162" s="50">
        <v>0</v>
      </c>
      <c r="P1162" s="50">
        <v>0</v>
      </c>
      <c r="Q1162" s="46" t="s">
        <v>102</v>
      </c>
      <c r="R1162" s="46" t="s">
        <v>102</v>
      </c>
      <c r="S1162" s="46" t="s">
        <v>102</v>
      </c>
      <c r="T1162" s="46" t="s">
        <v>2773</v>
      </c>
      <c r="U1162" s="51">
        <v>4</v>
      </c>
    </row>
    <row r="1163" spans="2:21" ht="14.5" outlineLevel="3">
      <c r="B1163" s="44" t="s">
        <v>3561</v>
      </c>
      <c r="C1163" s="45" t="s">
        <v>3562</v>
      </c>
      <c r="D1163" s="46" t="s">
        <v>276</v>
      </c>
      <c r="E1163" s="47" t="s">
        <v>102</v>
      </c>
      <c r="F1163" s="46" t="s">
        <v>102</v>
      </c>
      <c r="G1163" s="47" t="s">
        <v>102</v>
      </c>
      <c r="H1163" s="48">
        <v>0</v>
      </c>
      <c r="I1163" s="48">
        <v>0</v>
      </c>
      <c r="J1163" s="47" t="s">
        <v>3371</v>
      </c>
      <c r="K1163" s="49">
        <v>1</v>
      </c>
      <c r="L1163" s="49" t="s">
        <v>2614</v>
      </c>
      <c r="M1163" s="46" t="s">
        <v>117</v>
      </c>
      <c r="N1163" s="50">
        <v>0</v>
      </c>
      <c r="O1163" s="50">
        <v>0</v>
      </c>
      <c r="P1163" s="50">
        <v>0</v>
      </c>
      <c r="Q1163" s="46" t="s">
        <v>102</v>
      </c>
      <c r="R1163" s="46" t="s">
        <v>102</v>
      </c>
      <c r="S1163" s="46" t="s">
        <v>102</v>
      </c>
      <c r="T1163" s="46" t="s">
        <v>2831</v>
      </c>
      <c r="U1163" s="51">
        <v>4</v>
      </c>
    </row>
    <row r="1164" spans="2:21" ht="14.5" outlineLevel="3">
      <c r="B1164" s="44" t="s">
        <v>3563</v>
      </c>
      <c r="C1164" s="45" t="s">
        <v>3564</v>
      </c>
      <c r="D1164" s="46" t="s">
        <v>276</v>
      </c>
      <c r="E1164" s="47" t="s">
        <v>102</v>
      </c>
      <c r="F1164" s="46" t="s">
        <v>102</v>
      </c>
      <c r="G1164" s="47" t="s">
        <v>102</v>
      </c>
      <c r="H1164" s="48">
        <v>0</v>
      </c>
      <c r="I1164" s="48">
        <v>0</v>
      </c>
      <c r="J1164" s="47" t="s">
        <v>3371</v>
      </c>
      <c r="K1164" s="49">
        <v>1</v>
      </c>
      <c r="L1164" s="49" t="s">
        <v>2614</v>
      </c>
      <c r="M1164" s="46" t="s">
        <v>117</v>
      </c>
      <c r="N1164" s="50">
        <v>0</v>
      </c>
      <c r="O1164" s="50">
        <v>0</v>
      </c>
      <c r="P1164" s="50">
        <v>0</v>
      </c>
      <c r="Q1164" s="46" t="s">
        <v>102</v>
      </c>
      <c r="R1164" s="46" t="s">
        <v>102</v>
      </c>
      <c r="S1164" s="46" t="s">
        <v>102</v>
      </c>
      <c r="T1164" s="46" t="s">
        <v>527</v>
      </c>
      <c r="U1164" s="51">
        <v>4</v>
      </c>
    </row>
    <row r="1165" spans="2:21" ht="14.5" outlineLevel="3">
      <c r="B1165" s="44" t="s">
        <v>3565</v>
      </c>
      <c r="C1165" s="45" t="s">
        <v>3566</v>
      </c>
      <c r="D1165" s="46" t="s">
        <v>179</v>
      </c>
      <c r="E1165" s="47" t="s">
        <v>102</v>
      </c>
      <c r="F1165" s="46" t="s">
        <v>102</v>
      </c>
      <c r="G1165" s="47" t="s">
        <v>102</v>
      </c>
      <c r="H1165" s="48">
        <v>0</v>
      </c>
      <c r="I1165" s="48">
        <v>0</v>
      </c>
      <c r="J1165" s="47" t="s">
        <v>3371</v>
      </c>
      <c r="K1165" s="49">
        <v>1</v>
      </c>
      <c r="L1165" s="49" t="s">
        <v>2614</v>
      </c>
      <c r="M1165" s="46" t="s">
        <v>117</v>
      </c>
      <c r="N1165" s="50">
        <v>0</v>
      </c>
      <c r="O1165" s="50">
        <v>0</v>
      </c>
      <c r="P1165" s="50">
        <v>0</v>
      </c>
      <c r="Q1165" s="46" t="s">
        <v>102</v>
      </c>
      <c r="R1165" s="46" t="s">
        <v>102</v>
      </c>
      <c r="S1165" s="46" t="s">
        <v>102</v>
      </c>
      <c r="T1165" s="46" t="s">
        <v>532</v>
      </c>
      <c r="U1165" s="51">
        <v>4</v>
      </c>
    </row>
    <row r="1166" spans="2:21" ht="14.5" outlineLevel="3">
      <c r="B1166" s="44" t="s">
        <v>3567</v>
      </c>
      <c r="C1166" s="45" t="s">
        <v>3568</v>
      </c>
      <c r="D1166" s="46" t="s">
        <v>392</v>
      </c>
      <c r="E1166" s="47" t="s">
        <v>102</v>
      </c>
      <c r="F1166" s="46" t="s">
        <v>102</v>
      </c>
      <c r="G1166" s="47" t="s">
        <v>102</v>
      </c>
      <c r="H1166" s="48">
        <v>0</v>
      </c>
      <c r="I1166" s="48">
        <v>0</v>
      </c>
      <c r="J1166" s="47" t="s">
        <v>3371</v>
      </c>
      <c r="K1166" s="49">
        <v>1</v>
      </c>
      <c r="L1166" s="49" t="s">
        <v>2614</v>
      </c>
      <c r="M1166" s="46" t="s">
        <v>117</v>
      </c>
      <c r="N1166" s="50">
        <v>0</v>
      </c>
      <c r="O1166" s="50">
        <v>0</v>
      </c>
      <c r="P1166" s="50">
        <v>0</v>
      </c>
      <c r="Q1166" s="46" t="s">
        <v>102</v>
      </c>
      <c r="R1166" s="46" t="s">
        <v>102</v>
      </c>
      <c r="S1166" s="46" t="s">
        <v>102</v>
      </c>
      <c r="T1166" s="46" t="s">
        <v>2666</v>
      </c>
      <c r="U1166" s="51">
        <v>4</v>
      </c>
    </row>
    <row r="1167" spans="2:21" ht="14.5" outlineLevel="3">
      <c r="B1167" s="44" t="s">
        <v>3569</v>
      </c>
      <c r="C1167" s="45" t="s">
        <v>3570</v>
      </c>
      <c r="D1167" s="46" t="s">
        <v>392</v>
      </c>
      <c r="E1167" s="47" t="s">
        <v>102</v>
      </c>
      <c r="F1167" s="46" t="s">
        <v>102</v>
      </c>
      <c r="G1167" s="47" t="s">
        <v>102</v>
      </c>
      <c r="H1167" s="48">
        <v>0</v>
      </c>
      <c r="I1167" s="48">
        <v>0</v>
      </c>
      <c r="J1167" s="47" t="s">
        <v>3371</v>
      </c>
      <c r="K1167" s="49">
        <v>1</v>
      </c>
      <c r="L1167" s="49" t="s">
        <v>2614</v>
      </c>
      <c r="M1167" s="46" t="s">
        <v>117</v>
      </c>
      <c r="N1167" s="50">
        <v>0</v>
      </c>
      <c r="O1167" s="50">
        <v>0</v>
      </c>
      <c r="P1167" s="50">
        <v>0</v>
      </c>
      <c r="Q1167" s="46" t="s">
        <v>102</v>
      </c>
      <c r="R1167" s="46" t="s">
        <v>102</v>
      </c>
      <c r="S1167" s="46" t="s">
        <v>102</v>
      </c>
      <c r="T1167" s="46" t="s">
        <v>3088</v>
      </c>
      <c r="U1167" s="51">
        <v>4</v>
      </c>
    </row>
    <row r="1168" spans="2:21" ht="14.5" outlineLevel="3">
      <c r="B1168" s="44" t="s">
        <v>3571</v>
      </c>
      <c r="C1168" s="45" t="s">
        <v>3572</v>
      </c>
      <c r="D1168" s="46" t="s">
        <v>392</v>
      </c>
      <c r="E1168" s="47" t="s">
        <v>102</v>
      </c>
      <c r="F1168" s="46" t="s">
        <v>102</v>
      </c>
      <c r="G1168" s="47" t="s">
        <v>102</v>
      </c>
      <c r="H1168" s="48">
        <v>0</v>
      </c>
      <c r="I1168" s="48">
        <v>0</v>
      </c>
      <c r="J1168" s="47" t="s">
        <v>3371</v>
      </c>
      <c r="K1168" s="49">
        <v>1</v>
      </c>
      <c r="L1168" s="49" t="s">
        <v>2614</v>
      </c>
      <c r="M1168" s="46" t="s">
        <v>117</v>
      </c>
      <c r="N1168" s="50">
        <v>0</v>
      </c>
      <c r="O1168" s="50">
        <v>0</v>
      </c>
      <c r="P1168" s="50">
        <v>0</v>
      </c>
      <c r="Q1168" s="46" t="s">
        <v>102</v>
      </c>
      <c r="R1168" s="46" t="s">
        <v>102</v>
      </c>
      <c r="S1168" s="46" t="s">
        <v>102</v>
      </c>
      <c r="T1168" s="46" t="s">
        <v>3091</v>
      </c>
      <c r="U1168" s="51">
        <v>4</v>
      </c>
    </row>
    <row r="1169" spans="2:21" ht="14.5" outlineLevel="3">
      <c r="B1169" s="44" t="s">
        <v>3573</v>
      </c>
      <c r="C1169" s="45" t="s">
        <v>3574</v>
      </c>
      <c r="D1169" s="46" t="s">
        <v>392</v>
      </c>
      <c r="E1169" s="47" t="s">
        <v>102</v>
      </c>
      <c r="F1169" s="46" t="s">
        <v>102</v>
      </c>
      <c r="G1169" s="47" t="s">
        <v>102</v>
      </c>
      <c r="H1169" s="48">
        <v>0</v>
      </c>
      <c r="I1169" s="48">
        <v>0</v>
      </c>
      <c r="J1169" s="47" t="s">
        <v>3371</v>
      </c>
      <c r="K1169" s="49">
        <v>1</v>
      </c>
      <c r="L1169" s="49" t="s">
        <v>2614</v>
      </c>
      <c r="M1169" s="46" t="s">
        <v>117</v>
      </c>
      <c r="N1169" s="50">
        <v>0</v>
      </c>
      <c r="O1169" s="50">
        <v>0</v>
      </c>
      <c r="P1169" s="50">
        <v>0</v>
      </c>
      <c r="Q1169" s="46" t="s">
        <v>102</v>
      </c>
      <c r="R1169" s="46" t="s">
        <v>102</v>
      </c>
      <c r="S1169" s="46" t="s">
        <v>102</v>
      </c>
      <c r="T1169" s="46" t="s">
        <v>3094</v>
      </c>
      <c r="U1169" s="51">
        <v>4</v>
      </c>
    </row>
    <row r="1170" spans="2:21" ht="14.5" outlineLevel="3">
      <c r="B1170" s="44" t="s">
        <v>3575</v>
      </c>
      <c r="C1170" s="45" t="s">
        <v>3576</v>
      </c>
      <c r="D1170" s="46" t="s">
        <v>392</v>
      </c>
      <c r="E1170" s="47" t="s">
        <v>102</v>
      </c>
      <c r="F1170" s="46" t="s">
        <v>102</v>
      </c>
      <c r="G1170" s="47" t="s">
        <v>102</v>
      </c>
      <c r="H1170" s="48">
        <v>0</v>
      </c>
      <c r="I1170" s="48">
        <v>0</v>
      </c>
      <c r="J1170" s="47" t="s">
        <v>3371</v>
      </c>
      <c r="K1170" s="49">
        <v>1</v>
      </c>
      <c r="L1170" s="49" t="s">
        <v>2614</v>
      </c>
      <c r="M1170" s="46" t="s">
        <v>117</v>
      </c>
      <c r="N1170" s="50">
        <v>0</v>
      </c>
      <c r="O1170" s="50">
        <v>0</v>
      </c>
      <c r="P1170" s="50">
        <v>0</v>
      </c>
      <c r="Q1170" s="46" t="s">
        <v>102</v>
      </c>
      <c r="R1170" s="46" t="s">
        <v>102</v>
      </c>
      <c r="S1170" s="46" t="s">
        <v>102</v>
      </c>
      <c r="T1170" s="46" t="s">
        <v>3097</v>
      </c>
      <c r="U1170" s="51">
        <v>4</v>
      </c>
    </row>
    <row r="1171" spans="2:21" ht="14.5" outlineLevel="2">
      <c r="B1171" s="36" t="s">
        <v>3577</v>
      </c>
      <c r="C1171" s="37" t="s">
        <v>3578</v>
      </c>
      <c r="D1171" s="38" t="s">
        <v>392</v>
      </c>
      <c r="E1171" s="39" t="s">
        <v>102</v>
      </c>
      <c r="F1171" s="38" t="s">
        <v>102</v>
      </c>
      <c r="G1171" s="39" t="s">
        <v>102</v>
      </c>
      <c r="H1171" s="40">
        <v>0</v>
      </c>
      <c r="I1171" s="40">
        <v>0</v>
      </c>
      <c r="J1171" s="39" t="s">
        <v>3371</v>
      </c>
      <c r="K1171" s="41">
        <v>1</v>
      </c>
      <c r="L1171" s="41" t="s">
        <v>2614</v>
      </c>
      <c r="M1171" s="38" t="s">
        <v>117</v>
      </c>
      <c r="N1171" s="42">
        <v>0</v>
      </c>
      <c r="O1171" s="42">
        <v>0</v>
      </c>
      <c r="P1171" s="42">
        <v>0</v>
      </c>
      <c r="Q1171" s="38" t="s">
        <v>102</v>
      </c>
      <c r="R1171" s="38" t="s">
        <v>102</v>
      </c>
      <c r="S1171" s="38" t="s">
        <v>102</v>
      </c>
      <c r="T1171" s="38" t="s">
        <v>3103</v>
      </c>
      <c r="U1171" s="43">
        <v>4</v>
      </c>
    </row>
    <row r="1172" spans="2:21" ht="14.5" outlineLevel="3">
      <c r="B1172" s="44" t="s">
        <v>3579</v>
      </c>
      <c r="C1172" s="45" t="s">
        <v>3580</v>
      </c>
      <c r="D1172" s="46" t="s">
        <v>392</v>
      </c>
      <c r="E1172" s="47" t="s">
        <v>102</v>
      </c>
      <c r="F1172" s="46" t="s">
        <v>102</v>
      </c>
      <c r="G1172" s="47" t="s">
        <v>102</v>
      </c>
      <c r="H1172" s="48">
        <v>0</v>
      </c>
      <c r="I1172" s="48">
        <v>0</v>
      </c>
      <c r="J1172" s="47" t="s">
        <v>3371</v>
      </c>
      <c r="K1172" s="49">
        <v>1</v>
      </c>
      <c r="L1172" s="49" t="s">
        <v>2614</v>
      </c>
      <c r="M1172" s="46" t="s">
        <v>117</v>
      </c>
      <c r="N1172" s="50">
        <v>0</v>
      </c>
      <c r="O1172" s="50">
        <v>0</v>
      </c>
      <c r="P1172" s="50">
        <v>0</v>
      </c>
      <c r="Q1172" s="46" t="s">
        <v>102</v>
      </c>
      <c r="R1172" s="46" t="s">
        <v>102</v>
      </c>
      <c r="S1172" s="46" t="s">
        <v>102</v>
      </c>
      <c r="T1172" s="46" t="s">
        <v>3407</v>
      </c>
      <c r="U1172" s="51">
        <v>4</v>
      </c>
    </row>
    <row r="1173" spans="2:21" ht="14.5" outlineLevel="1">
      <c r="B1173" s="28" t="s">
        <v>3581</v>
      </c>
      <c r="C1173" s="29" t="s">
        <v>3582</v>
      </c>
      <c r="D1173" s="30" t="s">
        <v>392</v>
      </c>
      <c r="E1173" s="31" t="s">
        <v>102</v>
      </c>
      <c r="F1173" s="30" t="s">
        <v>102</v>
      </c>
      <c r="G1173" s="31" t="s">
        <v>102</v>
      </c>
      <c r="H1173" s="32">
        <v>0</v>
      </c>
      <c r="I1173" s="32">
        <v>0</v>
      </c>
      <c r="J1173" s="31" t="s">
        <v>3371</v>
      </c>
      <c r="K1173" s="33">
        <v>1</v>
      </c>
      <c r="L1173" s="33" t="s">
        <v>2614</v>
      </c>
      <c r="M1173" s="30" t="s">
        <v>117</v>
      </c>
      <c r="N1173" s="34">
        <v>0</v>
      </c>
      <c r="O1173" s="34">
        <v>0</v>
      </c>
      <c r="P1173" s="34">
        <v>0</v>
      </c>
      <c r="Q1173" s="30" t="s">
        <v>102</v>
      </c>
      <c r="R1173" s="30" t="s">
        <v>102</v>
      </c>
      <c r="S1173" s="30" t="s">
        <v>102</v>
      </c>
      <c r="T1173" s="30" t="s">
        <v>2795</v>
      </c>
      <c r="U1173" s="35">
        <v>4</v>
      </c>
    </row>
    <row r="1174" spans="2:21" ht="14.5" outlineLevel="2">
      <c r="B1174" s="36" t="s">
        <v>3583</v>
      </c>
      <c r="C1174" s="37" t="s">
        <v>3584</v>
      </c>
      <c r="D1174" s="38" t="s">
        <v>102</v>
      </c>
      <c r="E1174" s="39" t="s">
        <v>102</v>
      </c>
      <c r="F1174" s="38" t="s">
        <v>102</v>
      </c>
      <c r="G1174" s="39" t="s">
        <v>102</v>
      </c>
      <c r="H1174" s="40">
        <v>0</v>
      </c>
      <c r="I1174" s="40">
        <v>0</v>
      </c>
      <c r="J1174" s="39" t="s">
        <v>102</v>
      </c>
      <c r="K1174" s="41">
        <v>0</v>
      </c>
      <c r="L1174" s="41" t="s">
        <v>102</v>
      </c>
      <c r="M1174" s="38" t="s">
        <v>102</v>
      </c>
      <c r="N1174" s="42">
        <v>0</v>
      </c>
      <c r="O1174" s="42">
        <v>0</v>
      </c>
      <c r="P1174" s="42">
        <v>0</v>
      </c>
      <c r="Q1174" s="38" t="s">
        <v>102</v>
      </c>
      <c r="R1174" s="38" t="s">
        <v>102</v>
      </c>
      <c r="S1174" s="38" t="s">
        <v>3585</v>
      </c>
      <c r="T1174" s="38" t="s">
        <v>102</v>
      </c>
      <c r="U1174" s="43">
        <v>3</v>
      </c>
    </row>
    <row r="1175" spans="2:21" ht="14.5" outlineLevel="3">
      <c r="B1175" s="44" t="s">
        <v>3586</v>
      </c>
      <c r="C1175" s="45" t="s">
        <v>3587</v>
      </c>
      <c r="D1175" s="46" t="s">
        <v>392</v>
      </c>
      <c r="E1175" s="47" t="s">
        <v>102</v>
      </c>
      <c r="F1175" s="46" t="s">
        <v>102</v>
      </c>
      <c r="G1175" s="47" t="s">
        <v>102</v>
      </c>
      <c r="H1175" s="48">
        <v>0</v>
      </c>
      <c r="I1175" s="48">
        <v>0</v>
      </c>
      <c r="J1175" s="47" t="s">
        <v>3371</v>
      </c>
      <c r="K1175" s="49">
        <v>1</v>
      </c>
      <c r="L1175" s="49" t="s">
        <v>2614</v>
      </c>
      <c r="M1175" s="46" t="s">
        <v>117</v>
      </c>
      <c r="N1175" s="50">
        <v>0</v>
      </c>
      <c r="O1175" s="50">
        <v>0</v>
      </c>
      <c r="P1175" s="50">
        <v>0</v>
      </c>
      <c r="Q1175" s="46" t="s">
        <v>102</v>
      </c>
      <c r="R1175" s="46" t="s">
        <v>102</v>
      </c>
      <c r="S1175" s="46" t="s">
        <v>102</v>
      </c>
      <c r="T1175" s="46" t="s">
        <v>2854</v>
      </c>
      <c r="U1175" s="51">
        <v>4</v>
      </c>
    </row>
    <row r="1176" spans="2:21" ht="14.5" outlineLevel="3">
      <c r="B1176" s="44" t="s">
        <v>3588</v>
      </c>
      <c r="C1176" s="45" t="s">
        <v>3589</v>
      </c>
      <c r="D1176" s="46" t="s">
        <v>102</v>
      </c>
      <c r="E1176" s="47" t="s">
        <v>102</v>
      </c>
      <c r="F1176" s="46" t="s">
        <v>102</v>
      </c>
      <c r="G1176" s="47" t="s">
        <v>102</v>
      </c>
      <c r="H1176" s="48">
        <v>0</v>
      </c>
      <c r="I1176" s="48">
        <v>0</v>
      </c>
      <c r="J1176" s="47" t="s">
        <v>102</v>
      </c>
      <c r="K1176" s="49">
        <v>0</v>
      </c>
      <c r="L1176" s="49" t="s">
        <v>102</v>
      </c>
      <c r="M1176" s="46" t="s">
        <v>102</v>
      </c>
      <c r="N1176" s="50">
        <v>0</v>
      </c>
      <c r="O1176" s="50">
        <v>0</v>
      </c>
      <c r="P1176" s="50">
        <v>0</v>
      </c>
      <c r="Q1176" s="46" t="s">
        <v>102</v>
      </c>
      <c r="R1176" s="46" t="s">
        <v>3590</v>
      </c>
      <c r="S1176" s="46" t="s">
        <v>102</v>
      </c>
      <c r="T1176" s="46" t="s">
        <v>102</v>
      </c>
      <c r="U1176" s="51">
        <v>2</v>
      </c>
    </row>
    <row r="1177" spans="2:21" ht="14.5" outlineLevel="2">
      <c r="B1177" s="36" t="s">
        <v>3591</v>
      </c>
      <c r="C1177" s="37" t="s">
        <v>3592</v>
      </c>
      <c r="D1177" s="38" t="s">
        <v>102</v>
      </c>
      <c r="E1177" s="39" t="s">
        <v>102</v>
      </c>
      <c r="F1177" s="38" t="s">
        <v>102</v>
      </c>
      <c r="G1177" s="39" t="s">
        <v>102</v>
      </c>
      <c r="H1177" s="40">
        <v>0</v>
      </c>
      <c r="I1177" s="40">
        <v>0</v>
      </c>
      <c r="J1177" s="39" t="s">
        <v>102</v>
      </c>
      <c r="K1177" s="41">
        <v>0</v>
      </c>
      <c r="L1177" s="41" t="s">
        <v>102</v>
      </c>
      <c r="M1177" s="38" t="s">
        <v>102</v>
      </c>
      <c r="N1177" s="42">
        <v>0</v>
      </c>
      <c r="O1177" s="42">
        <v>0</v>
      </c>
      <c r="P1177" s="42">
        <v>0</v>
      </c>
      <c r="Q1177" s="38" t="s">
        <v>102</v>
      </c>
      <c r="R1177" s="38" t="s">
        <v>102</v>
      </c>
      <c r="S1177" s="38" t="s">
        <v>3593</v>
      </c>
      <c r="T1177" s="38" t="s">
        <v>102</v>
      </c>
      <c r="U1177" s="43">
        <v>3</v>
      </c>
    </row>
    <row r="1178" spans="2:21" ht="14.5" outlineLevel="3">
      <c r="B1178" s="44" t="s">
        <v>3594</v>
      </c>
      <c r="C1178" s="45" t="s">
        <v>3595</v>
      </c>
      <c r="D1178" s="46" t="s">
        <v>179</v>
      </c>
      <c r="E1178" s="47" t="s">
        <v>102</v>
      </c>
      <c r="F1178" s="46" t="s">
        <v>102</v>
      </c>
      <c r="G1178" s="47" t="s">
        <v>102</v>
      </c>
      <c r="H1178" s="48">
        <v>0</v>
      </c>
      <c r="I1178" s="48">
        <v>0</v>
      </c>
      <c r="J1178" s="47" t="s">
        <v>3596</v>
      </c>
      <c r="K1178" s="49">
        <v>1</v>
      </c>
      <c r="L1178" s="49" t="s">
        <v>2614</v>
      </c>
      <c r="M1178" s="46" t="s">
        <v>117</v>
      </c>
      <c r="N1178" s="50">
        <v>0</v>
      </c>
      <c r="O1178" s="50">
        <v>0</v>
      </c>
      <c r="P1178" s="50">
        <v>0</v>
      </c>
      <c r="Q1178" s="46" t="s">
        <v>102</v>
      </c>
      <c r="R1178" s="46" t="s">
        <v>102</v>
      </c>
      <c r="S1178" s="46" t="s">
        <v>102</v>
      </c>
      <c r="T1178" s="46" t="s">
        <v>1019</v>
      </c>
      <c r="U1178" s="51">
        <v>4</v>
      </c>
    </row>
    <row r="1179" spans="2:21" ht="14.5" outlineLevel="2">
      <c r="B1179" s="36" t="s">
        <v>3597</v>
      </c>
      <c r="C1179" s="37" t="s">
        <v>3598</v>
      </c>
      <c r="D1179" s="38" t="s">
        <v>179</v>
      </c>
      <c r="E1179" s="39" t="s">
        <v>102</v>
      </c>
      <c r="F1179" s="38" t="s">
        <v>102</v>
      </c>
      <c r="G1179" s="39" t="s">
        <v>102</v>
      </c>
      <c r="H1179" s="40">
        <v>0</v>
      </c>
      <c r="I1179" s="40">
        <v>0</v>
      </c>
      <c r="J1179" s="39" t="s">
        <v>3596</v>
      </c>
      <c r="K1179" s="41">
        <v>1</v>
      </c>
      <c r="L1179" s="41" t="s">
        <v>2614</v>
      </c>
      <c r="M1179" s="38" t="s">
        <v>117</v>
      </c>
      <c r="N1179" s="42">
        <v>0</v>
      </c>
      <c r="O1179" s="42">
        <v>0</v>
      </c>
      <c r="P1179" s="42">
        <v>0</v>
      </c>
      <c r="Q1179" s="38" t="s">
        <v>102</v>
      </c>
      <c r="R1179" s="38" t="s">
        <v>102</v>
      </c>
      <c r="S1179" s="38" t="s">
        <v>102</v>
      </c>
      <c r="T1179" s="38" t="s">
        <v>2815</v>
      </c>
      <c r="U1179" s="43">
        <v>4</v>
      </c>
    </row>
    <row r="1180" spans="2:21" ht="14.5" outlineLevel="3">
      <c r="B1180" s="44" t="s">
        <v>3599</v>
      </c>
      <c r="C1180" s="45" t="s">
        <v>3600</v>
      </c>
      <c r="D1180" s="46" t="s">
        <v>102</v>
      </c>
      <c r="E1180" s="47" t="s">
        <v>102</v>
      </c>
      <c r="F1180" s="46" t="s">
        <v>102</v>
      </c>
      <c r="G1180" s="47" t="s">
        <v>102</v>
      </c>
      <c r="H1180" s="48">
        <v>0</v>
      </c>
      <c r="I1180" s="48">
        <v>0</v>
      </c>
      <c r="J1180" s="47" t="s">
        <v>102</v>
      </c>
      <c r="K1180" s="49">
        <v>0</v>
      </c>
      <c r="L1180" s="49" t="s">
        <v>102</v>
      </c>
      <c r="M1180" s="46" t="s">
        <v>102</v>
      </c>
      <c r="N1180" s="50">
        <v>0</v>
      </c>
      <c r="O1180" s="50">
        <v>0</v>
      </c>
      <c r="P1180" s="50">
        <v>0</v>
      </c>
      <c r="Q1180" s="46" t="s">
        <v>102</v>
      </c>
      <c r="R1180" s="46" t="s">
        <v>102</v>
      </c>
      <c r="S1180" s="46" t="s">
        <v>3601</v>
      </c>
      <c r="T1180" s="46" t="s">
        <v>102</v>
      </c>
      <c r="U1180" s="51">
        <v>3</v>
      </c>
    </row>
    <row r="1181" spans="2:21" ht="14.5" outlineLevel="2">
      <c r="B1181" s="36" t="s">
        <v>3602</v>
      </c>
      <c r="C1181" s="37" t="s">
        <v>3603</v>
      </c>
      <c r="D1181" s="38" t="s">
        <v>165</v>
      </c>
      <c r="E1181" s="39" t="s">
        <v>102</v>
      </c>
      <c r="F1181" s="38" t="s">
        <v>102</v>
      </c>
      <c r="G1181" s="39" t="s">
        <v>102</v>
      </c>
      <c r="H1181" s="40">
        <v>0</v>
      </c>
      <c r="I1181" s="40">
        <v>0</v>
      </c>
      <c r="J1181" s="39" t="s">
        <v>102</v>
      </c>
      <c r="K1181" s="41">
        <v>0</v>
      </c>
      <c r="L1181" s="41" t="s">
        <v>116</v>
      </c>
      <c r="M1181" s="38" t="s">
        <v>102</v>
      </c>
      <c r="N1181" s="42">
        <v>0</v>
      </c>
      <c r="O1181" s="42">
        <v>0</v>
      </c>
      <c r="P1181" s="42">
        <v>0</v>
      </c>
      <c r="Q1181" s="38" t="s">
        <v>102</v>
      </c>
      <c r="R1181" s="38" t="s">
        <v>102</v>
      </c>
      <c r="S1181" s="38" t="s">
        <v>102</v>
      </c>
      <c r="T1181" s="38" t="s">
        <v>2904</v>
      </c>
      <c r="U1181" s="43">
        <v>4</v>
      </c>
    </row>
    <row r="1182" spans="2:21" ht="14.5" outlineLevel="3">
      <c r="B1182" s="44" t="s">
        <v>3604</v>
      </c>
      <c r="C1182" s="45" t="s">
        <v>3605</v>
      </c>
      <c r="D1182" s="46" t="s">
        <v>102</v>
      </c>
      <c r="E1182" s="47" t="s">
        <v>102</v>
      </c>
      <c r="F1182" s="46" t="s">
        <v>102</v>
      </c>
      <c r="G1182" s="47" t="s">
        <v>102</v>
      </c>
      <c r="H1182" s="48">
        <v>0</v>
      </c>
      <c r="I1182" s="48">
        <v>0</v>
      </c>
      <c r="J1182" s="47" t="s">
        <v>102</v>
      </c>
      <c r="K1182" s="49">
        <v>0</v>
      </c>
      <c r="L1182" s="49" t="s">
        <v>102</v>
      </c>
      <c r="M1182" s="46" t="s">
        <v>102</v>
      </c>
      <c r="N1182" s="50">
        <v>0</v>
      </c>
      <c r="O1182" s="50">
        <v>0</v>
      </c>
      <c r="P1182" s="50">
        <v>0</v>
      </c>
      <c r="Q1182" s="46" t="s">
        <v>102</v>
      </c>
      <c r="R1182" s="46" t="s">
        <v>102</v>
      </c>
      <c r="S1182" s="46" t="s">
        <v>3606</v>
      </c>
      <c r="T1182" s="46" t="s">
        <v>102</v>
      </c>
      <c r="U1182" s="51">
        <v>3</v>
      </c>
    </row>
    <row r="1183" spans="2:21" ht="14.5" outlineLevel="2">
      <c r="B1183" s="36" t="s">
        <v>5195</v>
      </c>
      <c r="C1183" s="37" t="s">
        <v>5196</v>
      </c>
      <c r="D1183" s="38" t="s">
        <v>392</v>
      </c>
      <c r="E1183" s="39" t="s">
        <v>102</v>
      </c>
      <c r="F1183" s="38" t="s">
        <v>102</v>
      </c>
      <c r="G1183" s="39" t="s">
        <v>102</v>
      </c>
      <c r="H1183" s="40">
        <v>0</v>
      </c>
      <c r="I1183" s="40">
        <v>0</v>
      </c>
      <c r="J1183" s="39" t="s">
        <v>102</v>
      </c>
      <c r="K1183" s="41">
        <v>0</v>
      </c>
      <c r="L1183" s="41" t="s">
        <v>116</v>
      </c>
      <c r="M1183" s="38" t="s">
        <v>102</v>
      </c>
      <c r="N1183" s="42">
        <v>0</v>
      </c>
      <c r="O1183" s="42">
        <v>0</v>
      </c>
      <c r="P1183" s="42">
        <v>0</v>
      </c>
      <c r="Q1183" s="38" t="s">
        <v>102</v>
      </c>
      <c r="R1183" s="38" t="s">
        <v>102</v>
      </c>
      <c r="S1183" s="38" t="s">
        <v>102</v>
      </c>
      <c r="T1183" s="38" t="s">
        <v>976</v>
      </c>
      <c r="U1183" s="43">
        <v>4</v>
      </c>
    </row>
    <row r="1184" spans="2:21" ht="14.5" outlineLevel="3">
      <c r="B1184" s="44" t="s">
        <v>5197</v>
      </c>
      <c r="C1184" s="45" t="s">
        <v>5198</v>
      </c>
      <c r="D1184" s="46" t="s">
        <v>392</v>
      </c>
      <c r="E1184" s="47" t="s">
        <v>102</v>
      </c>
      <c r="F1184" s="46" t="s">
        <v>102</v>
      </c>
      <c r="G1184" s="47" t="s">
        <v>102</v>
      </c>
      <c r="H1184" s="48">
        <v>0</v>
      </c>
      <c r="I1184" s="48">
        <v>0</v>
      </c>
      <c r="J1184" s="47" t="s">
        <v>102</v>
      </c>
      <c r="K1184" s="49">
        <v>0</v>
      </c>
      <c r="L1184" s="49" t="s">
        <v>116</v>
      </c>
      <c r="M1184" s="46" t="s">
        <v>102</v>
      </c>
      <c r="N1184" s="50">
        <v>0</v>
      </c>
      <c r="O1184" s="50">
        <v>0</v>
      </c>
      <c r="P1184" s="50">
        <v>0</v>
      </c>
      <c r="Q1184" s="46" t="s">
        <v>102</v>
      </c>
      <c r="R1184" s="46" t="s">
        <v>102</v>
      </c>
      <c r="S1184" s="46" t="s">
        <v>102</v>
      </c>
      <c r="T1184" s="46" t="s">
        <v>2815</v>
      </c>
      <c r="U1184" s="51">
        <v>4</v>
      </c>
    </row>
    <row r="1185" spans="2:21" ht="14.5" outlineLevel="3">
      <c r="B1185" s="44" t="s">
        <v>5199</v>
      </c>
      <c r="C1185" s="45" t="s">
        <v>3607</v>
      </c>
      <c r="D1185" s="46" t="s">
        <v>392</v>
      </c>
      <c r="E1185" s="47" t="s">
        <v>102</v>
      </c>
      <c r="F1185" s="46" t="s">
        <v>102</v>
      </c>
      <c r="G1185" s="47" t="s">
        <v>102</v>
      </c>
      <c r="H1185" s="48">
        <v>0</v>
      </c>
      <c r="I1185" s="48">
        <v>0</v>
      </c>
      <c r="J1185" s="47" t="s">
        <v>3596</v>
      </c>
      <c r="K1185" s="49">
        <v>1</v>
      </c>
      <c r="L1185" s="49" t="s">
        <v>2614</v>
      </c>
      <c r="M1185" s="46" t="s">
        <v>117</v>
      </c>
      <c r="N1185" s="50">
        <v>0</v>
      </c>
      <c r="O1185" s="50">
        <v>0</v>
      </c>
      <c r="P1185" s="50">
        <v>0</v>
      </c>
      <c r="Q1185" s="46" t="s">
        <v>102</v>
      </c>
      <c r="R1185" s="46" t="s">
        <v>102</v>
      </c>
      <c r="S1185" s="46" t="s">
        <v>102</v>
      </c>
      <c r="T1185" s="46" t="s">
        <v>3608</v>
      </c>
      <c r="U1185" s="51">
        <v>4</v>
      </c>
    </row>
    <row r="1186" spans="2:21" ht="14.5" outlineLevel="3">
      <c r="B1186" s="44" t="s">
        <v>3609</v>
      </c>
      <c r="C1186" s="45" t="s">
        <v>3610</v>
      </c>
      <c r="D1186" s="46" t="s">
        <v>102</v>
      </c>
      <c r="E1186" s="47" t="s">
        <v>102</v>
      </c>
      <c r="F1186" s="46" t="s">
        <v>102</v>
      </c>
      <c r="G1186" s="47" t="s">
        <v>102</v>
      </c>
      <c r="H1186" s="48">
        <v>0</v>
      </c>
      <c r="I1186" s="48">
        <v>0</v>
      </c>
      <c r="J1186" s="47" t="s">
        <v>102</v>
      </c>
      <c r="K1186" s="49">
        <v>0</v>
      </c>
      <c r="L1186" s="49" t="s">
        <v>102</v>
      </c>
      <c r="M1186" s="46" t="s">
        <v>102</v>
      </c>
      <c r="N1186" s="50">
        <v>0</v>
      </c>
      <c r="O1186" s="50">
        <v>0</v>
      </c>
      <c r="P1186" s="50">
        <v>0</v>
      </c>
      <c r="Q1186" s="46" t="s">
        <v>102</v>
      </c>
      <c r="R1186" s="46" t="s">
        <v>102</v>
      </c>
      <c r="S1186" s="46" t="s">
        <v>3611</v>
      </c>
      <c r="T1186" s="46" t="s">
        <v>102</v>
      </c>
      <c r="U1186" s="51">
        <v>3</v>
      </c>
    </row>
    <row r="1187" spans="2:21" ht="14.5" outlineLevel="3">
      <c r="B1187" s="44" t="s">
        <v>3612</v>
      </c>
      <c r="C1187" s="45" t="s">
        <v>3610</v>
      </c>
      <c r="D1187" s="46" t="s">
        <v>392</v>
      </c>
      <c r="E1187" s="47" t="s">
        <v>102</v>
      </c>
      <c r="F1187" s="46" t="s">
        <v>102</v>
      </c>
      <c r="G1187" s="47" t="s">
        <v>102</v>
      </c>
      <c r="H1187" s="48">
        <v>0</v>
      </c>
      <c r="I1187" s="48">
        <v>0</v>
      </c>
      <c r="J1187" s="47" t="s">
        <v>102</v>
      </c>
      <c r="K1187" s="49">
        <v>0</v>
      </c>
      <c r="L1187" s="49" t="s">
        <v>116</v>
      </c>
      <c r="M1187" s="46" t="s">
        <v>102</v>
      </c>
      <c r="N1187" s="50">
        <v>0</v>
      </c>
      <c r="O1187" s="50">
        <v>0</v>
      </c>
      <c r="P1187" s="50">
        <v>0</v>
      </c>
      <c r="Q1187" s="46" t="s">
        <v>102</v>
      </c>
      <c r="R1187" s="46" t="s">
        <v>102</v>
      </c>
      <c r="S1187" s="46" t="s">
        <v>102</v>
      </c>
      <c r="T1187" s="46" t="s">
        <v>2904</v>
      </c>
      <c r="U1187" s="51">
        <v>4</v>
      </c>
    </row>
    <row r="1188" spans="2:21" ht="14.5" outlineLevel="3">
      <c r="B1188" s="44" t="s">
        <v>3613</v>
      </c>
      <c r="C1188" s="45" t="s">
        <v>3614</v>
      </c>
      <c r="D1188" s="46" t="s">
        <v>102</v>
      </c>
      <c r="E1188" s="47" t="s">
        <v>102</v>
      </c>
      <c r="F1188" s="46" t="s">
        <v>102</v>
      </c>
      <c r="G1188" s="47" t="s">
        <v>102</v>
      </c>
      <c r="H1188" s="48">
        <v>0</v>
      </c>
      <c r="I1188" s="48">
        <v>0</v>
      </c>
      <c r="J1188" s="47" t="s">
        <v>102</v>
      </c>
      <c r="K1188" s="49">
        <v>0</v>
      </c>
      <c r="L1188" s="49" t="s">
        <v>102</v>
      </c>
      <c r="M1188" s="46" t="s">
        <v>102</v>
      </c>
      <c r="N1188" s="50">
        <v>0</v>
      </c>
      <c r="O1188" s="50">
        <v>0</v>
      </c>
      <c r="P1188" s="50">
        <v>0</v>
      </c>
      <c r="Q1188" s="46" t="s">
        <v>102</v>
      </c>
      <c r="R1188" s="46" t="s">
        <v>102</v>
      </c>
      <c r="S1188" s="46" t="s">
        <v>3615</v>
      </c>
      <c r="T1188" s="46" t="s">
        <v>102</v>
      </c>
      <c r="U1188" s="51">
        <v>3</v>
      </c>
    </row>
    <row r="1189" spans="2:21" ht="14.5" outlineLevel="3">
      <c r="B1189" s="44" t="s">
        <v>3616</v>
      </c>
      <c r="C1189" s="45" t="s">
        <v>3617</v>
      </c>
      <c r="D1189" s="46" t="s">
        <v>392</v>
      </c>
      <c r="E1189" s="47" t="s">
        <v>102</v>
      </c>
      <c r="F1189" s="46" t="s">
        <v>102</v>
      </c>
      <c r="G1189" s="47" t="s">
        <v>102</v>
      </c>
      <c r="H1189" s="48">
        <v>0</v>
      </c>
      <c r="I1189" s="48">
        <v>0</v>
      </c>
      <c r="J1189" s="47" t="s">
        <v>102</v>
      </c>
      <c r="K1189" s="49">
        <v>0</v>
      </c>
      <c r="L1189" s="49" t="s">
        <v>116</v>
      </c>
      <c r="M1189" s="46" t="s">
        <v>102</v>
      </c>
      <c r="N1189" s="50">
        <v>0</v>
      </c>
      <c r="O1189" s="50">
        <v>0</v>
      </c>
      <c r="P1189" s="50">
        <v>0</v>
      </c>
      <c r="Q1189" s="46" t="s">
        <v>102</v>
      </c>
      <c r="R1189" s="46" t="s">
        <v>102</v>
      </c>
      <c r="S1189" s="46" t="s">
        <v>102</v>
      </c>
      <c r="T1189" s="46" t="s">
        <v>2904</v>
      </c>
      <c r="U1189" s="51">
        <v>4</v>
      </c>
    </row>
    <row r="1190" spans="2:21" ht="14.5">
      <c r="B1190" s="52" t="s">
        <v>3618</v>
      </c>
      <c r="C1190" s="53" t="s">
        <v>3619</v>
      </c>
      <c r="D1190" s="54" t="s">
        <v>392</v>
      </c>
      <c r="E1190" s="55" t="s">
        <v>102</v>
      </c>
      <c r="F1190" s="54" t="s">
        <v>102</v>
      </c>
      <c r="G1190" s="55" t="s">
        <v>102</v>
      </c>
      <c r="H1190" s="56">
        <v>0</v>
      </c>
      <c r="I1190" s="56">
        <v>0</v>
      </c>
      <c r="J1190" s="55" t="s">
        <v>102</v>
      </c>
      <c r="K1190" s="57">
        <v>0</v>
      </c>
      <c r="L1190" s="57" t="s">
        <v>116</v>
      </c>
      <c r="M1190" s="54" t="s">
        <v>102</v>
      </c>
      <c r="N1190" s="58">
        <v>0</v>
      </c>
      <c r="O1190" s="58">
        <v>0</v>
      </c>
      <c r="P1190" s="58">
        <v>0</v>
      </c>
      <c r="Q1190" s="54" t="s">
        <v>102</v>
      </c>
      <c r="R1190" s="54" t="s">
        <v>102</v>
      </c>
      <c r="S1190" s="54" t="s">
        <v>102</v>
      </c>
      <c r="T1190" s="54" t="s">
        <v>976</v>
      </c>
      <c r="U1190" s="59">
        <v>4</v>
      </c>
    </row>
    <row r="1191" spans="2:21" ht="14.5" outlineLevel="1">
      <c r="B1191" s="28" t="s">
        <v>5177</v>
      </c>
      <c r="C1191" s="29" t="s">
        <v>5178</v>
      </c>
      <c r="D1191" s="30" t="s">
        <v>2804</v>
      </c>
      <c r="E1191" s="31" t="s">
        <v>102</v>
      </c>
      <c r="F1191" s="30" t="s">
        <v>102</v>
      </c>
      <c r="G1191" s="31" t="s">
        <v>102</v>
      </c>
      <c r="H1191" s="32">
        <v>0</v>
      </c>
      <c r="I1191" s="32">
        <v>0</v>
      </c>
      <c r="J1191" s="31" t="s">
        <v>102</v>
      </c>
      <c r="K1191" s="33">
        <v>0</v>
      </c>
      <c r="L1191" s="33" t="s">
        <v>116</v>
      </c>
      <c r="M1191" s="30" t="s">
        <v>102</v>
      </c>
      <c r="N1191" s="34">
        <v>0</v>
      </c>
      <c r="O1191" s="34">
        <v>0</v>
      </c>
      <c r="P1191" s="34">
        <v>0</v>
      </c>
      <c r="Q1191" s="30" t="s">
        <v>102</v>
      </c>
      <c r="R1191" s="30" t="s">
        <v>102</v>
      </c>
      <c r="S1191" s="30" t="s">
        <v>102</v>
      </c>
      <c r="T1191" s="30" t="s">
        <v>5179</v>
      </c>
      <c r="U1191" s="35">
        <v>4</v>
      </c>
    </row>
    <row r="1192" spans="2:21" ht="14.5" outlineLevel="2">
      <c r="B1192" s="36" t="s">
        <v>3620</v>
      </c>
      <c r="C1192" s="37" t="s">
        <v>3621</v>
      </c>
      <c r="D1192" s="38" t="s">
        <v>392</v>
      </c>
      <c r="E1192" s="39" t="s">
        <v>102</v>
      </c>
      <c r="F1192" s="38" t="s">
        <v>102</v>
      </c>
      <c r="G1192" s="39" t="s">
        <v>102</v>
      </c>
      <c r="H1192" s="40">
        <v>0</v>
      </c>
      <c r="I1192" s="40">
        <v>0</v>
      </c>
      <c r="J1192" s="39" t="s">
        <v>102</v>
      </c>
      <c r="K1192" s="41">
        <v>0</v>
      </c>
      <c r="L1192" s="41" t="s">
        <v>116</v>
      </c>
      <c r="M1192" s="38" t="s">
        <v>102</v>
      </c>
      <c r="N1192" s="42">
        <v>0</v>
      </c>
      <c r="O1192" s="42">
        <v>0</v>
      </c>
      <c r="P1192" s="42">
        <v>0</v>
      </c>
      <c r="Q1192" s="38" t="s">
        <v>102</v>
      </c>
      <c r="R1192" s="38" t="s">
        <v>102</v>
      </c>
      <c r="S1192" s="38" t="s">
        <v>102</v>
      </c>
      <c r="T1192" s="38" t="s">
        <v>3622</v>
      </c>
      <c r="U1192" s="43">
        <v>4</v>
      </c>
    </row>
    <row r="1193" spans="2:21" ht="14.5" outlineLevel="3">
      <c r="B1193" s="44" t="s">
        <v>3623</v>
      </c>
      <c r="C1193" s="45" t="s">
        <v>3624</v>
      </c>
      <c r="D1193" s="46" t="s">
        <v>392</v>
      </c>
      <c r="E1193" s="47" t="s">
        <v>102</v>
      </c>
      <c r="F1193" s="46" t="s">
        <v>102</v>
      </c>
      <c r="G1193" s="47" t="s">
        <v>102</v>
      </c>
      <c r="H1193" s="48">
        <v>0</v>
      </c>
      <c r="I1193" s="48">
        <v>0</v>
      </c>
      <c r="J1193" s="47" t="s">
        <v>102</v>
      </c>
      <c r="K1193" s="49">
        <v>0</v>
      </c>
      <c r="L1193" s="49" t="s">
        <v>116</v>
      </c>
      <c r="M1193" s="46" t="s">
        <v>102</v>
      </c>
      <c r="N1193" s="50">
        <v>0</v>
      </c>
      <c r="O1193" s="50">
        <v>0</v>
      </c>
      <c r="P1193" s="50">
        <v>0</v>
      </c>
      <c r="Q1193" s="46" t="s">
        <v>102</v>
      </c>
      <c r="R1193" s="46" t="s">
        <v>102</v>
      </c>
      <c r="S1193" s="46" t="s">
        <v>102</v>
      </c>
      <c r="T1193" s="46" t="s">
        <v>2854</v>
      </c>
      <c r="U1193" s="51">
        <v>4</v>
      </c>
    </row>
    <row r="1194" spans="2:21" ht="14.5" outlineLevel="3">
      <c r="B1194" s="44" t="s">
        <v>3625</v>
      </c>
      <c r="C1194" s="45" t="s">
        <v>3626</v>
      </c>
      <c r="D1194" s="46" t="s">
        <v>392</v>
      </c>
      <c r="E1194" s="47" t="s">
        <v>102</v>
      </c>
      <c r="F1194" s="46" t="s">
        <v>102</v>
      </c>
      <c r="G1194" s="47" t="s">
        <v>102</v>
      </c>
      <c r="H1194" s="48">
        <v>0</v>
      </c>
      <c r="I1194" s="48">
        <v>0</v>
      </c>
      <c r="J1194" s="47" t="s">
        <v>102</v>
      </c>
      <c r="K1194" s="49">
        <v>0</v>
      </c>
      <c r="L1194" s="49" t="s">
        <v>116</v>
      </c>
      <c r="M1194" s="46" t="s">
        <v>102</v>
      </c>
      <c r="N1194" s="50">
        <v>0</v>
      </c>
      <c r="O1194" s="50">
        <v>0</v>
      </c>
      <c r="P1194" s="50">
        <v>0</v>
      </c>
      <c r="Q1194" s="46" t="s">
        <v>102</v>
      </c>
      <c r="R1194" s="46" t="s">
        <v>102</v>
      </c>
      <c r="S1194" s="46" t="s">
        <v>102</v>
      </c>
      <c r="T1194" s="46" t="s">
        <v>3627</v>
      </c>
      <c r="U1194" s="51">
        <v>4</v>
      </c>
    </row>
    <row r="1195" spans="2:21" ht="14.5" outlineLevel="3">
      <c r="B1195" s="44" t="s">
        <v>3628</v>
      </c>
      <c r="C1195" s="45" t="s">
        <v>3629</v>
      </c>
      <c r="D1195" s="46" t="s">
        <v>392</v>
      </c>
      <c r="E1195" s="47" t="s">
        <v>102</v>
      </c>
      <c r="F1195" s="46" t="s">
        <v>102</v>
      </c>
      <c r="G1195" s="47" t="s">
        <v>102</v>
      </c>
      <c r="H1195" s="48">
        <v>0</v>
      </c>
      <c r="I1195" s="48">
        <v>0</v>
      </c>
      <c r="J1195" s="47" t="s">
        <v>102</v>
      </c>
      <c r="K1195" s="49">
        <v>0</v>
      </c>
      <c r="L1195" s="49" t="s">
        <v>116</v>
      </c>
      <c r="M1195" s="46" t="s">
        <v>102</v>
      </c>
      <c r="N1195" s="50">
        <v>0</v>
      </c>
      <c r="O1195" s="50">
        <v>0</v>
      </c>
      <c r="P1195" s="50">
        <v>0</v>
      </c>
      <c r="Q1195" s="46" t="s">
        <v>102</v>
      </c>
      <c r="R1195" s="46" t="s">
        <v>102</v>
      </c>
      <c r="S1195" s="46" t="s">
        <v>102</v>
      </c>
      <c r="T1195" s="46" t="s">
        <v>3630</v>
      </c>
      <c r="U1195" s="51">
        <v>4</v>
      </c>
    </row>
    <row r="1196" spans="2:21" ht="14.5" outlineLevel="3">
      <c r="B1196" s="44" t="s">
        <v>3631</v>
      </c>
      <c r="C1196" s="45" t="s">
        <v>3632</v>
      </c>
      <c r="D1196" s="46" t="s">
        <v>102</v>
      </c>
      <c r="E1196" s="47" t="s">
        <v>102</v>
      </c>
      <c r="F1196" s="46" t="s">
        <v>102</v>
      </c>
      <c r="G1196" s="47" t="s">
        <v>102</v>
      </c>
      <c r="H1196" s="48">
        <v>0</v>
      </c>
      <c r="I1196" s="48">
        <v>0</v>
      </c>
      <c r="J1196" s="47" t="s">
        <v>102</v>
      </c>
      <c r="K1196" s="49">
        <v>0</v>
      </c>
      <c r="L1196" s="49" t="s">
        <v>102</v>
      </c>
      <c r="M1196" s="46" t="s">
        <v>102</v>
      </c>
      <c r="N1196" s="50">
        <v>0</v>
      </c>
      <c r="O1196" s="50">
        <v>0</v>
      </c>
      <c r="P1196" s="50">
        <v>0</v>
      </c>
      <c r="Q1196" s="46" t="s">
        <v>3631</v>
      </c>
      <c r="R1196" s="46" t="s">
        <v>102</v>
      </c>
      <c r="S1196" s="46" t="s">
        <v>102</v>
      </c>
      <c r="T1196" s="46" t="s">
        <v>102</v>
      </c>
      <c r="U1196" s="51">
        <v>1</v>
      </c>
    </row>
    <row r="1197" spans="2:21" ht="14.5" outlineLevel="3">
      <c r="B1197" s="44" t="s">
        <v>3633</v>
      </c>
      <c r="C1197" s="45" t="s">
        <v>3634</v>
      </c>
      <c r="D1197" s="46" t="s">
        <v>102</v>
      </c>
      <c r="E1197" s="47" t="s">
        <v>102</v>
      </c>
      <c r="F1197" s="46" t="s">
        <v>102</v>
      </c>
      <c r="G1197" s="47" t="s">
        <v>102</v>
      </c>
      <c r="H1197" s="48">
        <v>0</v>
      </c>
      <c r="I1197" s="48">
        <v>0</v>
      </c>
      <c r="J1197" s="47" t="s">
        <v>102</v>
      </c>
      <c r="K1197" s="49">
        <v>0</v>
      </c>
      <c r="L1197" s="49" t="s">
        <v>102</v>
      </c>
      <c r="M1197" s="46" t="s">
        <v>102</v>
      </c>
      <c r="N1197" s="50">
        <v>0</v>
      </c>
      <c r="O1197" s="50">
        <v>0</v>
      </c>
      <c r="P1197" s="50">
        <v>0</v>
      </c>
      <c r="Q1197" s="46" t="s">
        <v>102</v>
      </c>
      <c r="R1197" s="46" t="s">
        <v>3635</v>
      </c>
      <c r="S1197" s="46" t="s">
        <v>102</v>
      </c>
      <c r="T1197" s="46" t="s">
        <v>102</v>
      </c>
      <c r="U1197" s="51">
        <v>2</v>
      </c>
    </row>
    <row r="1198" spans="2:21" ht="14.5" outlineLevel="3">
      <c r="B1198" s="44" t="s">
        <v>3636</v>
      </c>
      <c r="C1198" s="45" t="s">
        <v>3637</v>
      </c>
      <c r="D1198" s="46" t="s">
        <v>102</v>
      </c>
      <c r="E1198" s="47" t="s">
        <v>102</v>
      </c>
      <c r="F1198" s="46" t="s">
        <v>102</v>
      </c>
      <c r="G1198" s="47" t="s">
        <v>102</v>
      </c>
      <c r="H1198" s="48">
        <v>0</v>
      </c>
      <c r="I1198" s="48">
        <v>0</v>
      </c>
      <c r="J1198" s="47" t="s">
        <v>102</v>
      </c>
      <c r="K1198" s="49">
        <v>0</v>
      </c>
      <c r="L1198" s="49" t="s">
        <v>102</v>
      </c>
      <c r="M1198" s="46" t="s">
        <v>102</v>
      </c>
      <c r="N1198" s="50">
        <v>0</v>
      </c>
      <c r="O1198" s="50">
        <v>0</v>
      </c>
      <c r="P1198" s="50">
        <v>0</v>
      </c>
      <c r="Q1198" s="46" t="s">
        <v>102</v>
      </c>
      <c r="R1198" s="46" t="s">
        <v>102</v>
      </c>
      <c r="S1198" s="46" t="s">
        <v>3638</v>
      </c>
      <c r="T1198" s="46" t="s">
        <v>102</v>
      </c>
      <c r="U1198" s="51">
        <v>3</v>
      </c>
    </row>
    <row r="1199" spans="2:21" ht="14.5" outlineLevel="3">
      <c r="B1199" s="44" t="s">
        <v>3639</v>
      </c>
      <c r="C1199" s="45" t="s">
        <v>3640</v>
      </c>
      <c r="D1199" s="46" t="s">
        <v>102</v>
      </c>
      <c r="E1199" s="47" t="s">
        <v>102</v>
      </c>
      <c r="F1199" s="46" t="s">
        <v>102</v>
      </c>
      <c r="G1199" s="47" t="s">
        <v>102</v>
      </c>
      <c r="H1199" s="48">
        <v>0</v>
      </c>
      <c r="I1199" s="48">
        <v>0</v>
      </c>
      <c r="J1199" s="47" t="s">
        <v>3641</v>
      </c>
      <c r="K1199" s="49">
        <v>0</v>
      </c>
      <c r="L1199" s="49" t="s">
        <v>116</v>
      </c>
      <c r="M1199" s="46" t="s">
        <v>117</v>
      </c>
      <c r="N1199" s="50">
        <v>0</v>
      </c>
      <c r="O1199" s="50">
        <v>0</v>
      </c>
      <c r="P1199" s="50">
        <v>0</v>
      </c>
      <c r="Q1199" s="46" t="s">
        <v>102</v>
      </c>
      <c r="R1199" s="46" t="s">
        <v>102</v>
      </c>
      <c r="S1199" s="46" t="s">
        <v>102</v>
      </c>
      <c r="T1199" s="46" t="s">
        <v>118</v>
      </c>
      <c r="U1199" s="51">
        <v>4</v>
      </c>
    </row>
    <row r="1200" spans="2:21" ht="14.5" outlineLevel="3">
      <c r="B1200" s="44" t="s">
        <v>3642</v>
      </c>
      <c r="C1200" s="45" t="s">
        <v>3643</v>
      </c>
      <c r="D1200" s="46" t="s">
        <v>102</v>
      </c>
      <c r="E1200" s="47" t="s">
        <v>102</v>
      </c>
      <c r="F1200" s="46" t="s">
        <v>102</v>
      </c>
      <c r="G1200" s="47" t="s">
        <v>102</v>
      </c>
      <c r="H1200" s="48">
        <v>0</v>
      </c>
      <c r="I1200" s="48">
        <v>0</v>
      </c>
      <c r="J1200" s="47" t="s">
        <v>3641</v>
      </c>
      <c r="K1200" s="49">
        <v>0</v>
      </c>
      <c r="L1200" s="49" t="s">
        <v>116</v>
      </c>
      <c r="M1200" s="46" t="s">
        <v>117</v>
      </c>
      <c r="N1200" s="50">
        <v>0</v>
      </c>
      <c r="O1200" s="50">
        <v>0</v>
      </c>
      <c r="P1200" s="50">
        <v>0</v>
      </c>
      <c r="Q1200" s="46" t="s">
        <v>102</v>
      </c>
      <c r="R1200" s="46" t="s">
        <v>102</v>
      </c>
      <c r="S1200" s="46" t="s">
        <v>102</v>
      </c>
      <c r="T1200" s="46" t="s">
        <v>123</v>
      </c>
      <c r="U1200" s="51">
        <v>4</v>
      </c>
    </row>
    <row r="1201" spans="2:21" ht="14.5" outlineLevel="3">
      <c r="B1201" s="44" t="s">
        <v>3644</v>
      </c>
      <c r="C1201" s="45" t="s">
        <v>3645</v>
      </c>
      <c r="D1201" s="46" t="s">
        <v>102</v>
      </c>
      <c r="E1201" s="47" t="s">
        <v>102</v>
      </c>
      <c r="F1201" s="46" t="s">
        <v>102</v>
      </c>
      <c r="G1201" s="47" t="s">
        <v>102</v>
      </c>
      <c r="H1201" s="48">
        <v>0</v>
      </c>
      <c r="I1201" s="48">
        <v>0</v>
      </c>
      <c r="J1201" s="47" t="s">
        <v>3641</v>
      </c>
      <c r="K1201" s="49">
        <v>0</v>
      </c>
      <c r="L1201" s="49" t="s">
        <v>116</v>
      </c>
      <c r="M1201" s="46" t="s">
        <v>117</v>
      </c>
      <c r="N1201" s="50">
        <v>0</v>
      </c>
      <c r="O1201" s="50">
        <v>0</v>
      </c>
      <c r="P1201" s="50">
        <v>0</v>
      </c>
      <c r="Q1201" s="46" t="s">
        <v>102</v>
      </c>
      <c r="R1201" s="46" t="s">
        <v>102</v>
      </c>
      <c r="S1201" s="46" t="s">
        <v>102</v>
      </c>
      <c r="T1201" s="46" t="s">
        <v>128</v>
      </c>
      <c r="U1201" s="51">
        <v>4</v>
      </c>
    </row>
    <row r="1202" spans="2:21" ht="14.5" outlineLevel="3">
      <c r="B1202" s="44" t="s">
        <v>3646</v>
      </c>
      <c r="C1202" s="45" t="s">
        <v>3647</v>
      </c>
      <c r="D1202" s="46" t="s">
        <v>102</v>
      </c>
      <c r="E1202" s="47" t="s">
        <v>102</v>
      </c>
      <c r="F1202" s="46" t="s">
        <v>102</v>
      </c>
      <c r="G1202" s="47" t="s">
        <v>102</v>
      </c>
      <c r="H1202" s="48">
        <v>0</v>
      </c>
      <c r="I1202" s="48">
        <v>0</v>
      </c>
      <c r="J1202" s="47" t="s">
        <v>3641</v>
      </c>
      <c r="K1202" s="49">
        <v>0</v>
      </c>
      <c r="L1202" s="49" t="s">
        <v>116</v>
      </c>
      <c r="M1202" s="46" t="s">
        <v>117</v>
      </c>
      <c r="N1202" s="50">
        <v>0</v>
      </c>
      <c r="O1202" s="50">
        <v>0</v>
      </c>
      <c r="P1202" s="50">
        <v>0</v>
      </c>
      <c r="Q1202" s="46" t="s">
        <v>102</v>
      </c>
      <c r="R1202" s="46" t="s">
        <v>102</v>
      </c>
      <c r="S1202" s="46" t="s">
        <v>102</v>
      </c>
      <c r="T1202" s="46" t="s">
        <v>133</v>
      </c>
      <c r="U1202" s="51">
        <v>4</v>
      </c>
    </row>
    <row r="1203" spans="2:21" ht="14.5" outlineLevel="3">
      <c r="B1203" s="44" t="s">
        <v>3648</v>
      </c>
      <c r="C1203" s="45" t="s">
        <v>3649</v>
      </c>
      <c r="D1203" s="46" t="s">
        <v>102</v>
      </c>
      <c r="E1203" s="47" t="s">
        <v>102</v>
      </c>
      <c r="F1203" s="46" t="s">
        <v>102</v>
      </c>
      <c r="G1203" s="47" t="s">
        <v>102</v>
      </c>
      <c r="H1203" s="48">
        <v>0</v>
      </c>
      <c r="I1203" s="48">
        <v>0</v>
      </c>
      <c r="J1203" s="47" t="s">
        <v>3641</v>
      </c>
      <c r="K1203" s="49">
        <v>0</v>
      </c>
      <c r="L1203" s="49" t="s">
        <v>116</v>
      </c>
      <c r="M1203" s="46" t="s">
        <v>117</v>
      </c>
      <c r="N1203" s="50">
        <v>0</v>
      </c>
      <c r="O1203" s="50">
        <v>0</v>
      </c>
      <c r="P1203" s="50">
        <v>0</v>
      </c>
      <c r="Q1203" s="46" t="s">
        <v>102</v>
      </c>
      <c r="R1203" s="46" t="s">
        <v>102</v>
      </c>
      <c r="S1203" s="46" t="s">
        <v>102</v>
      </c>
      <c r="T1203" s="46" t="s">
        <v>138</v>
      </c>
      <c r="U1203" s="51">
        <v>4</v>
      </c>
    </row>
    <row r="1204" spans="2:21" ht="14.5" outlineLevel="3">
      <c r="B1204" s="44" t="s">
        <v>3650</v>
      </c>
      <c r="C1204" s="45" t="s">
        <v>3651</v>
      </c>
      <c r="D1204" s="46" t="s">
        <v>102</v>
      </c>
      <c r="E1204" s="47" t="s">
        <v>102</v>
      </c>
      <c r="F1204" s="46" t="s">
        <v>102</v>
      </c>
      <c r="G1204" s="47" t="s">
        <v>102</v>
      </c>
      <c r="H1204" s="48">
        <v>0</v>
      </c>
      <c r="I1204" s="48">
        <v>0</v>
      </c>
      <c r="J1204" s="47" t="s">
        <v>3641</v>
      </c>
      <c r="K1204" s="49">
        <v>0</v>
      </c>
      <c r="L1204" s="49" t="s">
        <v>116</v>
      </c>
      <c r="M1204" s="46" t="s">
        <v>117</v>
      </c>
      <c r="N1204" s="50">
        <v>0</v>
      </c>
      <c r="O1204" s="50">
        <v>0</v>
      </c>
      <c r="P1204" s="50">
        <v>0</v>
      </c>
      <c r="Q1204" s="46" t="s">
        <v>102</v>
      </c>
      <c r="R1204" s="46" t="s">
        <v>102</v>
      </c>
      <c r="S1204" s="46" t="s">
        <v>102</v>
      </c>
      <c r="T1204" s="46" t="s">
        <v>143</v>
      </c>
      <c r="U1204" s="51">
        <v>4</v>
      </c>
    </row>
    <row r="1205" spans="2:21" ht="14.5" outlineLevel="3">
      <c r="B1205" s="44" t="s">
        <v>3652</v>
      </c>
      <c r="C1205" s="45" t="s">
        <v>3653</v>
      </c>
      <c r="D1205" s="46" t="s">
        <v>102</v>
      </c>
      <c r="E1205" s="47" t="s">
        <v>102</v>
      </c>
      <c r="F1205" s="46" t="s">
        <v>102</v>
      </c>
      <c r="G1205" s="47" t="s">
        <v>102</v>
      </c>
      <c r="H1205" s="48">
        <v>0</v>
      </c>
      <c r="I1205" s="48">
        <v>0</v>
      </c>
      <c r="J1205" s="47" t="s">
        <v>3641</v>
      </c>
      <c r="K1205" s="49">
        <v>0</v>
      </c>
      <c r="L1205" s="49" t="s">
        <v>116</v>
      </c>
      <c r="M1205" s="46" t="s">
        <v>117</v>
      </c>
      <c r="N1205" s="50">
        <v>0</v>
      </c>
      <c r="O1205" s="50">
        <v>0</v>
      </c>
      <c r="P1205" s="50">
        <v>0</v>
      </c>
      <c r="Q1205" s="46" t="s">
        <v>102</v>
      </c>
      <c r="R1205" s="46" t="s">
        <v>102</v>
      </c>
      <c r="S1205" s="46" t="s">
        <v>102</v>
      </c>
      <c r="T1205" s="46" t="s">
        <v>176</v>
      </c>
      <c r="U1205" s="51">
        <v>4</v>
      </c>
    </row>
    <row r="1206" spans="2:21" ht="14.5" outlineLevel="3">
      <c r="B1206" s="44" t="s">
        <v>3654</v>
      </c>
      <c r="C1206" s="45" t="s">
        <v>3655</v>
      </c>
      <c r="D1206" s="46" t="s">
        <v>102</v>
      </c>
      <c r="E1206" s="47" t="s">
        <v>102</v>
      </c>
      <c r="F1206" s="46" t="s">
        <v>102</v>
      </c>
      <c r="G1206" s="47" t="s">
        <v>102</v>
      </c>
      <c r="H1206" s="48">
        <v>0</v>
      </c>
      <c r="I1206" s="48">
        <v>0</v>
      </c>
      <c r="J1206" s="47" t="s">
        <v>3641</v>
      </c>
      <c r="K1206" s="49">
        <v>0</v>
      </c>
      <c r="L1206" s="49" t="s">
        <v>116</v>
      </c>
      <c r="M1206" s="46" t="s">
        <v>117</v>
      </c>
      <c r="N1206" s="50">
        <v>0</v>
      </c>
      <c r="O1206" s="50">
        <v>0</v>
      </c>
      <c r="P1206" s="50">
        <v>0</v>
      </c>
      <c r="Q1206" s="46" t="s">
        <v>102</v>
      </c>
      <c r="R1206" s="46" t="s">
        <v>102</v>
      </c>
      <c r="S1206" s="46" t="s">
        <v>102</v>
      </c>
      <c r="T1206" s="46" t="s">
        <v>182</v>
      </c>
      <c r="U1206" s="51">
        <v>4</v>
      </c>
    </row>
    <row r="1207" spans="2:21" ht="14.5" outlineLevel="3">
      <c r="B1207" s="44" t="s">
        <v>3656</v>
      </c>
      <c r="C1207" s="45" t="s">
        <v>3657</v>
      </c>
      <c r="D1207" s="46" t="s">
        <v>102</v>
      </c>
      <c r="E1207" s="47" t="s">
        <v>102</v>
      </c>
      <c r="F1207" s="46" t="s">
        <v>102</v>
      </c>
      <c r="G1207" s="47" t="s">
        <v>102</v>
      </c>
      <c r="H1207" s="48">
        <v>0</v>
      </c>
      <c r="I1207" s="48">
        <v>0</v>
      </c>
      <c r="J1207" s="47" t="s">
        <v>3641</v>
      </c>
      <c r="K1207" s="49">
        <v>0</v>
      </c>
      <c r="L1207" s="49" t="s">
        <v>116</v>
      </c>
      <c r="M1207" s="46" t="s">
        <v>117</v>
      </c>
      <c r="N1207" s="50">
        <v>0</v>
      </c>
      <c r="O1207" s="50">
        <v>0</v>
      </c>
      <c r="P1207" s="50">
        <v>0</v>
      </c>
      <c r="Q1207" s="46" t="s">
        <v>102</v>
      </c>
      <c r="R1207" s="46" t="s">
        <v>102</v>
      </c>
      <c r="S1207" s="46" t="s">
        <v>102</v>
      </c>
      <c r="T1207" s="46" t="s">
        <v>187</v>
      </c>
      <c r="U1207" s="51">
        <v>4</v>
      </c>
    </row>
    <row r="1208" spans="2:21" ht="14.5" outlineLevel="3">
      <c r="B1208" s="44" t="s">
        <v>3658</v>
      </c>
      <c r="C1208" s="45" t="s">
        <v>3659</v>
      </c>
      <c r="D1208" s="46" t="s">
        <v>102</v>
      </c>
      <c r="E1208" s="47" t="s">
        <v>102</v>
      </c>
      <c r="F1208" s="46" t="s">
        <v>102</v>
      </c>
      <c r="G1208" s="47" t="s">
        <v>102</v>
      </c>
      <c r="H1208" s="48">
        <v>0</v>
      </c>
      <c r="I1208" s="48">
        <v>0</v>
      </c>
      <c r="J1208" s="47" t="s">
        <v>3641</v>
      </c>
      <c r="K1208" s="49">
        <v>0</v>
      </c>
      <c r="L1208" s="49" t="s">
        <v>116</v>
      </c>
      <c r="M1208" s="46" t="s">
        <v>117</v>
      </c>
      <c r="N1208" s="50">
        <v>0</v>
      </c>
      <c r="O1208" s="50">
        <v>0</v>
      </c>
      <c r="P1208" s="50">
        <v>0</v>
      </c>
      <c r="Q1208" s="46" t="s">
        <v>102</v>
      </c>
      <c r="R1208" s="46" t="s">
        <v>102</v>
      </c>
      <c r="S1208" s="46" t="s">
        <v>102</v>
      </c>
      <c r="T1208" s="46" t="s">
        <v>259</v>
      </c>
      <c r="U1208" s="51">
        <v>4</v>
      </c>
    </row>
    <row r="1209" spans="2:21" ht="14.5" outlineLevel="3">
      <c r="B1209" s="44" t="s">
        <v>3660</v>
      </c>
      <c r="C1209" s="45" t="s">
        <v>3661</v>
      </c>
      <c r="D1209" s="46" t="s">
        <v>102</v>
      </c>
      <c r="E1209" s="47" t="s">
        <v>102</v>
      </c>
      <c r="F1209" s="46" t="s">
        <v>102</v>
      </c>
      <c r="G1209" s="47" t="s">
        <v>102</v>
      </c>
      <c r="H1209" s="48">
        <v>0</v>
      </c>
      <c r="I1209" s="48">
        <v>0</v>
      </c>
      <c r="J1209" s="47" t="s">
        <v>3641</v>
      </c>
      <c r="K1209" s="49">
        <v>0</v>
      </c>
      <c r="L1209" s="49" t="s">
        <v>116</v>
      </c>
      <c r="M1209" s="46" t="s">
        <v>117</v>
      </c>
      <c r="N1209" s="50">
        <v>0</v>
      </c>
      <c r="O1209" s="50">
        <v>0</v>
      </c>
      <c r="P1209" s="50">
        <v>0</v>
      </c>
      <c r="Q1209" s="46" t="s">
        <v>102</v>
      </c>
      <c r="R1209" s="46" t="s">
        <v>102</v>
      </c>
      <c r="S1209" s="46" t="s">
        <v>102</v>
      </c>
      <c r="T1209" s="46" t="s">
        <v>192</v>
      </c>
      <c r="U1209" s="51">
        <v>4</v>
      </c>
    </row>
    <row r="1210" spans="2:21" ht="14.5" outlineLevel="3">
      <c r="B1210" s="44" t="s">
        <v>3662</v>
      </c>
      <c r="C1210" s="45" t="s">
        <v>3663</v>
      </c>
      <c r="D1210" s="46" t="s">
        <v>102</v>
      </c>
      <c r="E1210" s="47" t="s">
        <v>102</v>
      </c>
      <c r="F1210" s="46" t="s">
        <v>102</v>
      </c>
      <c r="G1210" s="47" t="s">
        <v>102</v>
      </c>
      <c r="H1210" s="48">
        <v>0</v>
      </c>
      <c r="I1210" s="48">
        <v>0</v>
      </c>
      <c r="J1210" s="47" t="s">
        <v>3641</v>
      </c>
      <c r="K1210" s="49">
        <v>0</v>
      </c>
      <c r="L1210" s="49" t="s">
        <v>116</v>
      </c>
      <c r="M1210" s="46" t="s">
        <v>117</v>
      </c>
      <c r="N1210" s="50">
        <v>0</v>
      </c>
      <c r="O1210" s="50">
        <v>0</v>
      </c>
      <c r="P1210" s="50">
        <v>0</v>
      </c>
      <c r="Q1210" s="46" t="s">
        <v>102</v>
      </c>
      <c r="R1210" s="46" t="s">
        <v>102</v>
      </c>
      <c r="S1210" s="46" t="s">
        <v>102</v>
      </c>
      <c r="T1210" s="46" t="s">
        <v>615</v>
      </c>
      <c r="U1210" s="51">
        <v>4</v>
      </c>
    </row>
    <row r="1211" spans="2:21" ht="14.5" outlineLevel="3">
      <c r="B1211" s="44" t="s">
        <v>3664</v>
      </c>
      <c r="C1211" s="45" t="s">
        <v>3665</v>
      </c>
      <c r="D1211" s="46" t="s">
        <v>102</v>
      </c>
      <c r="E1211" s="47" t="s">
        <v>102</v>
      </c>
      <c r="F1211" s="46" t="s">
        <v>102</v>
      </c>
      <c r="G1211" s="47" t="s">
        <v>102</v>
      </c>
      <c r="H1211" s="48">
        <v>0</v>
      </c>
      <c r="I1211" s="48">
        <v>0</v>
      </c>
      <c r="J1211" s="47" t="s">
        <v>3641</v>
      </c>
      <c r="K1211" s="49">
        <v>0</v>
      </c>
      <c r="L1211" s="49" t="s">
        <v>116</v>
      </c>
      <c r="M1211" s="46" t="s">
        <v>117</v>
      </c>
      <c r="N1211" s="50">
        <v>0</v>
      </c>
      <c r="O1211" s="50">
        <v>0</v>
      </c>
      <c r="P1211" s="50">
        <v>0</v>
      </c>
      <c r="Q1211" s="46" t="s">
        <v>102</v>
      </c>
      <c r="R1211" s="46" t="s">
        <v>102</v>
      </c>
      <c r="S1211" s="46" t="s">
        <v>102</v>
      </c>
      <c r="T1211" s="46" t="s">
        <v>268</v>
      </c>
      <c r="U1211" s="51">
        <v>4</v>
      </c>
    </row>
    <row r="1212" spans="2:21" ht="14.5" outlineLevel="2">
      <c r="B1212" s="36" t="s">
        <v>3666</v>
      </c>
      <c r="C1212" s="37" t="s">
        <v>3667</v>
      </c>
      <c r="D1212" s="38" t="s">
        <v>102</v>
      </c>
      <c r="E1212" s="39" t="s">
        <v>102</v>
      </c>
      <c r="F1212" s="38" t="s">
        <v>102</v>
      </c>
      <c r="G1212" s="39" t="s">
        <v>102</v>
      </c>
      <c r="H1212" s="40">
        <v>0</v>
      </c>
      <c r="I1212" s="40">
        <v>0</v>
      </c>
      <c r="J1212" s="39" t="s">
        <v>3641</v>
      </c>
      <c r="K1212" s="41">
        <v>0</v>
      </c>
      <c r="L1212" s="41" t="s">
        <v>116</v>
      </c>
      <c r="M1212" s="38" t="s">
        <v>117</v>
      </c>
      <c r="N1212" s="42">
        <v>0</v>
      </c>
      <c r="O1212" s="42">
        <v>0</v>
      </c>
      <c r="P1212" s="42">
        <v>0</v>
      </c>
      <c r="Q1212" s="38" t="s">
        <v>102</v>
      </c>
      <c r="R1212" s="38" t="s">
        <v>102</v>
      </c>
      <c r="S1212" s="38" t="s">
        <v>102</v>
      </c>
      <c r="T1212" s="38" t="s">
        <v>273</v>
      </c>
      <c r="U1212" s="43">
        <v>4</v>
      </c>
    </row>
    <row r="1213" spans="2:21" ht="14.5" outlineLevel="3">
      <c r="B1213" s="44" t="s">
        <v>3668</v>
      </c>
      <c r="C1213" s="45" t="s">
        <v>3669</v>
      </c>
      <c r="D1213" s="46" t="s">
        <v>102</v>
      </c>
      <c r="E1213" s="47" t="s">
        <v>102</v>
      </c>
      <c r="F1213" s="46" t="s">
        <v>102</v>
      </c>
      <c r="G1213" s="47" t="s">
        <v>102</v>
      </c>
      <c r="H1213" s="48">
        <v>0</v>
      </c>
      <c r="I1213" s="48">
        <v>0</v>
      </c>
      <c r="J1213" s="47" t="s">
        <v>3641</v>
      </c>
      <c r="K1213" s="49">
        <v>0</v>
      </c>
      <c r="L1213" s="49" t="s">
        <v>116</v>
      </c>
      <c r="M1213" s="46" t="s">
        <v>117</v>
      </c>
      <c r="N1213" s="50">
        <v>0</v>
      </c>
      <c r="O1213" s="50">
        <v>0</v>
      </c>
      <c r="P1213" s="50">
        <v>0</v>
      </c>
      <c r="Q1213" s="46" t="s">
        <v>102</v>
      </c>
      <c r="R1213" s="46" t="s">
        <v>102</v>
      </c>
      <c r="S1213" s="46" t="s">
        <v>102</v>
      </c>
      <c r="T1213" s="46" t="s">
        <v>198</v>
      </c>
      <c r="U1213" s="51">
        <v>4</v>
      </c>
    </row>
    <row r="1214" spans="2:21" ht="14.5" outlineLevel="1">
      <c r="B1214" s="28" t="s">
        <v>3670</v>
      </c>
      <c r="C1214" s="29" t="s">
        <v>3671</v>
      </c>
      <c r="D1214" s="30" t="s">
        <v>102</v>
      </c>
      <c r="E1214" s="31" t="s">
        <v>102</v>
      </c>
      <c r="F1214" s="30" t="s">
        <v>102</v>
      </c>
      <c r="G1214" s="31" t="s">
        <v>102</v>
      </c>
      <c r="H1214" s="32">
        <v>0</v>
      </c>
      <c r="I1214" s="32">
        <v>0</v>
      </c>
      <c r="J1214" s="31" t="s">
        <v>3641</v>
      </c>
      <c r="K1214" s="33">
        <v>0</v>
      </c>
      <c r="L1214" s="33" t="s">
        <v>116</v>
      </c>
      <c r="M1214" s="30" t="s">
        <v>117</v>
      </c>
      <c r="N1214" s="34">
        <v>0</v>
      </c>
      <c r="O1214" s="34">
        <v>0</v>
      </c>
      <c r="P1214" s="34">
        <v>0</v>
      </c>
      <c r="Q1214" s="30" t="s">
        <v>102</v>
      </c>
      <c r="R1214" s="30" t="s">
        <v>102</v>
      </c>
      <c r="S1214" s="30" t="s">
        <v>102</v>
      </c>
      <c r="T1214" s="30" t="s">
        <v>283</v>
      </c>
      <c r="U1214" s="35">
        <v>4</v>
      </c>
    </row>
    <row r="1215" spans="2:21" ht="14.5" outlineLevel="2">
      <c r="B1215" s="36" t="s">
        <v>3672</v>
      </c>
      <c r="C1215" s="37" t="s">
        <v>3673</v>
      </c>
      <c r="D1215" s="38" t="s">
        <v>102</v>
      </c>
      <c r="E1215" s="39" t="s">
        <v>102</v>
      </c>
      <c r="F1215" s="38" t="s">
        <v>102</v>
      </c>
      <c r="G1215" s="39" t="s">
        <v>102</v>
      </c>
      <c r="H1215" s="40">
        <v>0</v>
      </c>
      <c r="I1215" s="40">
        <v>0</v>
      </c>
      <c r="J1215" s="39" t="s">
        <v>3641</v>
      </c>
      <c r="K1215" s="41">
        <v>0</v>
      </c>
      <c r="L1215" s="41" t="s">
        <v>116</v>
      </c>
      <c r="M1215" s="38" t="s">
        <v>117</v>
      </c>
      <c r="N1215" s="42">
        <v>0</v>
      </c>
      <c r="O1215" s="42">
        <v>0</v>
      </c>
      <c r="P1215" s="42">
        <v>0</v>
      </c>
      <c r="Q1215" s="38" t="s">
        <v>102</v>
      </c>
      <c r="R1215" s="38" t="s">
        <v>102</v>
      </c>
      <c r="S1215" s="38" t="s">
        <v>102</v>
      </c>
      <c r="T1215" s="38" t="s">
        <v>288</v>
      </c>
      <c r="U1215" s="43">
        <v>4</v>
      </c>
    </row>
    <row r="1216" spans="2:21" ht="14.5" outlineLevel="3">
      <c r="B1216" s="44" t="s">
        <v>3674</v>
      </c>
      <c r="C1216" s="45" t="s">
        <v>3675</v>
      </c>
      <c r="D1216" s="46" t="s">
        <v>102</v>
      </c>
      <c r="E1216" s="47" t="s">
        <v>102</v>
      </c>
      <c r="F1216" s="46" t="s">
        <v>102</v>
      </c>
      <c r="G1216" s="47" t="s">
        <v>102</v>
      </c>
      <c r="H1216" s="48">
        <v>0</v>
      </c>
      <c r="I1216" s="48">
        <v>0</v>
      </c>
      <c r="J1216" s="47" t="s">
        <v>3641</v>
      </c>
      <c r="K1216" s="49">
        <v>0</v>
      </c>
      <c r="L1216" s="49" t="s">
        <v>116</v>
      </c>
      <c r="M1216" s="46" t="s">
        <v>117</v>
      </c>
      <c r="N1216" s="50">
        <v>0</v>
      </c>
      <c r="O1216" s="50">
        <v>0</v>
      </c>
      <c r="P1216" s="50">
        <v>0</v>
      </c>
      <c r="Q1216" s="46" t="s">
        <v>102</v>
      </c>
      <c r="R1216" s="46" t="s">
        <v>102</v>
      </c>
      <c r="S1216" s="46" t="s">
        <v>102</v>
      </c>
      <c r="T1216" s="46" t="s">
        <v>208</v>
      </c>
      <c r="U1216" s="51">
        <v>4</v>
      </c>
    </row>
    <row r="1217" spans="2:21" ht="14.5" outlineLevel="3">
      <c r="B1217" s="44" t="s">
        <v>3676</v>
      </c>
      <c r="C1217" s="45" t="s">
        <v>3677</v>
      </c>
      <c r="D1217" s="46" t="s">
        <v>392</v>
      </c>
      <c r="E1217" s="47" t="s">
        <v>102</v>
      </c>
      <c r="F1217" s="46" t="s">
        <v>102</v>
      </c>
      <c r="G1217" s="47" t="s">
        <v>102</v>
      </c>
      <c r="H1217" s="48">
        <v>0</v>
      </c>
      <c r="I1217" s="48">
        <v>0</v>
      </c>
      <c r="J1217" s="47" t="s">
        <v>3641</v>
      </c>
      <c r="K1217" s="49">
        <v>0</v>
      </c>
      <c r="L1217" s="49" t="s">
        <v>116</v>
      </c>
      <c r="M1217" s="46" t="s">
        <v>117</v>
      </c>
      <c r="N1217" s="50">
        <v>0</v>
      </c>
      <c r="O1217" s="50">
        <v>0</v>
      </c>
      <c r="P1217" s="50">
        <v>0</v>
      </c>
      <c r="Q1217" s="46" t="s">
        <v>102</v>
      </c>
      <c r="R1217" s="46" t="s">
        <v>102</v>
      </c>
      <c r="S1217" s="46" t="s">
        <v>102</v>
      </c>
      <c r="T1217" s="46" t="s">
        <v>2854</v>
      </c>
      <c r="U1217" s="51">
        <v>4</v>
      </c>
    </row>
    <row r="1218" spans="2:21" ht="14.5" outlineLevel="3">
      <c r="B1218" s="44" t="s">
        <v>3678</v>
      </c>
      <c r="C1218" s="45" t="s">
        <v>3679</v>
      </c>
      <c r="D1218" s="46" t="s">
        <v>102</v>
      </c>
      <c r="E1218" s="47" t="s">
        <v>102</v>
      </c>
      <c r="F1218" s="46" t="s">
        <v>102</v>
      </c>
      <c r="G1218" s="47" t="s">
        <v>102</v>
      </c>
      <c r="H1218" s="48">
        <v>0</v>
      </c>
      <c r="I1218" s="48">
        <v>0</v>
      </c>
      <c r="J1218" s="47" t="s">
        <v>102</v>
      </c>
      <c r="K1218" s="49">
        <v>0</v>
      </c>
      <c r="L1218" s="49" t="s">
        <v>102</v>
      </c>
      <c r="M1218" s="46" t="s">
        <v>102</v>
      </c>
      <c r="N1218" s="50">
        <v>0</v>
      </c>
      <c r="O1218" s="50">
        <v>0</v>
      </c>
      <c r="P1218" s="50">
        <v>0</v>
      </c>
      <c r="Q1218" s="46" t="s">
        <v>102</v>
      </c>
      <c r="R1218" s="46" t="s">
        <v>102</v>
      </c>
      <c r="S1218" s="46" t="s">
        <v>2530</v>
      </c>
      <c r="T1218" s="46" t="s">
        <v>102</v>
      </c>
      <c r="U1218" s="51">
        <v>3</v>
      </c>
    </row>
    <row r="1219" spans="2:21" ht="14.5" outlineLevel="3">
      <c r="B1219" s="44" t="s">
        <v>3680</v>
      </c>
      <c r="C1219" s="45" t="s">
        <v>3681</v>
      </c>
      <c r="D1219" s="46" t="s">
        <v>392</v>
      </c>
      <c r="E1219" s="47" t="s">
        <v>102</v>
      </c>
      <c r="F1219" s="46" t="s">
        <v>102</v>
      </c>
      <c r="G1219" s="47" t="s">
        <v>102</v>
      </c>
      <c r="H1219" s="48">
        <v>0</v>
      </c>
      <c r="I1219" s="48">
        <v>0</v>
      </c>
      <c r="J1219" s="47" t="s">
        <v>3682</v>
      </c>
      <c r="K1219" s="49">
        <v>0</v>
      </c>
      <c r="L1219" s="49" t="s">
        <v>2614</v>
      </c>
      <c r="M1219" s="46" t="s">
        <v>117</v>
      </c>
      <c r="N1219" s="50">
        <v>0</v>
      </c>
      <c r="O1219" s="50">
        <v>0</v>
      </c>
      <c r="P1219" s="50">
        <v>0</v>
      </c>
      <c r="Q1219" s="46" t="s">
        <v>102</v>
      </c>
      <c r="R1219" s="46" t="s">
        <v>102</v>
      </c>
      <c r="S1219" s="46" t="s">
        <v>102</v>
      </c>
      <c r="T1219" s="46" t="s">
        <v>2795</v>
      </c>
      <c r="U1219" s="51">
        <v>4</v>
      </c>
    </row>
    <row r="1220" spans="2:21" ht="14.5" outlineLevel="3">
      <c r="B1220" s="44" t="s">
        <v>3683</v>
      </c>
      <c r="C1220" s="45" t="s">
        <v>3684</v>
      </c>
      <c r="D1220" s="46" t="s">
        <v>102</v>
      </c>
      <c r="E1220" s="47" t="s">
        <v>102</v>
      </c>
      <c r="F1220" s="46" t="s">
        <v>102</v>
      </c>
      <c r="G1220" s="47" t="s">
        <v>102</v>
      </c>
      <c r="H1220" s="48">
        <v>0</v>
      </c>
      <c r="I1220" s="48">
        <v>0</v>
      </c>
      <c r="J1220" s="47" t="s">
        <v>102</v>
      </c>
      <c r="K1220" s="49">
        <v>0</v>
      </c>
      <c r="L1220" s="49" t="s">
        <v>102</v>
      </c>
      <c r="M1220" s="46" t="s">
        <v>102</v>
      </c>
      <c r="N1220" s="50">
        <v>0</v>
      </c>
      <c r="O1220" s="50">
        <v>0</v>
      </c>
      <c r="P1220" s="50">
        <v>0</v>
      </c>
      <c r="Q1220" s="46" t="s">
        <v>102</v>
      </c>
      <c r="R1220" s="46" t="s">
        <v>3685</v>
      </c>
      <c r="S1220" s="46" t="s">
        <v>102</v>
      </c>
      <c r="T1220" s="46" t="s">
        <v>102</v>
      </c>
      <c r="U1220" s="51">
        <v>2</v>
      </c>
    </row>
    <row r="1221" spans="2:21" ht="14.5" outlineLevel="3">
      <c r="B1221" s="44" t="s">
        <v>3686</v>
      </c>
      <c r="C1221" s="45" t="s">
        <v>3687</v>
      </c>
      <c r="D1221" s="46" t="s">
        <v>102</v>
      </c>
      <c r="E1221" s="47" t="s">
        <v>102</v>
      </c>
      <c r="F1221" s="46" t="s">
        <v>102</v>
      </c>
      <c r="G1221" s="47" t="s">
        <v>102</v>
      </c>
      <c r="H1221" s="48">
        <v>0</v>
      </c>
      <c r="I1221" s="48">
        <v>0</v>
      </c>
      <c r="J1221" s="47" t="s">
        <v>102</v>
      </c>
      <c r="K1221" s="49">
        <v>0</v>
      </c>
      <c r="L1221" s="49" t="s">
        <v>102</v>
      </c>
      <c r="M1221" s="46" t="s">
        <v>102</v>
      </c>
      <c r="N1221" s="50">
        <v>0</v>
      </c>
      <c r="O1221" s="50">
        <v>0</v>
      </c>
      <c r="P1221" s="50">
        <v>0</v>
      </c>
      <c r="Q1221" s="46" t="s">
        <v>102</v>
      </c>
      <c r="R1221" s="46" t="s">
        <v>102</v>
      </c>
      <c r="S1221" s="46" t="s">
        <v>3688</v>
      </c>
      <c r="T1221" s="46" t="s">
        <v>102</v>
      </c>
      <c r="U1221" s="51">
        <v>3</v>
      </c>
    </row>
    <row r="1222" spans="2:21" ht="14.5" outlineLevel="3">
      <c r="B1222" s="44" t="s">
        <v>3689</v>
      </c>
      <c r="C1222" s="45" t="s">
        <v>3690</v>
      </c>
      <c r="D1222" s="46" t="s">
        <v>2804</v>
      </c>
      <c r="E1222" s="47" t="s">
        <v>102</v>
      </c>
      <c r="F1222" s="46" t="s">
        <v>102</v>
      </c>
      <c r="G1222" s="47" t="s">
        <v>102</v>
      </c>
      <c r="H1222" s="48">
        <v>0</v>
      </c>
      <c r="I1222" s="48">
        <v>0</v>
      </c>
      <c r="J1222" s="47" t="s">
        <v>3691</v>
      </c>
      <c r="K1222" s="49">
        <v>1</v>
      </c>
      <c r="L1222" s="49" t="s">
        <v>116</v>
      </c>
      <c r="M1222" s="46" t="s">
        <v>117</v>
      </c>
      <c r="N1222" s="50">
        <v>0</v>
      </c>
      <c r="O1222" s="50">
        <v>0</v>
      </c>
      <c r="P1222" s="50">
        <v>0</v>
      </c>
      <c r="Q1222" s="46" t="s">
        <v>102</v>
      </c>
      <c r="R1222" s="46" t="s">
        <v>102</v>
      </c>
      <c r="S1222" s="46" t="s">
        <v>102</v>
      </c>
      <c r="T1222" s="46" t="s">
        <v>259</v>
      </c>
      <c r="U1222" s="51">
        <v>4</v>
      </c>
    </row>
    <row r="1223" spans="2:21" ht="14.5" outlineLevel="3">
      <c r="B1223" s="44" t="s">
        <v>3692</v>
      </c>
      <c r="C1223" s="45" t="s">
        <v>3693</v>
      </c>
      <c r="D1223" s="46" t="s">
        <v>2804</v>
      </c>
      <c r="E1223" s="47" t="s">
        <v>102</v>
      </c>
      <c r="F1223" s="46" t="s">
        <v>102</v>
      </c>
      <c r="G1223" s="47" t="s">
        <v>102</v>
      </c>
      <c r="H1223" s="48">
        <v>0</v>
      </c>
      <c r="I1223" s="48">
        <v>0</v>
      </c>
      <c r="J1223" s="47" t="s">
        <v>3691</v>
      </c>
      <c r="K1223" s="49">
        <v>1</v>
      </c>
      <c r="L1223" s="49" t="s">
        <v>116</v>
      </c>
      <c r="M1223" s="46" t="s">
        <v>117</v>
      </c>
      <c r="N1223" s="50">
        <v>0</v>
      </c>
      <c r="O1223" s="50">
        <v>0</v>
      </c>
      <c r="P1223" s="50">
        <v>0</v>
      </c>
      <c r="Q1223" s="46" t="s">
        <v>102</v>
      </c>
      <c r="R1223" s="46" t="s">
        <v>102</v>
      </c>
      <c r="S1223" s="46" t="s">
        <v>102</v>
      </c>
      <c r="T1223" s="46" t="s">
        <v>418</v>
      </c>
      <c r="U1223" s="51">
        <v>4</v>
      </c>
    </row>
    <row r="1224" spans="2:21" ht="14.5" outlineLevel="3">
      <c r="B1224" s="44" t="s">
        <v>3694</v>
      </c>
      <c r="C1224" s="45" t="s">
        <v>3695</v>
      </c>
      <c r="D1224" s="46" t="s">
        <v>2804</v>
      </c>
      <c r="E1224" s="47" t="s">
        <v>102</v>
      </c>
      <c r="F1224" s="46" t="s">
        <v>102</v>
      </c>
      <c r="G1224" s="47" t="s">
        <v>102</v>
      </c>
      <c r="H1224" s="48">
        <v>0</v>
      </c>
      <c r="I1224" s="48">
        <v>0</v>
      </c>
      <c r="J1224" s="47" t="s">
        <v>3696</v>
      </c>
      <c r="K1224" s="49">
        <v>1</v>
      </c>
      <c r="L1224" s="49" t="s">
        <v>116</v>
      </c>
      <c r="M1224" s="46" t="s">
        <v>117</v>
      </c>
      <c r="N1224" s="50">
        <v>0</v>
      </c>
      <c r="O1224" s="50">
        <v>0</v>
      </c>
      <c r="P1224" s="50">
        <v>0</v>
      </c>
      <c r="Q1224" s="46" t="s">
        <v>102</v>
      </c>
      <c r="R1224" s="46" t="s">
        <v>102</v>
      </c>
      <c r="S1224" s="46" t="s">
        <v>102</v>
      </c>
      <c r="T1224" s="46" t="s">
        <v>223</v>
      </c>
      <c r="U1224" s="51">
        <v>4</v>
      </c>
    </row>
    <row r="1225" spans="2:21" ht="14.5" outlineLevel="3">
      <c r="B1225" s="44" t="s">
        <v>3697</v>
      </c>
      <c r="C1225" s="45" t="s">
        <v>3698</v>
      </c>
      <c r="D1225" s="46" t="s">
        <v>2804</v>
      </c>
      <c r="E1225" s="47" t="s">
        <v>102</v>
      </c>
      <c r="F1225" s="46" t="s">
        <v>102</v>
      </c>
      <c r="G1225" s="47" t="s">
        <v>102</v>
      </c>
      <c r="H1225" s="48">
        <v>0</v>
      </c>
      <c r="I1225" s="48">
        <v>0</v>
      </c>
      <c r="J1225" s="47" t="s">
        <v>3696</v>
      </c>
      <c r="K1225" s="49">
        <v>1</v>
      </c>
      <c r="L1225" s="49" t="s">
        <v>116</v>
      </c>
      <c r="M1225" s="46" t="s">
        <v>117</v>
      </c>
      <c r="N1225" s="50">
        <v>0</v>
      </c>
      <c r="O1225" s="50">
        <v>0</v>
      </c>
      <c r="P1225" s="50">
        <v>0</v>
      </c>
      <c r="Q1225" s="46" t="s">
        <v>102</v>
      </c>
      <c r="R1225" s="46" t="s">
        <v>102</v>
      </c>
      <c r="S1225" s="46" t="s">
        <v>102</v>
      </c>
      <c r="T1225" s="46" t="s">
        <v>736</v>
      </c>
      <c r="U1225" s="51">
        <v>4</v>
      </c>
    </row>
    <row r="1226" spans="2:21" ht="14.5" outlineLevel="3">
      <c r="B1226" s="44" t="s">
        <v>3699</v>
      </c>
      <c r="C1226" s="45" t="s">
        <v>3700</v>
      </c>
      <c r="D1226" s="46" t="s">
        <v>2804</v>
      </c>
      <c r="E1226" s="47" t="s">
        <v>102</v>
      </c>
      <c r="F1226" s="46" t="s">
        <v>102</v>
      </c>
      <c r="G1226" s="47" t="s">
        <v>102</v>
      </c>
      <c r="H1226" s="48">
        <v>0</v>
      </c>
      <c r="I1226" s="48">
        <v>0</v>
      </c>
      <c r="J1226" s="47" t="s">
        <v>3696</v>
      </c>
      <c r="K1226" s="49">
        <v>1</v>
      </c>
      <c r="L1226" s="49" t="s">
        <v>116</v>
      </c>
      <c r="M1226" s="46" t="s">
        <v>117</v>
      </c>
      <c r="N1226" s="50">
        <v>0</v>
      </c>
      <c r="O1226" s="50">
        <v>0</v>
      </c>
      <c r="P1226" s="50">
        <v>0</v>
      </c>
      <c r="Q1226" s="46" t="s">
        <v>102</v>
      </c>
      <c r="R1226" s="46" t="s">
        <v>102</v>
      </c>
      <c r="S1226" s="46" t="s">
        <v>102</v>
      </c>
      <c r="T1226" s="46" t="s">
        <v>741</v>
      </c>
      <c r="U1226" s="51">
        <v>4</v>
      </c>
    </row>
    <row r="1227" spans="2:21" ht="14.5" outlineLevel="3">
      <c r="B1227" s="44" t="s">
        <v>3701</v>
      </c>
      <c r="C1227" s="45" t="s">
        <v>3702</v>
      </c>
      <c r="D1227" s="46" t="s">
        <v>2804</v>
      </c>
      <c r="E1227" s="47" t="s">
        <v>102</v>
      </c>
      <c r="F1227" s="46" t="s">
        <v>102</v>
      </c>
      <c r="G1227" s="47" t="s">
        <v>102</v>
      </c>
      <c r="H1227" s="48">
        <v>0</v>
      </c>
      <c r="I1227" s="48">
        <v>0</v>
      </c>
      <c r="J1227" s="47" t="s">
        <v>3696</v>
      </c>
      <c r="K1227" s="49">
        <v>1</v>
      </c>
      <c r="L1227" s="49" t="s">
        <v>116</v>
      </c>
      <c r="M1227" s="46" t="s">
        <v>117</v>
      </c>
      <c r="N1227" s="50">
        <v>0</v>
      </c>
      <c r="O1227" s="50">
        <v>0</v>
      </c>
      <c r="P1227" s="50">
        <v>0</v>
      </c>
      <c r="Q1227" s="46" t="s">
        <v>102</v>
      </c>
      <c r="R1227" s="46" t="s">
        <v>102</v>
      </c>
      <c r="S1227" s="46" t="s">
        <v>102</v>
      </c>
      <c r="T1227" s="46" t="s">
        <v>243</v>
      </c>
      <c r="U1227" s="51">
        <v>4</v>
      </c>
    </row>
    <row r="1228" spans="2:21" ht="14.5" outlineLevel="3">
      <c r="B1228" s="44" t="s">
        <v>3703</v>
      </c>
      <c r="C1228" s="45" t="s">
        <v>3704</v>
      </c>
      <c r="D1228" s="46" t="s">
        <v>2804</v>
      </c>
      <c r="E1228" s="47" t="s">
        <v>102</v>
      </c>
      <c r="F1228" s="46" t="s">
        <v>102</v>
      </c>
      <c r="G1228" s="47" t="s">
        <v>102</v>
      </c>
      <c r="H1228" s="48">
        <v>0</v>
      </c>
      <c r="I1228" s="48">
        <v>0</v>
      </c>
      <c r="J1228" s="47" t="s">
        <v>3696</v>
      </c>
      <c r="K1228" s="49">
        <v>1</v>
      </c>
      <c r="L1228" s="49" t="s">
        <v>116</v>
      </c>
      <c r="M1228" s="46" t="s">
        <v>117</v>
      </c>
      <c r="N1228" s="50">
        <v>0</v>
      </c>
      <c r="O1228" s="50">
        <v>0</v>
      </c>
      <c r="P1228" s="50">
        <v>0</v>
      </c>
      <c r="Q1228" s="46" t="s">
        <v>102</v>
      </c>
      <c r="R1228" s="46" t="s">
        <v>102</v>
      </c>
      <c r="S1228" s="46" t="s">
        <v>102</v>
      </c>
      <c r="T1228" s="46" t="s">
        <v>750</v>
      </c>
      <c r="U1228" s="51">
        <v>4</v>
      </c>
    </row>
    <row r="1229" spans="2:21" ht="14.5" outlineLevel="3">
      <c r="B1229" s="44" t="s">
        <v>3705</v>
      </c>
      <c r="C1229" s="45" t="s">
        <v>3706</v>
      </c>
      <c r="D1229" s="46" t="s">
        <v>2804</v>
      </c>
      <c r="E1229" s="47" t="s">
        <v>102</v>
      </c>
      <c r="F1229" s="46" t="s">
        <v>102</v>
      </c>
      <c r="G1229" s="47" t="s">
        <v>102</v>
      </c>
      <c r="H1229" s="48">
        <v>0</v>
      </c>
      <c r="I1229" s="48">
        <v>0</v>
      </c>
      <c r="J1229" s="47" t="s">
        <v>3696</v>
      </c>
      <c r="K1229" s="49">
        <v>1</v>
      </c>
      <c r="L1229" s="49" t="s">
        <v>116</v>
      </c>
      <c r="M1229" s="46" t="s">
        <v>117</v>
      </c>
      <c r="N1229" s="50">
        <v>0</v>
      </c>
      <c r="O1229" s="50">
        <v>0</v>
      </c>
      <c r="P1229" s="50">
        <v>0</v>
      </c>
      <c r="Q1229" s="46" t="s">
        <v>102</v>
      </c>
      <c r="R1229" s="46" t="s">
        <v>102</v>
      </c>
      <c r="S1229" s="46" t="s">
        <v>102</v>
      </c>
      <c r="T1229" s="46" t="s">
        <v>778</v>
      </c>
      <c r="U1229" s="51">
        <v>4</v>
      </c>
    </row>
    <row r="1230" spans="2:21" ht="14.5" outlineLevel="3">
      <c r="B1230" s="44" t="s">
        <v>3707</v>
      </c>
      <c r="C1230" s="45" t="s">
        <v>3708</v>
      </c>
      <c r="D1230" s="46" t="s">
        <v>2804</v>
      </c>
      <c r="E1230" s="47" t="s">
        <v>102</v>
      </c>
      <c r="F1230" s="46" t="s">
        <v>102</v>
      </c>
      <c r="G1230" s="47" t="s">
        <v>102</v>
      </c>
      <c r="H1230" s="48">
        <v>0</v>
      </c>
      <c r="I1230" s="48">
        <v>0</v>
      </c>
      <c r="J1230" s="47" t="s">
        <v>3696</v>
      </c>
      <c r="K1230" s="49">
        <v>1</v>
      </c>
      <c r="L1230" s="49" t="s">
        <v>116</v>
      </c>
      <c r="M1230" s="46" t="s">
        <v>117</v>
      </c>
      <c r="N1230" s="50">
        <v>0</v>
      </c>
      <c r="O1230" s="50">
        <v>0</v>
      </c>
      <c r="P1230" s="50">
        <v>0</v>
      </c>
      <c r="Q1230" s="46" t="s">
        <v>102</v>
      </c>
      <c r="R1230" s="46" t="s">
        <v>102</v>
      </c>
      <c r="S1230" s="46" t="s">
        <v>102</v>
      </c>
      <c r="T1230" s="46" t="s">
        <v>831</v>
      </c>
      <c r="U1230" s="51">
        <v>4</v>
      </c>
    </row>
    <row r="1231" spans="2:21" ht="14.5" outlineLevel="3">
      <c r="B1231" s="44" t="s">
        <v>3709</v>
      </c>
      <c r="C1231" s="45" t="s">
        <v>3710</v>
      </c>
      <c r="D1231" s="46" t="s">
        <v>2804</v>
      </c>
      <c r="E1231" s="47" t="s">
        <v>102</v>
      </c>
      <c r="F1231" s="46" t="s">
        <v>102</v>
      </c>
      <c r="G1231" s="47" t="s">
        <v>102</v>
      </c>
      <c r="H1231" s="48">
        <v>0</v>
      </c>
      <c r="I1231" s="48">
        <v>0</v>
      </c>
      <c r="J1231" s="47" t="s">
        <v>3696</v>
      </c>
      <c r="K1231" s="49">
        <v>1</v>
      </c>
      <c r="L1231" s="49" t="s">
        <v>116</v>
      </c>
      <c r="M1231" s="46" t="s">
        <v>117</v>
      </c>
      <c r="N1231" s="50">
        <v>0</v>
      </c>
      <c r="O1231" s="50">
        <v>0</v>
      </c>
      <c r="P1231" s="50">
        <v>0</v>
      </c>
      <c r="Q1231" s="46" t="s">
        <v>102</v>
      </c>
      <c r="R1231" s="46" t="s">
        <v>102</v>
      </c>
      <c r="S1231" s="46" t="s">
        <v>102</v>
      </c>
      <c r="T1231" s="46" t="s">
        <v>835</v>
      </c>
      <c r="U1231" s="51">
        <v>4</v>
      </c>
    </row>
    <row r="1232" spans="2:21" ht="14.5" outlineLevel="3">
      <c r="B1232" s="44" t="s">
        <v>3711</v>
      </c>
      <c r="C1232" s="45" t="s">
        <v>3712</v>
      </c>
      <c r="D1232" s="46" t="s">
        <v>2804</v>
      </c>
      <c r="E1232" s="47" t="s">
        <v>102</v>
      </c>
      <c r="F1232" s="46" t="s">
        <v>102</v>
      </c>
      <c r="G1232" s="47" t="s">
        <v>102</v>
      </c>
      <c r="H1232" s="48">
        <v>0</v>
      </c>
      <c r="I1232" s="48">
        <v>0</v>
      </c>
      <c r="J1232" s="47" t="s">
        <v>3696</v>
      </c>
      <c r="K1232" s="49">
        <v>1</v>
      </c>
      <c r="L1232" s="49" t="s">
        <v>116</v>
      </c>
      <c r="M1232" s="46" t="s">
        <v>117</v>
      </c>
      <c r="N1232" s="50">
        <v>0</v>
      </c>
      <c r="O1232" s="50">
        <v>0</v>
      </c>
      <c r="P1232" s="50">
        <v>0</v>
      </c>
      <c r="Q1232" s="46" t="s">
        <v>102</v>
      </c>
      <c r="R1232" s="46" t="s">
        <v>102</v>
      </c>
      <c r="S1232" s="46" t="s">
        <v>102</v>
      </c>
      <c r="T1232" s="46" t="s">
        <v>840</v>
      </c>
      <c r="U1232" s="51">
        <v>4</v>
      </c>
    </row>
    <row r="1233" spans="2:21" ht="14.5" outlineLevel="3">
      <c r="B1233" s="44" t="s">
        <v>3713</v>
      </c>
      <c r="C1233" s="45" t="s">
        <v>3714</v>
      </c>
      <c r="D1233" s="46" t="s">
        <v>2804</v>
      </c>
      <c r="E1233" s="47" t="s">
        <v>102</v>
      </c>
      <c r="F1233" s="46" t="s">
        <v>102</v>
      </c>
      <c r="G1233" s="47" t="s">
        <v>102</v>
      </c>
      <c r="H1233" s="48">
        <v>0</v>
      </c>
      <c r="I1233" s="48">
        <v>0</v>
      </c>
      <c r="J1233" s="47" t="s">
        <v>3696</v>
      </c>
      <c r="K1233" s="49">
        <v>1</v>
      </c>
      <c r="L1233" s="49" t="s">
        <v>116</v>
      </c>
      <c r="M1233" s="46" t="s">
        <v>117</v>
      </c>
      <c r="N1233" s="50">
        <v>0</v>
      </c>
      <c r="O1233" s="50">
        <v>0</v>
      </c>
      <c r="P1233" s="50">
        <v>0</v>
      </c>
      <c r="Q1233" s="46" t="s">
        <v>102</v>
      </c>
      <c r="R1233" s="46" t="s">
        <v>102</v>
      </c>
      <c r="S1233" s="46" t="s">
        <v>102</v>
      </c>
      <c r="T1233" s="46" t="s">
        <v>845</v>
      </c>
      <c r="U1233" s="51">
        <v>4</v>
      </c>
    </row>
    <row r="1234" spans="2:21" ht="14.5" outlineLevel="3">
      <c r="B1234" s="44" t="s">
        <v>3715</v>
      </c>
      <c r="C1234" s="45" t="s">
        <v>3716</v>
      </c>
      <c r="D1234" s="46" t="s">
        <v>2804</v>
      </c>
      <c r="E1234" s="47" t="s">
        <v>102</v>
      </c>
      <c r="F1234" s="46" t="s">
        <v>102</v>
      </c>
      <c r="G1234" s="47" t="s">
        <v>102</v>
      </c>
      <c r="H1234" s="48">
        <v>0</v>
      </c>
      <c r="I1234" s="48">
        <v>0</v>
      </c>
      <c r="J1234" s="47" t="s">
        <v>3696</v>
      </c>
      <c r="K1234" s="49">
        <v>1</v>
      </c>
      <c r="L1234" s="49" t="s">
        <v>116</v>
      </c>
      <c r="M1234" s="46" t="s">
        <v>117</v>
      </c>
      <c r="N1234" s="50">
        <v>0</v>
      </c>
      <c r="O1234" s="50">
        <v>0</v>
      </c>
      <c r="P1234" s="50">
        <v>0</v>
      </c>
      <c r="Q1234" s="46" t="s">
        <v>102</v>
      </c>
      <c r="R1234" s="46" t="s">
        <v>102</v>
      </c>
      <c r="S1234" s="46" t="s">
        <v>102</v>
      </c>
      <c r="T1234" s="46" t="s">
        <v>850</v>
      </c>
      <c r="U1234" s="51">
        <v>4</v>
      </c>
    </row>
    <row r="1235" spans="2:21" ht="14.5" outlineLevel="3">
      <c r="B1235" s="44" t="s">
        <v>3717</v>
      </c>
      <c r="C1235" s="45" t="s">
        <v>3718</v>
      </c>
      <c r="D1235" s="46" t="s">
        <v>2804</v>
      </c>
      <c r="E1235" s="47" t="s">
        <v>102</v>
      </c>
      <c r="F1235" s="46" t="s">
        <v>102</v>
      </c>
      <c r="G1235" s="47" t="s">
        <v>102</v>
      </c>
      <c r="H1235" s="48">
        <v>0</v>
      </c>
      <c r="I1235" s="48">
        <v>0</v>
      </c>
      <c r="J1235" s="47" t="s">
        <v>3696</v>
      </c>
      <c r="K1235" s="49">
        <v>1</v>
      </c>
      <c r="L1235" s="49" t="s">
        <v>116</v>
      </c>
      <c r="M1235" s="46" t="s">
        <v>117</v>
      </c>
      <c r="N1235" s="50">
        <v>0</v>
      </c>
      <c r="O1235" s="50">
        <v>0</v>
      </c>
      <c r="P1235" s="50">
        <v>0</v>
      </c>
      <c r="Q1235" s="46" t="s">
        <v>102</v>
      </c>
      <c r="R1235" s="46" t="s">
        <v>102</v>
      </c>
      <c r="S1235" s="46" t="s">
        <v>102</v>
      </c>
      <c r="T1235" s="46" t="s">
        <v>855</v>
      </c>
      <c r="U1235" s="51">
        <v>4</v>
      </c>
    </row>
    <row r="1236" spans="2:21" ht="14.5" outlineLevel="3">
      <c r="B1236" s="44" t="s">
        <v>3719</v>
      </c>
      <c r="C1236" s="45" t="s">
        <v>3720</v>
      </c>
      <c r="D1236" s="46" t="s">
        <v>2804</v>
      </c>
      <c r="E1236" s="47" t="s">
        <v>102</v>
      </c>
      <c r="F1236" s="46" t="s">
        <v>102</v>
      </c>
      <c r="G1236" s="47" t="s">
        <v>102</v>
      </c>
      <c r="H1236" s="48">
        <v>0</v>
      </c>
      <c r="I1236" s="48">
        <v>0</v>
      </c>
      <c r="J1236" s="47" t="s">
        <v>3696</v>
      </c>
      <c r="K1236" s="49">
        <v>1</v>
      </c>
      <c r="L1236" s="49" t="s">
        <v>116</v>
      </c>
      <c r="M1236" s="46" t="s">
        <v>117</v>
      </c>
      <c r="N1236" s="50">
        <v>0</v>
      </c>
      <c r="O1236" s="50">
        <v>0</v>
      </c>
      <c r="P1236" s="50">
        <v>0</v>
      </c>
      <c r="Q1236" s="46" t="s">
        <v>102</v>
      </c>
      <c r="R1236" s="46" t="s">
        <v>102</v>
      </c>
      <c r="S1236" s="46" t="s">
        <v>102</v>
      </c>
      <c r="T1236" s="46" t="s">
        <v>860</v>
      </c>
      <c r="U1236" s="51">
        <v>4</v>
      </c>
    </row>
    <row r="1237" spans="2:21" ht="14.5" outlineLevel="3">
      <c r="B1237" s="44" t="s">
        <v>3721</v>
      </c>
      <c r="C1237" s="45" t="s">
        <v>3722</v>
      </c>
      <c r="D1237" s="46" t="s">
        <v>2804</v>
      </c>
      <c r="E1237" s="47" t="s">
        <v>102</v>
      </c>
      <c r="F1237" s="46" t="s">
        <v>102</v>
      </c>
      <c r="G1237" s="47" t="s">
        <v>102</v>
      </c>
      <c r="H1237" s="48">
        <v>0</v>
      </c>
      <c r="I1237" s="48">
        <v>0</v>
      </c>
      <c r="J1237" s="47" t="s">
        <v>3696</v>
      </c>
      <c r="K1237" s="49">
        <v>1</v>
      </c>
      <c r="L1237" s="49" t="s">
        <v>116</v>
      </c>
      <c r="M1237" s="46" t="s">
        <v>117</v>
      </c>
      <c r="N1237" s="50">
        <v>0</v>
      </c>
      <c r="O1237" s="50">
        <v>0</v>
      </c>
      <c r="P1237" s="50">
        <v>0</v>
      </c>
      <c r="Q1237" s="46" t="s">
        <v>102</v>
      </c>
      <c r="R1237" s="46" t="s">
        <v>102</v>
      </c>
      <c r="S1237" s="46" t="s">
        <v>102</v>
      </c>
      <c r="T1237" s="46" t="s">
        <v>450</v>
      </c>
      <c r="U1237" s="51">
        <v>4</v>
      </c>
    </row>
    <row r="1238" spans="2:21" ht="14.5" outlineLevel="3">
      <c r="B1238" s="44" t="s">
        <v>3723</v>
      </c>
      <c r="C1238" s="45" t="s">
        <v>3724</v>
      </c>
      <c r="D1238" s="46" t="s">
        <v>2804</v>
      </c>
      <c r="E1238" s="47" t="s">
        <v>102</v>
      </c>
      <c r="F1238" s="46" t="s">
        <v>102</v>
      </c>
      <c r="G1238" s="47" t="s">
        <v>102</v>
      </c>
      <c r="H1238" s="48">
        <v>0</v>
      </c>
      <c r="I1238" s="48">
        <v>0</v>
      </c>
      <c r="J1238" s="47" t="s">
        <v>3696</v>
      </c>
      <c r="K1238" s="49">
        <v>1</v>
      </c>
      <c r="L1238" s="49" t="s">
        <v>116</v>
      </c>
      <c r="M1238" s="46" t="s">
        <v>117</v>
      </c>
      <c r="N1238" s="50">
        <v>0</v>
      </c>
      <c r="O1238" s="50">
        <v>0</v>
      </c>
      <c r="P1238" s="50">
        <v>0</v>
      </c>
      <c r="Q1238" s="46" t="s">
        <v>102</v>
      </c>
      <c r="R1238" s="46" t="s">
        <v>102</v>
      </c>
      <c r="S1238" s="46" t="s">
        <v>102</v>
      </c>
      <c r="T1238" s="46" t="s">
        <v>923</v>
      </c>
      <c r="U1238" s="51">
        <v>4</v>
      </c>
    </row>
    <row r="1239" spans="2:21" ht="14.5" outlineLevel="3">
      <c r="B1239" s="44" t="s">
        <v>3725</v>
      </c>
      <c r="C1239" s="45" t="s">
        <v>3726</v>
      </c>
      <c r="D1239" s="46" t="s">
        <v>2804</v>
      </c>
      <c r="E1239" s="47" t="s">
        <v>102</v>
      </c>
      <c r="F1239" s="46" t="s">
        <v>102</v>
      </c>
      <c r="G1239" s="47" t="s">
        <v>102</v>
      </c>
      <c r="H1239" s="48">
        <v>0</v>
      </c>
      <c r="I1239" s="48">
        <v>0</v>
      </c>
      <c r="J1239" s="47" t="s">
        <v>3696</v>
      </c>
      <c r="K1239" s="49">
        <v>1</v>
      </c>
      <c r="L1239" s="49" t="s">
        <v>116</v>
      </c>
      <c r="M1239" s="46" t="s">
        <v>117</v>
      </c>
      <c r="N1239" s="50">
        <v>0</v>
      </c>
      <c r="O1239" s="50">
        <v>0</v>
      </c>
      <c r="P1239" s="50">
        <v>0</v>
      </c>
      <c r="Q1239" s="46" t="s">
        <v>102</v>
      </c>
      <c r="R1239" s="46" t="s">
        <v>102</v>
      </c>
      <c r="S1239" s="46" t="s">
        <v>102</v>
      </c>
      <c r="T1239" s="46" t="s">
        <v>455</v>
      </c>
      <c r="U1239" s="51">
        <v>4</v>
      </c>
    </row>
    <row r="1240" spans="2:21" ht="14.5" outlineLevel="3">
      <c r="B1240" s="44" t="s">
        <v>3727</v>
      </c>
      <c r="C1240" s="45" t="s">
        <v>3728</v>
      </c>
      <c r="D1240" s="46" t="s">
        <v>2804</v>
      </c>
      <c r="E1240" s="47" t="s">
        <v>102</v>
      </c>
      <c r="F1240" s="46" t="s">
        <v>102</v>
      </c>
      <c r="G1240" s="47" t="s">
        <v>102</v>
      </c>
      <c r="H1240" s="48">
        <v>0</v>
      </c>
      <c r="I1240" s="48">
        <v>0</v>
      </c>
      <c r="J1240" s="47" t="s">
        <v>3696</v>
      </c>
      <c r="K1240" s="49">
        <v>1</v>
      </c>
      <c r="L1240" s="49" t="s">
        <v>116</v>
      </c>
      <c r="M1240" s="46" t="s">
        <v>117</v>
      </c>
      <c r="N1240" s="50">
        <v>0</v>
      </c>
      <c r="O1240" s="50">
        <v>0</v>
      </c>
      <c r="P1240" s="50">
        <v>0</v>
      </c>
      <c r="Q1240" s="46" t="s">
        <v>102</v>
      </c>
      <c r="R1240" s="46" t="s">
        <v>102</v>
      </c>
      <c r="S1240" s="46" t="s">
        <v>102</v>
      </c>
      <c r="T1240" s="46" t="s">
        <v>3729</v>
      </c>
      <c r="U1240" s="51">
        <v>4</v>
      </c>
    </row>
    <row r="1241" spans="2:21" ht="14.5" outlineLevel="3">
      <c r="B1241" s="44" t="s">
        <v>3730</v>
      </c>
      <c r="C1241" s="45" t="s">
        <v>3731</v>
      </c>
      <c r="D1241" s="46" t="s">
        <v>2804</v>
      </c>
      <c r="E1241" s="47" t="s">
        <v>102</v>
      </c>
      <c r="F1241" s="46" t="s">
        <v>102</v>
      </c>
      <c r="G1241" s="47" t="s">
        <v>102</v>
      </c>
      <c r="H1241" s="48">
        <v>0</v>
      </c>
      <c r="I1241" s="48">
        <v>0</v>
      </c>
      <c r="J1241" s="47" t="s">
        <v>3696</v>
      </c>
      <c r="K1241" s="49">
        <v>1</v>
      </c>
      <c r="L1241" s="49" t="s">
        <v>116</v>
      </c>
      <c r="M1241" s="46" t="s">
        <v>117</v>
      </c>
      <c r="N1241" s="50">
        <v>0</v>
      </c>
      <c r="O1241" s="50">
        <v>0</v>
      </c>
      <c r="P1241" s="50">
        <v>0</v>
      </c>
      <c r="Q1241" s="46" t="s">
        <v>102</v>
      </c>
      <c r="R1241" s="46" t="s">
        <v>102</v>
      </c>
      <c r="S1241" s="46" t="s">
        <v>102</v>
      </c>
      <c r="T1241" s="46" t="s">
        <v>2904</v>
      </c>
      <c r="U1241" s="51">
        <v>4</v>
      </c>
    </row>
    <row r="1242" spans="2:21" ht="14.5" outlineLevel="3">
      <c r="B1242" s="44" t="s">
        <v>3732</v>
      </c>
      <c r="C1242" s="45" t="s">
        <v>3733</v>
      </c>
      <c r="D1242" s="46" t="s">
        <v>2804</v>
      </c>
      <c r="E1242" s="47" t="s">
        <v>102</v>
      </c>
      <c r="F1242" s="46" t="s">
        <v>102</v>
      </c>
      <c r="G1242" s="47" t="s">
        <v>102</v>
      </c>
      <c r="H1242" s="48">
        <v>0</v>
      </c>
      <c r="I1242" s="48">
        <v>0</v>
      </c>
      <c r="J1242" s="47" t="s">
        <v>3696</v>
      </c>
      <c r="K1242" s="49">
        <v>1</v>
      </c>
      <c r="L1242" s="49" t="s">
        <v>116</v>
      </c>
      <c r="M1242" s="46" t="s">
        <v>117</v>
      </c>
      <c r="N1242" s="50">
        <v>0</v>
      </c>
      <c r="O1242" s="50">
        <v>0</v>
      </c>
      <c r="P1242" s="50">
        <v>0</v>
      </c>
      <c r="Q1242" s="46" t="s">
        <v>102</v>
      </c>
      <c r="R1242" s="46" t="s">
        <v>102</v>
      </c>
      <c r="S1242" s="46" t="s">
        <v>102</v>
      </c>
      <c r="T1242" s="46" t="s">
        <v>995</v>
      </c>
      <c r="U1242" s="51">
        <v>4</v>
      </c>
    </row>
    <row r="1243" spans="2:21" ht="14.5" outlineLevel="3">
      <c r="B1243" s="44" t="s">
        <v>3734</v>
      </c>
      <c r="C1243" s="45" t="s">
        <v>3735</v>
      </c>
      <c r="D1243" s="46" t="s">
        <v>2804</v>
      </c>
      <c r="E1243" s="47" t="s">
        <v>102</v>
      </c>
      <c r="F1243" s="46" t="s">
        <v>102</v>
      </c>
      <c r="G1243" s="47" t="s">
        <v>102</v>
      </c>
      <c r="H1243" s="48">
        <v>0</v>
      </c>
      <c r="I1243" s="48">
        <v>0</v>
      </c>
      <c r="J1243" s="47" t="s">
        <v>3696</v>
      </c>
      <c r="K1243" s="49">
        <v>1</v>
      </c>
      <c r="L1243" s="49" t="s">
        <v>116</v>
      </c>
      <c r="M1243" s="46" t="s">
        <v>117</v>
      </c>
      <c r="N1243" s="50">
        <v>0</v>
      </c>
      <c r="O1243" s="50">
        <v>0</v>
      </c>
      <c r="P1243" s="50">
        <v>0</v>
      </c>
      <c r="Q1243" s="46" t="s">
        <v>102</v>
      </c>
      <c r="R1243" s="46" t="s">
        <v>102</v>
      </c>
      <c r="S1243" s="46" t="s">
        <v>102</v>
      </c>
      <c r="T1243" s="46" t="s">
        <v>999</v>
      </c>
      <c r="U1243" s="51">
        <v>4</v>
      </c>
    </row>
    <row r="1244" spans="2:21" ht="14.5" outlineLevel="3">
      <c r="B1244" s="44" t="s">
        <v>3736</v>
      </c>
      <c r="C1244" s="45" t="s">
        <v>3737</v>
      </c>
      <c r="D1244" s="46" t="s">
        <v>2804</v>
      </c>
      <c r="E1244" s="47" t="s">
        <v>102</v>
      </c>
      <c r="F1244" s="46" t="s">
        <v>102</v>
      </c>
      <c r="G1244" s="47" t="s">
        <v>102</v>
      </c>
      <c r="H1244" s="48">
        <v>0</v>
      </c>
      <c r="I1244" s="48">
        <v>0</v>
      </c>
      <c r="J1244" s="47" t="s">
        <v>3696</v>
      </c>
      <c r="K1244" s="49">
        <v>1</v>
      </c>
      <c r="L1244" s="49" t="s">
        <v>116</v>
      </c>
      <c r="M1244" s="46" t="s">
        <v>117</v>
      </c>
      <c r="N1244" s="50">
        <v>0</v>
      </c>
      <c r="O1244" s="50">
        <v>0</v>
      </c>
      <c r="P1244" s="50">
        <v>0</v>
      </c>
      <c r="Q1244" s="46" t="s">
        <v>102</v>
      </c>
      <c r="R1244" s="46" t="s">
        <v>102</v>
      </c>
      <c r="S1244" s="46" t="s">
        <v>102</v>
      </c>
      <c r="T1244" s="46" t="s">
        <v>1019</v>
      </c>
      <c r="U1244" s="51">
        <v>4</v>
      </c>
    </row>
    <row r="1245" spans="2:21" ht="14.5" outlineLevel="3">
      <c r="B1245" s="44" t="s">
        <v>3738</v>
      </c>
      <c r="C1245" s="45" t="s">
        <v>3739</v>
      </c>
      <c r="D1245" s="46" t="s">
        <v>2804</v>
      </c>
      <c r="E1245" s="47" t="s">
        <v>102</v>
      </c>
      <c r="F1245" s="46" t="s">
        <v>102</v>
      </c>
      <c r="G1245" s="47" t="s">
        <v>102</v>
      </c>
      <c r="H1245" s="48">
        <v>0</v>
      </c>
      <c r="I1245" s="48">
        <v>0</v>
      </c>
      <c r="J1245" s="47" t="s">
        <v>3696</v>
      </c>
      <c r="K1245" s="49">
        <v>1</v>
      </c>
      <c r="L1245" s="49" t="s">
        <v>116</v>
      </c>
      <c r="M1245" s="46" t="s">
        <v>117</v>
      </c>
      <c r="N1245" s="50">
        <v>0</v>
      </c>
      <c r="O1245" s="50">
        <v>0</v>
      </c>
      <c r="P1245" s="50">
        <v>0</v>
      </c>
      <c r="Q1245" s="46" t="s">
        <v>102</v>
      </c>
      <c r="R1245" s="46" t="s">
        <v>102</v>
      </c>
      <c r="S1245" s="46" t="s">
        <v>102</v>
      </c>
      <c r="T1245" s="46" t="s">
        <v>2781</v>
      </c>
      <c r="U1245" s="51">
        <v>4</v>
      </c>
    </row>
    <row r="1246" spans="2:21" ht="14.5" outlineLevel="3">
      <c r="B1246" s="44" t="s">
        <v>3740</v>
      </c>
      <c r="C1246" s="45" t="s">
        <v>3741</v>
      </c>
      <c r="D1246" s="46" t="s">
        <v>2804</v>
      </c>
      <c r="E1246" s="47" t="s">
        <v>102</v>
      </c>
      <c r="F1246" s="46" t="s">
        <v>102</v>
      </c>
      <c r="G1246" s="47" t="s">
        <v>102</v>
      </c>
      <c r="H1246" s="48">
        <v>0</v>
      </c>
      <c r="I1246" s="48">
        <v>0</v>
      </c>
      <c r="J1246" s="47" t="s">
        <v>3696</v>
      </c>
      <c r="K1246" s="49">
        <v>1</v>
      </c>
      <c r="L1246" s="49" t="s">
        <v>116</v>
      </c>
      <c r="M1246" s="46" t="s">
        <v>117</v>
      </c>
      <c r="N1246" s="50">
        <v>0</v>
      </c>
      <c r="O1246" s="50">
        <v>0</v>
      </c>
      <c r="P1246" s="50">
        <v>0</v>
      </c>
      <c r="Q1246" s="46" t="s">
        <v>102</v>
      </c>
      <c r="R1246" s="46" t="s">
        <v>102</v>
      </c>
      <c r="S1246" s="46" t="s">
        <v>102</v>
      </c>
      <c r="T1246" s="46" t="s">
        <v>2784</v>
      </c>
      <c r="U1246" s="51">
        <v>4</v>
      </c>
    </row>
    <row r="1247" spans="2:21" ht="14.5" outlineLevel="3">
      <c r="B1247" s="44" t="s">
        <v>3742</v>
      </c>
      <c r="C1247" s="45" t="s">
        <v>3743</v>
      </c>
      <c r="D1247" s="46" t="s">
        <v>2804</v>
      </c>
      <c r="E1247" s="47" t="s">
        <v>102</v>
      </c>
      <c r="F1247" s="46" t="s">
        <v>102</v>
      </c>
      <c r="G1247" s="47" t="s">
        <v>102</v>
      </c>
      <c r="H1247" s="48">
        <v>0</v>
      </c>
      <c r="I1247" s="48">
        <v>0</v>
      </c>
      <c r="J1247" s="47" t="s">
        <v>3696</v>
      </c>
      <c r="K1247" s="49">
        <v>1</v>
      </c>
      <c r="L1247" s="49" t="s">
        <v>116</v>
      </c>
      <c r="M1247" s="46" t="s">
        <v>117</v>
      </c>
      <c r="N1247" s="50">
        <v>0</v>
      </c>
      <c r="O1247" s="50">
        <v>0</v>
      </c>
      <c r="P1247" s="50">
        <v>0</v>
      </c>
      <c r="Q1247" s="46" t="s">
        <v>102</v>
      </c>
      <c r="R1247" s="46" t="s">
        <v>102</v>
      </c>
      <c r="S1247" s="46" t="s">
        <v>102</v>
      </c>
      <c r="T1247" s="46" t="s">
        <v>2787</v>
      </c>
      <c r="U1247" s="51">
        <v>4</v>
      </c>
    </row>
    <row r="1248" spans="2:21" ht="14.5" outlineLevel="3">
      <c r="B1248" s="44" t="s">
        <v>3744</v>
      </c>
      <c r="C1248" s="45" t="s">
        <v>3745</v>
      </c>
      <c r="D1248" s="46" t="s">
        <v>2804</v>
      </c>
      <c r="E1248" s="47" t="s">
        <v>102</v>
      </c>
      <c r="F1248" s="46" t="s">
        <v>102</v>
      </c>
      <c r="G1248" s="47" t="s">
        <v>102</v>
      </c>
      <c r="H1248" s="48">
        <v>0</v>
      </c>
      <c r="I1248" s="48">
        <v>0</v>
      </c>
      <c r="J1248" s="47" t="s">
        <v>3696</v>
      </c>
      <c r="K1248" s="49">
        <v>1</v>
      </c>
      <c r="L1248" s="49" t="s">
        <v>116</v>
      </c>
      <c r="M1248" s="46" t="s">
        <v>117</v>
      </c>
      <c r="N1248" s="50">
        <v>0</v>
      </c>
      <c r="O1248" s="50">
        <v>0</v>
      </c>
      <c r="P1248" s="50">
        <v>0</v>
      </c>
      <c r="Q1248" s="46" t="s">
        <v>102</v>
      </c>
      <c r="R1248" s="46" t="s">
        <v>102</v>
      </c>
      <c r="S1248" s="46" t="s">
        <v>102</v>
      </c>
      <c r="T1248" s="46" t="s">
        <v>3746</v>
      </c>
      <c r="U1248" s="51">
        <v>4</v>
      </c>
    </row>
    <row r="1249" spans="2:21" ht="14.5" outlineLevel="3">
      <c r="B1249" s="44" t="s">
        <v>3747</v>
      </c>
      <c r="C1249" s="45" t="s">
        <v>3748</v>
      </c>
      <c r="D1249" s="46" t="s">
        <v>2804</v>
      </c>
      <c r="E1249" s="47" t="s">
        <v>102</v>
      </c>
      <c r="F1249" s="46" t="s">
        <v>102</v>
      </c>
      <c r="G1249" s="47" t="s">
        <v>102</v>
      </c>
      <c r="H1249" s="48">
        <v>0</v>
      </c>
      <c r="I1249" s="48">
        <v>0</v>
      </c>
      <c r="J1249" s="47" t="s">
        <v>3696</v>
      </c>
      <c r="K1249" s="49">
        <v>1</v>
      </c>
      <c r="L1249" s="49" t="s">
        <v>116</v>
      </c>
      <c r="M1249" s="46" t="s">
        <v>117</v>
      </c>
      <c r="N1249" s="50">
        <v>0</v>
      </c>
      <c r="O1249" s="50">
        <v>0</v>
      </c>
      <c r="P1249" s="50">
        <v>0</v>
      </c>
      <c r="Q1249" s="46" t="s">
        <v>102</v>
      </c>
      <c r="R1249" s="46" t="s">
        <v>102</v>
      </c>
      <c r="S1249" s="46" t="s">
        <v>102</v>
      </c>
      <c r="T1249" s="46" t="s">
        <v>466</v>
      </c>
      <c r="U1249" s="51">
        <v>4</v>
      </c>
    </row>
    <row r="1250" spans="2:21" ht="14.5" outlineLevel="3">
      <c r="B1250" s="44" t="s">
        <v>3749</v>
      </c>
      <c r="C1250" s="45" t="s">
        <v>3750</v>
      </c>
      <c r="D1250" s="46" t="s">
        <v>2804</v>
      </c>
      <c r="E1250" s="47" t="s">
        <v>102</v>
      </c>
      <c r="F1250" s="46" t="s">
        <v>102</v>
      </c>
      <c r="G1250" s="47" t="s">
        <v>102</v>
      </c>
      <c r="H1250" s="48">
        <v>0</v>
      </c>
      <c r="I1250" s="48">
        <v>0</v>
      </c>
      <c r="J1250" s="47" t="s">
        <v>3696</v>
      </c>
      <c r="K1250" s="49">
        <v>1</v>
      </c>
      <c r="L1250" s="49" t="s">
        <v>116</v>
      </c>
      <c r="M1250" s="46" t="s">
        <v>117</v>
      </c>
      <c r="N1250" s="50">
        <v>0</v>
      </c>
      <c r="O1250" s="50">
        <v>0</v>
      </c>
      <c r="P1250" s="50">
        <v>0</v>
      </c>
      <c r="Q1250" s="46" t="s">
        <v>102</v>
      </c>
      <c r="R1250" s="46" t="s">
        <v>102</v>
      </c>
      <c r="S1250" s="46" t="s">
        <v>102</v>
      </c>
      <c r="T1250" s="46" t="s">
        <v>472</v>
      </c>
      <c r="U1250" s="51">
        <v>4</v>
      </c>
    </row>
    <row r="1251" spans="2:21" ht="14.5" outlineLevel="3">
      <c r="B1251" s="44" t="s">
        <v>3751</v>
      </c>
      <c r="C1251" s="45" t="s">
        <v>3752</v>
      </c>
      <c r="D1251" s="46" t="s">
        <v>2804</v>
      </c>
      <c r="E1251" s="47" t="s">
        <v>102</v>
      </c>
      <c r="F1251" s="46" t="s">
        <v>102</v>
      </c>
      <c r="G1251" s="47" t="s">
        <v>102</v>
      </c>
      <c r="H1251" s="48">
        <v>0</v>
      </c>
      <c r="I1251" s="48">
        <v>0</v>
      </c>
      <c r="J1251" s="47" t="s">
        <v>3696</v>
      </c>
      <c r="K1251" s="49">
        <v>1</v>
      </c>
      <c r="L1251" s="49" t="s">
        <v>116</v>
      </c>
      <c r="M1251" s="46" t="s">
        <v>117</v>
      </c>
      <c r="N1251" s="50">
        <v>0</v>
      </c>
      <c r="O1251" s="50">
        <v>0</v>
      </c>
      <c r="P1251" s="50">
        <v>0</v>
      </c>
      <c r="Q1251" s="46" t="s">
        <v>102</v>
      </c>
      <c r="R1251" s="46" t="s">
        <v>102</v>
      </c>
      <c r="S1251" s="46" t="s">
        <v>102</v>
      </c>
      <c r="T1251" s="46" t="s">
        <v>477</v>
      </c>
      <c r="U1251" s="51">
        <v>4</v>
      </c>
    </row>
    <row r="1252" spans="2:21" ht="14.5" outlineLevel="3">
      <c r="B1252" s="44" t="s">
        <v>3753</v>
      </c>
      <c r="C1252" s="45" t="s">
        <v>3754</v>
      </c>
      <c r="D1252" s="46" t="s">
        <v>2804</v>
      </c>
      <c r="E1252" s="47" t="s">
        <v>102</v>
      </c>
      <c r="F1252" s="46" t="s">
        <v>102</v>
      </c>
      <c r="G1252" s="47" t="s">
        <v>102</v>
      </c>
      <c r="H1252" s="48">
        <v>0</v>
      </c>
      <c r="I1252" s="48">
        <v>0</v>
      </c>
      <c r="J1252" s="47" t="s">
        <v>3696</v>
      </c>
      <c r="K1252" s="49">
        <v>1</v>
      </c>
      <c r="L1252" s="49" t="s">
        <v>116</v>
      </c>
      <c r="M1252" s="46" t="s">
        <v>117</v>
      </c>
      <c r="N1252" s="50">
        <v>0</v>
      </c>
      <c r="O1252" s="50">
        <v>0</v>
      </c>
      <c r="P1252" s="50">
        <v>0</v>
      </c>
      <c r="Q1252" s="46" t="s">
        <v>102</v>
      </c>
      <c r="R1252" s="46" t="s">
        <v>102</v>
      </c>
      <c r="S1252" s="46" t="s">
        <v>102</v>
      </c>
      <c r="T1252" s="46" t="s">
        <v>482</v>
      </c>
      <c r="U1252" s="51">
        <v>4</v>
      </c>
    </row>
    <row r="1253" spans="2:21" ht="14.5" outlineLevel="3">
      <c r="B1253" s="44" t="s">
        <v>3755</v>
      </c>
      <c r="C1253" s="45" t="s">
        <v>3756</v>
      </c>
      <c r="D1253" s="46" t="s">
        <v>2804</v>
      </c>
      <c r="E1253" s="47" t="s">
        <v>102</v>
      </c>
      <c r="F1253" s="46" t="s">
        <v>102</v>
      </c>
      <c r="G1253" s="47" t="s">
        <v>102</v>
      </c>
      <c r="H1253" s="48">
        <v>0</v>
      </c>
      <c r="I1253" s="48">
        <v>0</v>
      </c>
      <c r="J1253" s="47" t="s">
        <v>3696</v>
      </c>
      <c r="K1253" s="49">
        <v>1</v>
      </c>
      <c r="L1253" s="49" t="s">
        <v>116</v>
      </c>
      <c r="M1253" s="46" t="s">
        <v>117</v>
      </c>
      <c r="N1253" s="50">
        <v>0</v>
      </c>
      <c r="O1253" s="50">
        <v>0</v>
      </c>
      <c r="P1253" s="50">
        <v>0</v>
      </c>
      <c r="Q1253" s="46" t="s">
        <v>102</v>
      </c>
      <c r="R1253" s="46" t="s">
        <v>102</v>
      </c>
      <c r="S1253" s="46" t="s">
        <v>102</v>
      </c>
      <c r="T1253" s="46" t="s">
        <v>487</v>
      </c>
      <c r="U1253" s="51">
        <v>4</v>
      </c>
    </row>
    <row r="1254" spans="2:21" ht="14.5" outlineLevel="3">
      <c r="B1254" s="44" t="s">
        <v>3757</v>
      </c>
      <c r="C1254" s="45" t="s">
        <v>3758</v>
      </c>
      <c r="D1254" s="46" t="s">
        <v>2804</v>
      </c>
      <c r="E1254" s="47" t="s">
        <v>102</v>
      </c>
      <c r="F1254" s="46" t="s">
        <v>102</v>
      </c>
      <c r="G1254" s="47" t="s">
        <v>102</v>
      </c>
      <c r="H1254" s="48">
        <v>0</v>
      </c>
      <c r="I1254" s="48">
        <v>0</v>
      </c>
      <c r="J1254" s="47" t="s">
        <v>3696</v>
      </c>
      <c r="K1254" s="49">
        <v>1</v>
      </c>
      <c r="L1254" s="49" t="s">
        <v>116</v>
      </c>
      <c r="M1254" s="46" t="s">
        <v>117</v>
      </c>
      <c r="N1254" s="50">
        <v>0</v>
      </c>
      <c r="O1254" s="50">
        <v>0</v>
      </c>
      <c r="P1254" s="50">
        <v>0</v>
      </c>
      <c r="Q1254" s="46" t="s">
        <v>102</v>
      </c>
      <c r="R1254" s="46" t="s">
        <v>102</v>
      </c>
      <c r="S1254" s="46" t="s">
        <v>102</v>
      </c>
      <c r="T1254" s="46" t="s">
        <v>3056</v>
      </c>
      <c r="U1254" s="51">
        <v>4</v>
      </c>
    </row>
    <row r="1255" spans="2:21" ht="14.5" outlineLevel="3">
      <c r="B1255" s="44" t="s">
        <v>3759</v>
      </c>
      <c r="C1255" s="45" t="s">
        <v>3760</v>
      </c>
      <c r="D1255" s="46" t="s">
        <v>2804</v>
      </c>
      <c r="E1255" s="47" t="s">
        <v>102</v>
      </c>
      <c r="F1255" s="46" t="s">
        <v>102</v>
      </c>
      <c r="G1255" s="47" t="s">
        <v>102</v>
      </c>
      <c r="H1255" s="48">
        <v>0</v>
      </c>
      <c r="I1255" s="48">
        <v>0</v>
      </c>
      <c r="J1255" s="47" t="s">
        <v>3696</v>
      </c>
      <c r="K1255" s="49">
        <v>1</v>
      </c>
      <c r="L1255" s="49" t="s">
        <v>116</v>
      </c>
      <c r="M1255" s="46" t="s">
        <v>117</v>
      </c>
      <c r="N1255" s="50">
        <v>0</v>
      </c>
      <c r="O1255" s="50">
        <v>0</v>
      </c>
      <c r="P1255" s="50">
        <v>0</v>
      </c>
      <c r="Q1255" s="46" t="s">
        <v>102</v>
      </c>
      <c r="R1255" s="46" t="s">
        <v>102</v>
      </c>
      <c r="S1255" s="46" t="s">
        <v>102</v>
      </c>
      <c r="T1255" s="46" t="s">
        <v>3059</v>
      </c>
      <c r="U1255" s="51">
        <v>4</v>
      </c>
    </row>
    <row r="1256" spans="2:21" ht="14.5" outlineLevel="3">
      <c r="B1256" s="44" t="s">
        <v>3761</v>
      </c>
      <c r="C1256" s="45" t="s">
        <v>3762</v>
      </c>
      <c r="D1256" s="46" t="s">
        <v>2804</v>
      </c>
      <c r="E1256" s="47" t="s">
        <v>102</v>
      </c>
      <c r="F1256" s="46" t="s">
        <v>102</v>
      </c>
      <c r="G1256" s="47" t="s">
        <v>102</v>
      </c>
      <c r="H1256" s="48">
        <v>0</v>
      </c>
      <c r="I1256" s="48">
        <v>0</v>
      </c>
      <c r="J1256" s="47" t="s">
        <v>3696</v>
      </c>
      <c r="K1256" s="49">
        <v>1</v>
      </c>
      <c r="L1256" s="49" t="s">
        <v>116</v>
      </c>
      <c r="M1256" s="46" t="s">
        <v>117</v>
      </c>
      <c r="N1256" s="50">
        <v>0</v>
      </c>
      <c r="O1256" s="50">
        <v>0</v>
      </c>
      <c r="P1256" s="50">
        <v>0</v>
      </c>
      <c r="Q1256" s="46" t="s">
        <v>102</v>
      </c>
      <c r="R1256" s="46" t="s">
        <v>102</v>
      </c>
      <c r="S1256" s="46" t="s">
        <v>102</v>
      </c>
      <c r="T1256" s="46" t="s">
        <v>2828</v>
      </c>
      <c r="U1256" s="51">
        <v>4</v>
      </c>
    </row>
    <row r="1257" spans="2:21" ht="14.5" outlineLevel="3">
      <c r="B1257" s="44" t="s">
        <v>3763</v>
      </c>
      <c r="C1257" s="45" t="s">
        <v>3764</v>
      </c>
      <c r="D1257" s="46" t="s">
        <v>2804</v>
      </c>
      <c r="E1257" s="47" t="s">
        <v>102</v>
      </c>
      <c r="F1257" s="46" t="s">
        <v>102</v>
      </c>
      <c r="G1257" s="47" t="s">
        <v>102</v>
      </c>
      <c r="H1257" s="48">
        <v>0</v>
      </c>
      <c r="I1257" s="48">
        <v>0</v>
      </c>
      <c r="J1257" s="47" t="s">
        <v>3696</v>
      </c>
      <c r="K1257" s="49">
        <v>1</v>
      </c>
      <c r="L1257" s="49" t="s">
        <v>116</v>
      </c>
      <c r="M1257" s="46" t="s">
        <v>117</v>
      </c>
      <c r="N1257" s="50">
        <v>0</v>
      </c>
      <c r="O1257" s="50">
        <v>0</v>
      </c>
      <c r="P1257" s="50">
        <v>0</v>
      </c>
      <c r="Q1257" s="46" t="s">
        <v>102</v>
      </c>
      <c r="R1257" s="46" t="s">
        <v>102</v>
      </c>
      <c r="S1257" s="46" t="s">
        <v>102</v>
      </c>
      <c r="T1257" s="46" t="s">
        <v>3495</v>
      </c>
      <c r="U1257" s="51">
        <v>4</v>
      </c>
    </row>
    <row r="1258" spans="2:21" ht="14.5" outlineLevel="3">
      <c r="B1258" s="44" t="s">
        <v>3765</v>
      </c>
      <c r="C1258" s="45" t="s">
        <v>3766</v>
      </c>
      <c r="D1258" s="46" t="s">
        <v>2804</v>
      </c>
      <c r="E1258" s="47" t="s">
        <v>102</v>
      </c>
      <c r="F1258" s="46" t="s">
        <v>102</v>
      </c>
      <c r="G1258" s="47" t="s">
        <v>102</v>
      </c>
      <c r="H1258" s="48">
        <v>0</v>
      </c>
      <c r="I1258" s="48">
        <v>0</v>
      </c>
      <c r="J1258" s="47" t="s">
        <v>3696</v>
      </c>
      <c r="K1258" s="49">
        <v>1</v>
      </c>
      <c r="L1258" s="49" t="s">
        <v>116</v>
      </c>
      <c r="M1258" s="46" t="s">
        <v>117</v>
      </c>
      <c r="N1258" s="50">
        <v>0</v>
      </c>
      <c r="O1258" s="50">
        <v>0</v>
      </c>
      <c r="P1258" s="50">
        <v>0</v>
      </c>
      <c r="Q1258" s="46" t="s">
        <v>102</v>
      </c>
      <c r="R1258" s="46" t="s">
        <v>102</v>
      </c>
      <c r="S1258" s="46" t="s">
        <v>102</v>
      </c>
      <c r="T1258" s="46" t="s">
        <v>2773</v>
      </c>
      <c r="U1258" s="51">
        <v>4</v>
      </c>
    </row>
    <row r="1259" spans="2:21" ht="14.5" outlineLevel="3">
      <c r="B1259" s="44" t="s">
        <v>3767</v>
      </c>
      <c r="C1259" s="45" t="s">
        <v>3768</v>
      </c>
      <c r="D1259" s="46" t="s">
        <v>2804</v>
      </c>
      <c r="E1259" s="47" t="s">
        <v>102</v>
      </c>
      <c r="F1259" s="46" t="s">
        <v>102</v>
      </c>
      <c r="G1259" s="47" t="s">
        <v>102</v>
      </c>
      <c r="H1259" s="48">
        <v>0</v>
      </c>
      <c r="I1259" s="48">
        <v>0</v>
      </c>
      <c r="J1259" s="47" t="s">
        <v>3696</v>
      </c>
      <c r="K1259" s="49">
        <v>1</v>
      </c>
      <c r="L1259" s="49" t="s">
        <v>116</v>
      </c>
      <c r="M1259" s="46" t="s">
        <v>117</v>
      </c>
      <c r="N1259" s="50">
        <v>0</v>
      </c>
      <c r="O1259" s="50">
        <v>0</v>
      </c>
      <c r="P1259" s="50">
        <v>0</v>
      </c>
      <c r="Q1259" s="46" t="s">
        <v>102</v>
      </c>
      <c r="R1259" s="46" t="s">
        <v>102</v>
      </c>
      <c r="S1259" s="46" t="s">
        <v>102</v>
      </c>
      <c r="T1259" s="46" t="s">
        <v>2666</v>
      </c>
      <c r="U1259" s="51">
        <v>4</v>
      </c>
    </row>
    <row r="1260" spans="2:21" ht="14.5" outlineLevel="3">
      <c r="B1260" s="44" t="s">
        <v>3769</v>
      </c>
      <c r="C1260" s="45" t="s">
        <v>3770</v>
      </c>
      <c r="D1260" s="46" t="s">
        <v>2804</v>
      </c>
      <c r="E1260" s="47" t="s">
        <v>102</v>
      </c>
      <c r="F1260" s="46" t="s">
        <v>102</v>
      </c>
      <c r="G1260" s="47" t="s">
        <v>102</v>
      </c>
      <c r="H1260" s="48">
        <v>0</v>
      </c>
      <c r="I1260" s="48">
        <v>0</v>
      </c>
      <c r="J1260" s="47" t="s">
        <v>3696</v>
      </c>
      <c r="K1260" s="49">
        <v>1</v>
      </c>
      <c r="L1260" s="49" t="s">
        <v>116</v>
      </c>
      <c r="M1260" s="46" t="s">
        <v>117</v>
      </c>
      <c r="N1260" s="50">
        <v>0</v>
      </c>
      <c r="O1260" s="50">
        <v>0</v>
      </c>
      <c r="P1260" s="50">
        <v>0</v>
      </c>
      <c r="Q1260" s="46" t="s">
        <v>102</v>
      </c>
      <c r="R1260" s="46" t="s">
        <v>102</v>
      </c>
      <c r="S1260" s="46" t="s">
        <v>102</v>
      </c>
      <c r="T1260" s="46" t="s">
        <v>3504</v>
      </c>
      <c r="U1260" s="51">
        <v>4</v>
      </c>
    </row>
    <row r="1261" spans="2:21" ht="14.5" outlineLevel="3">
      <c r="B1261" s="44" t="s">
        <v>3771</v>
      </c>
      <c r="C1261" s="45" t="s">
        <v>3772</v>
      </c>
      <c r="D1261" s="46" t="s">
        <v>2804</v>
      </c>
      <c r="E1261" s="47" t="s">
        <v>102</v>
      </c>
      <c r="F1261" s="46" t="s">
        <v>102</v>
      </c>
      <c r="G1261" s="47" t="s">
        <v>102</v>
      </c>
      <c r="H1261" s="48">
        <v>0</v>
      </c>
      <c r="I1261" s="48">
        <v>0</v>
      </c>
      <c r="J1261" s="47" t="s">
        <v>3696</v>
      </c>
      <c r="K1261" s="49">
        <v>1</v>
      </c>
      <c r="L1261" s="49" t="s">
        <v>116</v>
      </c>
      <c r="M1261" s="46" t="s">
        <v>117</v>
      </c>
      <c r="N1261" s="50">
        <v>0</v>
      </c>
      <c r="O1261" s="50">
        <v>0</v>
      </c>
      <c r="P1261" s="50">
        <v>0</v>
      </c>
      <c r="Q1261" s="46" t="s">
        <v>102</v>
      </c>
      <c r="R1261" s="46" t="s">
        <v>102</v>
      </c>
      <c r="S1261" s="46" t="s">
        <v>102</v>
      </c>
      <c r="T1261" s="46" t="s">
        <v>3773</v>
      </c>
      <c r="U1261" s="51">
        <v>4</v>
      </c>
    </row>
    <row r="1262" spans="2:21" ht="14.5" outlineLevel="3">
      <c r="B1262" s="44" t="s">
        <v>3774</v>
      </c>
      <c r="C1262" s="45" t="s">
        <v>3775</v>
      </c>
      <c r="D1262" s="46" t="s">
        <v>2804</v>
      </c>
      <c r="E1262" s="47" t="s">
        <v>102</v>
      </c>
      <c r="F1262" s="46" t="s">
        <v>102</v>
      </c>
      <c r="G1262" s="47" t="s">
        <v>102</v>
      </c>
      <c r="H1262" s="48">
        <v>0</v>
      </c>
      <c r="I1262" s="48">
        <v>0</v>
      </c>
      <c r="J1262" s="47" t="s">
        <v>3696</v>
      </c>
      <c r="K1262" s="49">
        <v>1</v>
      </c>
      <c r="L1262" s="49" t="s">
        <v>116</v>
      </c>
      <c r="M1262" s="46" t="s">
        <v>117</v>
      </c>
      <c r="N1262" s="50">
        <v>0</v>
      </c>
      <c r="O1262" s="50">
        <v>0</v>
      </c>
      <c r="P1262" s="50">
        <v>0</v>
      </c>
      <c r="Q1262" s="46" t="s">
        <v>102</v>
      </c>
      <c r="R1262" s="46" t="s">
        <v>102</v>
      </c>
      <c r="S1262" s="46" t="s">
        <v>102</v>
      </c>
      <c r="T1262" s="46" t="s">
        <v>3088</v>
      </c>
      <c r="U1262" s="51">
        <v>4</v>
      </c>
    </row>
    <row r="1263" spans="2:21" ht="14.5" outlineLevel="3">
      <c r="B1263" s="44" t="s">
        <v>3776</v>
      </c>
      <c r="C1263" s="45" t="s">
        <v>3777</v>
      </c>
      <c r="D1263" s="46" t="s">
        <v>2804</v>
      </c>
      <c r="E1263" s="47" t="s">
        <v>102</v>
      </c>
      <c r="F1263" s="46" t="s">
        <v>102</v>
      </c>
      <c r="G1263" s="47" t="s">
        <v>102</v>
      </c>
      <c r="H1263" s="48">
        <v>0</v>
      </c>
      <c r="I1263" s="48">
        <v>0</v>
      </c>
      <c r="J1263" s="47" t="s">
        <v>3696</v>
      </c>
      <c r="K1263" s="49">
        <v>1</v>
      </c>
      <c r="L1263" s="49" t="s">
        <v>116</v>
      </c>
      <c r="M1263" s="46" t="s">
        <v>117</v>
      </c>
      <c r="N1263" s="50">
        <v>0</v>
      </c>
      <c r="O1263" s="50">
        <v>0</v>
      </c>
      <c r="P1263" s="50">
        <v>0</v>
      </c>
      <c r="Q1263" s="46" t="s">
        <v>102</v>
      </c>
      <c r="R1263" s="46" t="s">
        <v>102</v>
      </c>
      <c r="S1263" s="46" t="s">
        <v>102</v>
      </c>
      <c r="T1263" s="46" t="s">
        <v>3091</v>
      </c>
      <c r="U1263" s="51">
        <v>4</v>
      </c>
    </row>
    <row r="1264" spans="2:21" ht="14.5" outlineLevel="2">
      <c r="B1264" s="36" t="s">
        <v>3778</v>
      </c>
      <c r="C1264" s="37" t="s">
        <v>3779</v>
      </c>
      <c r="D1264" s="38" t="s">
        <v>2804</v>
      </c>
      <c r="E1264" s="39" t="s">
        <v>102</v>
      </c>
      <c r="F1264" s="38" t="s">
        <v>102</v>
      </c>
      <c r="G1264" s="39" t="s">
        <v>102</v>
      </c>
      <c r="H1264" s="40">
        <v>0</v>
      </c>
      <c r="I1264" s="40">
        <v>0</v>
      </c>
      <c r="J1264" s="39" t="s">
        <v>3696</v>
      </c>
      <c r="K1264" s="41">
        <v>1</v>
      </c>
      <c r="L1264" s="41" t="s">
        <v>116</v>
      </c>
      <c r="M1264" s="38" t="s">
        <v>117</v>
      </c>
      <c r="N1264" s="42">
        <v>0</v>
      </c>
      <c r="O1264" s="42">
        <v>0</v>
      </c>
      <c r="P1264" s="42">
        <v>0</v>
      </c>
      <c r="Q1264" s="38" t="s">
        <v>102</v>
      </c>
      <c r="R1264" s="38" t="s">
        <v>102</v>
      </c>
      <c r="S1264" s="38" t="s">
        <v>102</v>
      </c>
      <c r="T1264" s="38" t="s">
        <v>3780</v>
      </c>
      <c r="U1264" s="43">
        <v>4</v>
      </c>
    </row>
    <row r="1265" spans="2:21" ht="14.5" outlineLevel="3">
      <c r="B1265" s="44" t="s">
        <v>3781</v>
      </c>
      <c r="C1265" s="45" t="s">
        <v>3782</v>
      </c>
      <c r="D1265" s="46" t="s">
        <v>2804</v>
      </c>
      <c r="E1265" s="47" t="s">
        <v>102</v>
      </c>
      <c r="F1265" s="46" t="s">
        <v>102</v>
      </c>
      <c r="G1265" s="47" t="s">
        <v>102</v>
      </c>
      <c r="H1265" s="48">
        <v>0</v>
      </c>
      <c r="I1265" s="48">
        <v>0</v>
      </c>
      <c r="J1265" s="47" t="s">
        <v>3696</v>
      </c>
      <c r="K1265" s="49">
        <v>1</v>
      </c>
      <c r="L1265" s="49" t="s">
        <v>116</v>
      </c>
      <c r="M1265" s="46" t="s">
        <v>117</v>
      </c>
      <c r="N1265" s="50">
        <v>0</v>
      </c>
      <c r="O1265" s="50">
        <v>0</v>
      </c>
      <c r="P1265" s="50">
        <v>0</v>
      </c>
      <c r="Q1265" s="46" t="s">
        <v>102</v>
      </c>
      <c r="R1265" s="46" t="s">
        <v>102</v>
      </c>
      <c r="S1265" s="46" t="s">
        <v>102</v>
      </c>
      <c r="T1265" s="46" t="s">
        <v>3783</v>
      </c>
      <c r="U1265" s="51">
        <v>4</v>
      </c>
    </row>
    <row r="1266" spans="2:21" ht="14.5" outlineLevel="3">
      <c r="B1266" s="44" t="s">
        <v>3784</v>
      </c>
      <c r="C1266" s="45" t="s">
        <v>3785</v>
      </c>
      <c r="D1266" s="46" t="s">
        <v>2804</v>
      </c>
      <c r="E1266" s="47" t="s">
        <v>102</v>
      </c>
      <c r="F1266" s="46" t="s">
        <v>102</v>
      </c>
      <c r="G1266" s="47" t="s">
        <v>102</v>
      </c>
      <c r="H1266" s="48">
        <v>0</v>
      </c>
      <c r="I1266" s="48">
        <v>0</v>
      </c>
      <c r="J1266" s="47" t="s">
        <v>3696</v>
      </c>
      <c r="K1266" s="49">
        <v>1</v>
      </c>
      <c r="L1266" s="49" t="s">
        <v>116</v>
      </c>
      <c r="M1266" s="46" t="s">
        <v>117</v>
      </c>
      <c r="N1266" s="50">
        <v>0</v>
      </c>
      <c r="O1266" s="50">
        <v>0</v>
      </c>
      <c r="P1266" s="50">
        <v>0</v>
      </c>
      <c r="Q1266" s="46" t="s">
        <v>102</v>
      </c>
      <c r="R1266" s="46" t="s">
        <v>102</v>
      </c>
      <c r="S1266" s="46" t="s">
        <v>102</v>
      </c>
      <c r="T1266" s="46" t="s">
        <v>3094</v>
      </c>
      <c r="U1266" s="51">
        <v>4</v>
      </c>
    </row>
    <row r="1267" spans="2:21" ht="14.5" outlineLevel="3">
      <c r="B1267" s="44" t="s">
        <v>3786</v>
      </c>
      <c r="C1267" s="45" t="s">
        <v>3787</v>
      </c>
      <c r="D1267" s="46" t="s">
        <v>2804</v>
      </c>
      <c r="E1267" s="47" t="s">
        <v>102</v>
      </c>
      <c r="F1267" s="46" t="s">
        <v>102</v>
      </c>
      <c r="G1267" s="47" t="s">
        <v>102</v>
      </c>
      <c r="H1267" s="48">
        <v>0</v>
      </c>
      <c r="I1267" s="48">
        <v>0</v>
      </c>
      <c r="J1267" s="47" t="s">
        <v>3788</v>
      </c>
      <c r="K1267" s="49">
        <v>1</v>
      </c>
      <c r="L1267" s="49" t="s">
        <v>116</v>
      </c>
      <c r="M1267" s="46" t="s">
        <v>117</v>
      </c>
      <c r="N1267" s="50">
        <v>0</v>
      </c>
      <c r="O1267" s="50">
        <v>0</v>
      </c>
      <c r="P1267" s="50">
        <v>0</v>
      </c>
      <c r="Q1267" s="46" t="s">
        <v>102</v>
      </c>
      <c r="R1267" s="46" t="s">
        <v>102</v>
      </c>
      <c r="S1267" s="46" t="s">
        <v>102</v>
      </c>
      <c r="T1267" s="46" t="s">
        <v>3789</v>
      </c>
      <c r="U1267" s="51">
        <v>4</v>
      </c>
    </row>
    <row r="1268" spans="2:21" ht="14.5" outlineLevel="3">
      <c r="B1268" s="44" t="s">
        <v>3790</v>
      </c>
      <c r="C1268" s="45" t="s">
        <v>3791</v>
      </c>
      <c r="D1268" s="46" t="s">
        <v>2804</v>
      </c>
      <c r="E1268" s="47" t="s">
        <v>102</v>
      </c>
      <c r="F1268" s="46" t="s">
        <v>102</v>
      </c>
      <c r="G1268" s="47" t="s">
        <v>102</v>
      </c>
      <c r="H1268" s="48">
        <v>0</v>
      </c>
      <c r="I1268" s="48">
        <v>0</v>
      </c>
      <c r="J1268" s="47" t="s">
        <v>3696</v>
      </c>
      <c r="K1268" s="49">
        <v>1</v>
      </c>
      <c r="L1268" s="49" t="s">
        <v>116</v>
      </c>
      <c r="M1268" s="46" t="s">
        <v>117</v>
      </c>
      <c r="N1268" s="50">
        <v>0</v>
      </c>
      <c r="O1268" s="50">
        <v>0</v>
      </c>
      <c r="P1268" s="50">
        <v>0</v>
      </c>
      <c r="Q1268" s="46" t="s">
        <v>102</v>
      </c>
      <c r="R1268" s="46" t="s">
        <v>102</v>
      </c>
      <c r="S1268" s="46" t="s">
        <v>102</v>
      </c>
      <c r="T1268" s="46" t="s">
        <v>3792</v>
      </c>
      <c r="U1268" s="51">
        <v>4</v>
      </c>
    </row>
    <row r="1269" spans="2:21" ht="14.5" outlineLevel="3">
      <c r="B1269" s="44" t="s">
        <v>3793</v>
      </c>
      <c r="C1269" s="45" t="s">
        <v>3794</v>
      </c>
      <c r="D1269" s="46" t="s">
        <v>392</v>
      </c>
      <c r="E1269" s="47" t="s">
        <v>102</v>
      </c>
      <c r="F1269" s="46" t="s">
        <v>102</v>
      </c>
      <c r="G1269" s="47" t="s">
        <v>102</v>
      </c>
      <c r="H1269" s="48">
        <v>0</v>
      </c>
      <c r="I1269" s="48">
        <v>0</v>
      </c>
      <c r="J1269" s="47" t="s">
        <v>3696</v>
      </c>
      <c r="K1269" s="49">
        <v>1</v>
      </c>
      <c r="L1269" s="49" t="s">
        <v>116</v>
      </c>
      <c r="M1269" s="46" t="s">
        <v>117</v>
      </c>
      <c r="N1269" s="50">
        <v>0</v>
      </c>
      <c r="O1269" s="50">
        <v>0</v>
      </c>
      <c r="P1269" s="50">
        <v>0</v>
      </c>
      <c r="Q1269" s="46" t="s">
        <v>102</v>
      </c>
      <c r="R1269" s="46" t="s">
        <v>102</v>
      </c>
      <c r="S1269" s="46" t="s">
        <v>102</v>
      </c>
      <c r="T1269" s="46" t="s">
        <v>3431</v>
      </c>
      <c r="U1269" s="51">
        <v>4</v>
      </c>
    </row>
    <row r="1270" spans="2:21" ht="14.5" outlineLevel="3">
      <c r="B1270" s="44" t="s">
        <v>3795</v>
      </c>
      <c r="C1270" s="45" t="s">
        <v>3796</v>
      </c>
      <c r="D1270" s="46" t="s">
        <v>102</v>
      </c>
      <c r="E1270" s="47" t="s">
        <v>102</v>
      </c>
      <c r="F1270" s="46" t="s">
        <v>102</v>
      </c>
      <c r="G1270" s="47" t="s">
        <v>102</v>
      </c>
      <c r="H1270" s="48">
        <v>0</v>
      </c>
      <c r="I1270" s="48">
        <v>0</v>
      </c>
      <c r="J1270" s="47" t="s">
        <v>102</v>
      </c>
      <c r="K1270" s="49">
        <v>0</v>
      </c>
      <c r="L1270" s="49" t="s">
        <v>102</v>
      </c>
      <c r="M1270" s="46" t="s">
        <v>102</v>
      </c>
      <c r="N1270" s="50">
        <v>0</v>
      </c>
      <c r="O1270" s="50">
        <v>0</v>
      </c>
      <c r="P1270" s="50">
        <v>0</v>
      </c>
      <c r="Q1270" s="46" t="s">
        <v>102</v>
      </c>
      <c r="R1270" s="46" t="s">
        <v>102</v>
      </c>
      <c r="S1270" s="46" t="s">
        <v>3797</v>
      </c>
      <c r="T1270" s="46" t="s">
        <v>102</v>
      </c>
      <c r="U1270" s="51">
        <v>3</v>
      </c>
    </row>
    <row r="1271" spans="2:21" ht="14.5" outlineLevel="3">
      <c r="B1271" s="44" t="s">
        <v>3798</v>
      </c>
      <c r="C1271" s="45" t="s">
        <v>3799</v>
      </c>
      <c r="D1271" s="46" t="s">
        <v>102</v>
      </c>
      <c r="E1271" s="47" t="s">
        <v>102</v>
      </c>
      <c r="F1271" s="46" t="s">
        <v>102</v>
      </c>
      <c r="G1271" s="47" t="s">
        <v>102</v>
      </c>
      <c r="H1271" s="48">
        <v>0</v>
      </c>
      <c r="I1271" s="48">
        <v>0</v>
      </c>
      <c r="J1271" s="47" t="s">
        <v>3691</v>
      </c>
      <c r="K1271" s="49">
        <v>0</v>
      </c>
      <c r="L1271" s="49" t="s">
        <v>116</v>
      </c>
      <c r="M1271" s="46" t="s">
        <v>117</v>
      </c>
      <c r="N1271" s="50">
        <v>0</v>
      </c>
      <c r="O1271" s="50">
        <v>0</v>
      </c>
      <c r="P1271" s="50">
        <v>0</v>
      </c>
      <c r="Q1271" s="46" t="s">
        <v>102</v>
      </c>
      <c r="R1271" s="46" t="s">
        <v>102</v>
      </c>
      <c r="S1271" s="46" t="s">
        <v>102</v>
      </c>
      <c r="T1271" s="46" t="s">
        <v>259</v>
      </c>
      <c r="U1271" s="51">
        <v>4</v>
      </c>
    </row>
    <row r="1272" spans="2:21" ht="14.5" outlineLevel="3">
      <c r="B1272" s="44" t="s">
        <v>3800</v>
      </c>
      <c r="C1272" s="45" t="s">
        <v>3801</v>
      </c>
      <c r="D1272" s="46" t="s">
        <v>102</v>
      </c>
      <c r="E1272" s="47" t="s">
        <v>102</v>
      </c>
      <c r="F1272" s="46" t="s">
        <v>102</v>
      </c>
      <c r="G1272" s="47" t="s">
        <v>102</v>
      </c>
      <c r="H1272" s="48">
        <v>0</v>
      </c>
      <c r="I1272" s="48">
        <v>0</v>
      </c>
      <c r="J1272" s="47" t="s">
        <v>3691</v>
      </c>
      <c r="K1272" s="49">
        <v>0</v>
      </c>
      <c r="L1272" s="49" t="s">
        <v>116</v>
      </c>
      <c r="M1272" s="46" t="s">
        <v>117</v>
      </c>
      <c r="N1272" s="50">
        <v>0</v>
      </c>
      <c r="O1272" s="50">
        <v>0</v>
      </c>
      <c r="P1272" s="50">
        <v>0</v>
      </c>
      <c r="Q1272" s="46" t="s">
        <v>102</v>
      </c>
      <c r="R1272" s="46" t="s">
        <v>102</v>
      </c>
      <c r="S1272" s="46" t="s">
        <v>102</v>
      </c>
      <c r="T1272" s="46" t="s">
        <v>418</v>
      </c>
      <c r="U1272" s="51">
        <v>4</v>
      </c>
    </row>
    <row r="1273" spans="2:21" ht="14.5" outlineLevel="3">
      <c r="B1273" s="44" t="s">
        <v>3802</v>
      </c>
      <c r="C1273" s="45" t="s">
        <v>3803</v>
      </c>
      <c r="D1273" s="46" t="s">
        <v>102</v>
      </c>
      <c r="E1273" s="47" t="s">
        <v>102</v>
      </c>
      <c r="F1273" s="46" t="s">
        <v>102</v>
      </c>
      <c r="G1273" s="47" t="s">
        <v>102</v>
      </c>
      <c r="H1273" s="48">
        <v>0</v>
      </c>
      <c r="I1273" s="48">
        <v>0</v>
      </c>
      <c r="J1273" s="47" t="s">
        <v>3696</v>
      </c>
      <c r="K1273" s="49">
        <v>0</v>
      </c>
      <c r="L1273" s="49" t="s">
        <v>116</v>
      </c>
      <c r="M1273" s="46" t="s">
        <v>117</v>
      </c>
      <c r="N1273" s="50">
        <v>0</v>
      </c>
      <c r="O1273" s="50">
        <v>0</v>
      </c>
      <c r="P1273" s="50">
        <v>0</v>
      </c>
      <c r="Q1273" s="46" t="s">
        <v>102</v>
      </c>
      <c r="R1273" s="46" t="s">
        <v>102</v>
      </c>
      <c r="S1273" s="46" t="s">
        <v>102</v>
      </c>
      <c r="T1273" s="46" t="s">
        <v>223</v>
      </c>
      <c r="U1273" s="51">
        <v>4</v>
      </c>
    </row>
    <row r="1274" spans="2:21" ht="14.5" outlineLevel="3">
      <c r="B1274" s="44" t="s">
        <v>3804</v>
      </c>
      <c r="C1274" s="45" t="s">
        <v>3805</v>
      </c>
      <c r="D1274" s="46" t="s">
        <v>102</v>
      </c>
      <c r="E1274" s="47" t="s">
        <v>102</v>
      </c>
      <c r="F1274" s="46" t="s">
        <v>102</v>
      </c>
      <c r="G1274" s="47" t="s">
        <v>102</v>
      </c>
      <c r="H1274" s="48">
        <v>0</v>
      </c>
      <c r="I1274" s="48">
        <v>0</v>
      </c>
      <c r="J1274" s="47" t="s">
        <v>3696</v>
      </c>
      <c r="K1274" s="49">
        <v>0</v>
      </c>
      <c r="L1274" s="49" t="s">
        <v>116</v>
      </c>
      <c r="M1274" s="46" t="s">
        <v>117</v>
      </c>
      <c r="N1274" s="50">
        <v>0</v>
      </c>
      <c r="O1274" s="50">
        <v>0</v>
      </c>
      <c r="P1274" s="50">
        <v>0</v>
      </c>
      <c r="Q1274" s="46" t="s">
        <v>102</v>
      </c>
      <c r="R1274" s="46" t="s">
        <v>102</v>
      </c>
      <c r="S1274" s="46" t="s">
        <v>102</v>
      </c>
      <c r="T1274" s="46" t="s">
        <v>736</v>
      </c>
      <c r="U1274" s="51">
        <v>4</v>
      </c>
    </row>
    <row r="1275" spans="2:21" ht="14.5" outlineLevel="3">
      <c r="B1275" s="44" t="s">
        <v>3806</v>
      </c>
      <c r="C1275" s="45" t="s">
        <v>3807</v>
      </c>
      <c r="D1275" s="46" t="s">
        <v>102</v>
      </c>
      <c r="E1275" s="47" t="s">
        <v>102</v>
      </c>
      <c r="F1275" s="46" t="s">
        <v>102</v>
      </c>
      <c r="G1275" s="47" t="s">
        <v>102</v>
      </c>
      <c r="H1275" s="48">
        <v>0</v>
      </c>
      <c r="I1275" s="48">
        <v>0</v>
      </c>
      <c r="J1275" s="47" t="s">
        <v>3696</v>
      </c>
      <c r="K1275" s="49">
        <v>0</v>
      </c>
      <c r="L1275" s="49" t="s">
        <v>116</v>
      </c>
      <c r="M1275" s="46" t="s">
        <v>117</v>
      </c>
      <c r="N1275" s="50">
        <v>0</v>
      </c>
      <c r="O1275" s="50">
        <v>0</v>
      </c>
      <c r="P1275" s="50">
        <v>0</v>
      </c>
      <c r="Q1275" s="46" t="s">
        <v>102</v>
      </c>
      <c r="R1275" s="46" t="s">
        <v>102</v>
      </c>
      <c r="S1275" s="46" t="s">
        <v>102</v>
      </c>
      <c r="T1275" s="46" t="s">
        <v>741</v>
      </c>
      <c r="U1275" s="51">
        <v>4</v>
      </c>
    </row>
    <row r="1276" spans="2:21" ht="14.5" outlineLevel="3">
      <c r="B1276" s="44" t="s">
        <v>3808</v>
      </c>
      <c r="C1276" s="45" t="s">
        <v>3809</v>
      </c>
      <c r="D1276" s="46" t="s">
        <v>102</v>
      </c>
      <c r="E1276" s="47" t="s">
        <v>102</v>
      </c>
      <c r="F1276" s="46" t="s">
        <v>102</v>
      </c>
      <c r="G1276" s="47" t="s">
        <v>102</v>
      </c>
      <c r="H1276" s="48">
        <v>0</v>
      </c>
      <c r="I1276" s="48">
        <v>0</v>
      </c>
      <c r="J1276" s="47" t="s">
        <v>3696</v>
      </c>
      <c r="K1276" s="49">
        <v>0</v>
      </c>
      <c r="L1276" s="49" t="s">
        <v>116</v>
      </c>
      <c r="M1276" s="46" t="s">
        <v>117</v>
      </c>
      <c r="N1276" s="50">
        <v>0</v>
      </c>
      <c r="O1276" s="50">
        <v>0</v>
      </c>
      <c r="P1276" s="50">
        <v>0</v>
      </c>
      <c r="Q1276" s="46" t="s">
        <v>102</v>
      </c>
      <c r="R1276" s="46" t="s">
        <v>102</v>
      </c>
      <c r="S1276" s="46" t="s">
        <v>102</v>
      </c>
      <c r="T1276" s="46" t="s">
        <v>243</v>
      </c>
      <c r="U1276" s="51">
        <v>4</v>
      </c>
    </row>
    <row r="1277" spans="2:21" ht="14.5" outlineLevel="3">
      <c r="B1277" s="44" t="s">
        <v>3810</v>
      </c>
      <c r="C1277" s="45" t="s">
        <v>3811</v>
      </c>
      <c r="D1277" s="46" t="s">
        <v>102</v>
      </c>
      <c r="E1277" s="47" t="s">
        <v>102</v>
      </c>
      <c r="F1277" s="46" t="s">
        <v>102</v>
      </c>
      <c r="G1277" s="47" t="s">
        <v>102</v>
      </c>
      <c r="H1277" s="48">
        <v>0</v>
      </c>
      <c r="I1277" s="48">
        <v>0</v>
      </c>
      <c r="J1277" s="47" t="s">
        <v>3696</v>
      </c>
      <c r="K1277" s="49">
        <v>0</v>
      </c>
      <c r="L1277" s="49" t="s">
        <v>116</v>
      </c>
      <c r="M1277" s="46" t="s">
        <v>117</v>
      </c>
      <c r="N1277" s="50">
        <v>0</v>
      </c>
      <c r="O1277" s="50">
        <v>0</v>
      </c>
      <c r="P1277" s="50">
        <v>0</v>
      </c>
      <c r="Q1277" s="46" t="s">
        <v>102</v>
      </c>
      <c r="R1277" s="46" t="s">
        <v>102</v>
      </c>
      <c r="S1277" s="46" t="s">
        <v>102</v>
      </c>
      <c r="T1277" s="46" t="s">
        <v>750</v>
      </c>
      <c r="U1277" s="51">
        <v>4</v>
      </c>
    </row>
    <row r="1278" spans="2:21" ht="14.5" outlineLevel="3">
      <c r="B1278" s="44" t="s">
        <v>3812</v>
      </c>
      <c r="C1278" s="45" t="s">
        <v>3813</v>
      </c>
      <c r="D1278" s="46" t="s">
        <v>102</v>
      </c>
      <c r="E1278" s="47" t="s">
        <v>102</v>
      </c>
      <c r="F1278" s="46" t="s">
        <v>102</v>
      </c>
      <c r="G1278" s="47" t="s">
        <v>102</v>
      </c>
      <c r="H1278" s="48">
        <v>0</v>
      </c>
      <c r="I1278" s="48">
        <v>0</v>
      </c>
      <c r="J1278" s="47" t="s">
        <v>3696</v>
      </c>
      <c r="K1278" s="49">
        <v>0</v>
      </c>
      <c r="L1278" s="49" t="s">
        <v>116</v>
      </c>
      <c r="M1278" s="46" t="s">
        <v>117</v>
      </c>
      <c r="N1278" s="50">
        <v>0</v>
      </c>
      <c r="O1278" s="50">
        <v>0</v>
      </c>
      <c r="P1278" s="50">
        <v>0</v>
      </c>
      <c r="Q1278" s="46" t="s">
        <v>102</v>
      </c>
      <c r="R1278" s="46" t="s">
        <v>102</v>
      </c>
      <c r="S1278" s="46" t="s">
        <v>102</v>
      </c>
      <c r="T1278" s="46" t="s">
        <v>778</v>
      </c>
      <c r="U1278" s="51">
        <v>4</v>
      </c>
    </row>
    <row r="1279" spans="2:21" ht="14.5" outlineLevel="3">
      <c r="B1279" s="44" t="s">
        <v>3814</v>
      </c>
      <c r="C1279" s="45" t="s">
        <v>3815</v>
      </c>
      <c r="D1279" s="46" t="s">
        <v>102</v>
      </c>
      <c r="E1279" s="47" t="s">
        <v>102</v>
      </c>
      <c r="F1279" s="46" t="s">
        <v>102</v>
      </c>
      <c r="G1279" s="47" t="s">
        <v>102</v>
      </c>
      <c r="H1279" s="48">
        <v>0</v>
      </c>
      <c r="I1279" s="48">
        <v>0</v>
      </c>
      <c r="J1279" s="47" t="s">
        <v>3696</v>
      </c>
      <c r="K1279" s="49">
        <v>0</v>
      </c>
      <c r="L1279" s="49" t="s">
        <v>116</v>
      </c>
      <c r="M1279" s="46" t="s">
        <v>117</v>
      </c>
      <c r="N1279" s="50">
        <v>0</v>
      </c>
      <c r="O1279" s="50">
        <v>0</v>
      </c>
      <c r="P1279" s="50">
        <v>0</v>
      </c>
      <c r="Q1279" s="46" t="s">
        <v>102</v>
      </c>
      <c r="R1279" s="46" t="s">
        <v>102</v>
      </c>
      <c r="S1279" s="46" t="s">
        <v>102</v>
      </c>
      <c r="T1279" s="46" t="s">
        <v>831</v>
      </c>
      <c r="U1279" s="51">
        <v>4</v>
      </c>
    </row>
    <row r="1280" spans="2:21" ht="14.5" outlineLevel="3">
      <c r="B1280" s="44" t="s">
        <v>3816</v>
      </c>
      <c r="C1280" s="45" t="s">
        <v>3817</v>
      </c>
      <c r="D1280" s="46" t="s">
        <v>102</v>
      </c>
      <c r="E1280" s="47" t="s">
        <v>102</v>
      </c>
      <c r="F1280" s="46" t="s">
        <v>102</v>
      </c>
      <c r="G1280" s="47" t="s">
        <v>102</v>
      </c>
      <c r="H1280" s="48">
        <v>0</v>
      </c>
      <c r="I1280" s="48">
        <v>0</v>
      </c>
      <c r="J1280" s="47" t="s">
        <v>3696</v>
      </c>
      <c r="K1280" s="49">
        <v>0</v>
      </c>
      <c r="L1280" s="49" t="s">
        <v>116</v>
      </c>
      <c r="M1280" s="46" t="s">
        <v>117</v>
      </c>
      <c r="N1280" s="50">
        <v>0</v>
      </c>
      <c r="O1280" s="50">
        <v>0</v>
      </c>
      <c r="P1280" s="50">
        <v>0</v>
      </c>
      <c r="Q1280" s="46" t="s">
        <v>102</v>
      </c>
      <c r="R1280" s="46" t="s">
        <v>102</v>
      </c>
      <c r="S1280" s="46" t="s">
        <v>102</v>
      </c>
      <c r="T1280" s="46" t="s">
        <v>835</v>
      </c>
      <c r="U1280" s="51">
        <v>4</v>
      </c>
    </row>
    <row r="1281" spans="2:21" ht="14.5" outlineLevel="3">
      <c r="B1281" s="44" t="s">
        <v>3818</v>
      </c>
      <c r="C1281" s="45" t="s">
        <v>3819</v>
      </c>
      <c r="D1281" s="46" t="s">
        <v>102</v>
      </c>
      <c r="E1281" s="47" t="s">
        <v>102</v>
      </c>
      <c r="F1281" s="46" t="s">
        <v>102</v>
      </c>
      <c r="G1281" s="47" t="s">
        <v>102</v>
      </c>
      <c r="H1281" s="48">
        <v>0</v>
      </c>
      <c r="I1281" s="48">
        <v>0</v>
      </c>
      <c r="J1281" s="47" t="s">
        <v>3696</v>
      </c>
      <c r="K1281" s="49">
        <v>0</v>
      </c>
      <c r="L1281" s="49" t="s">
        <v>116</v>
      </c>
      <c r="M1281" s="46" t="s">
        <v>117</v>
      </c>
      <c r="N1281" s="50">
        <v>0</v>
      </c>
      <c r="O1281" s="50">
        <v>0</v>
      </c>
      <c r="P1281" s="50">
        <v>0</v>
      </c>
      <c r="Q1281" s="46" t="s">
        <v>102</v>
      </c>
      <c r="R1281" s="46" t="s">
        <v>102</v>
      </c>
      <c r="S1281" s="46" t="s">
        <v>102</v>
      </c>
      <c r="T1281" s="46" t="s">
        <v>840</v>
      </c>
      <c r="U1281" s="51">
        <v>4</v>
      </c>
    </row>
    <row r="1282" spans="2:21" ht="14.5" outlineLevel="3">
      <c r="B1282" s="44" t="s">
        <v>3820</v>
      </c>
      <c r="C1282" s="45" t="s">
        <v>3821</v>
      </c>
      <c r="D1282" s="46" t="s">
        <v>102</v>
      </c>
      <c r="E1282" s="47" t="s">
        <v>102</v>
      </c>
      <c r="F1282" s="46" t="s">
        <v>102</v>
      </c>
      <c r="G1282" s="47" t="s">
        <v>102</v>
      </c>
      <c r="H1282" s="48">
        <v>0</v>
      </c>
      <c r="I1282" s="48">
        <v>0</v>
      </c>
      <c r="J1282" s="47" t="s">
        <v>3696</v>
      </c>
      <c r="K1282" s="49">
        <v>0</v>
      </c>
      <c r="L1282" s="49" t="s">
        <v>116</v>
      </c>
      <c r="M1282" s="46" t="s">
        <v>117</v>
      </c>
      <c r="N1282" s="50">
        <v>0</v>
      </c>
      <c r="O1282" s="50">
        <v>0</v>
      </c>
      <c r="P1282" s="50">
        <v>0</v>
      </c>
      <c r="Q1282" s="46" t="s">
        <v>102</v>
      </c>
      <c r="R1282" s="46" t="s">
        <v>102</v>
      </c>
      <c r="S1282" s="46" t="s">
        <v>102</v>
      </c>
      <c r="T1282" s="46" t="s">
        <v>845</v>
      </c>
      <c r="U1282" s="51">
        <v>4</v>
      </c>
    </row>
    <row r="1283" spans="2:21" ht="14.5" outlineLevel="3">
      <c r="B1283" s="44" t="s">
        <v>3822</v>
      </c>
      <c r="C1283" s="45" t="s">
        <v>3823</v>
      </c>
      <c r="D1283" s="46" t="s">
        <v>102</v>
      </c>
      <c r="E1283" s="47" t="s">
        <v>102</v>
      </c>
      <c r="F1283" s="46" t="s">
        <v>102</v>
      </c>
      <c r="G1283" s="47" t="s">
        <v>102</v>
      </c>
      <c r="H1283" s="48">
        <v>0</v>
      </c>
      <c r="I1283" s="48">
        <v>0</v>
      </c>
      <c r="J1283" s="47" t="s">
        <v>3696</v>
      </c>
      <c r="K1283" s="49">
        <v>0</v>
      </c>
      <c r="L1283" s="49" t="s">
        <v>116</v>
      </c>
      <c r="M1283" s="46" t="s">
        <v>117</v>
      </c>
      <c r="N1283" s="50">
        <v>0</v>
      </c>
      <c r="O1283" s="50">
        <v>0</v>
      </c>
      <c r="P1283" s="50">
        <v>0</v>
      </c>
      <c r="Q1283" s="46" t="s">
        <v>102</v>
      </c>
      <c r="R1283" s="46" t="s">
        <v>102</v>
      </c>
      <c r="S1283" s="46" t="s">
        <v>102</v>
      </c>
      <c r="T1283" s="46" t="s">
        <v>850</v>
      </c>
      <c r="U1283" s="51">
        <v>4</v>
      </c>
    </row>
    <row r="1284" spans="2:21" ht="14.5" outlineLevel="3">
      <c r="B1284" s="44" t="s">
        <v>3824</v>
      </c>
      <c r="C1284" s="45" t="s">
        <v>3825</v>
      </c>
      <c r="D1284" s="46" t="s">
        <v>102</v>
      </c>
      <c r="E1284" s="47" t="s">
        <v>102</v>
      </c>
      <c r="F1284" s="46" t="s">
        <v>102</v>
      </c>
      <c r="G1284" s="47" t="s">
        <v>102</v>
      </c>
      <c r="H1284" s="48">
        <v>0</v>
      </c>
      <c r="I1284" s="48">
        <v>0</v>
      </c>
      <c r="J1284" s="47" t="s">
        <v>3696</v>
      </c>
      <c r="K1284" s="49">
        <v>0</v>
      </c>
      <c r="L1284" s="49" t="s">
        <v>116</v>
      </c>
      <c r="M1284" s="46" t="s">
        <v>117</v>
      </c>
      <c r="N1284" s="50">
        <v>0</v>
      </c>
      <c r="O1284" s="50">
        <v>0</v>
      </c>
      <c r="P1284" s="50">
        <v>0</v>
      </c>
      <c r="Q1284" s="46" t="s">
        <v>102</v>
      </c>
      <c r="R1284" s="46" t="s">
        <v>102</v>
      </c>
      <c r="S1284" s="46" t="s">
        <v>102</v>
      </c>
      <c r="T1284" s="46" t="s">
        <v>855</v>
      </c>
      <c r="U1284" s="51">
        <v>4</v>
      </c>
    </row>
    <row r="1285" spans="2:21" ht="14.5" outlineLevel="3">
      <c r="B1285" s="44" t="s">
        <v>3826</v>
      </c>
      <c r="C1285" s="45" t="s">
        <v>3827</v>
      </c>
      <c r="D1285" s="46" t="s">
        <v>102</v>
      </c>
      <c r="E1285" s="47" t="s">
        <v>102</v>
      </c>
      <c r="F1285" s="46" t="s">
        <v>102</v>
      </c>
      <c r="G1285" s="47" t="s">
        <v>102</v>
      </c>
      <c r="H1285" s="48">
        <v>0</v>
      </c>
      <c r="I1285" s="48">
        <v>0</v>
      </c>
      <c r="J1285" s="47" t="s">
        <v>3696</v>
      </c>
      <c r="K1285" s="49">
        <v>0</v>
      </c>
      <c r="L1285" s="49" t="s">
        <v>116</v>
      </c>
      <c r="M1285" s="46" t="s">
        <v>117</v>
      </c>
      <c r="N1285" s="50">
        <v>0</v>
      </c>
      <c r="O1285" s="50">
        <v>0</v>
      </c>
      <c r="P1285" s="50">
        <v>0</v>
      </c>
      <c r="Q1285" s="46" t="s">
        <v>102</v>
      </c>
      <c r="R1285" s="46" t="s">
        <v>102</v>
      </c>
      <c r="S1285" s="46" t="s">
        <v>102</v>
      </c>
      <c r="T1285" s="46" t="s">
        <v>860</v>
      </c>
      <c r="U1285" s="51">
        <v>4</v>
      </c>
    </row>
    <row r="1286" spans="2:21" ht="14.5" outlineLevel="3">
      <c r="B1286" s="44" t="s">
        <v>3828</v>
      </c>
      <c r="C1286" s="45" t="s">
        <v>3829</v>
      </c>
      <c r="D1286" s="46" t="s">
        <v>102</v>
      </c>
      <c r="E1286" s="47" t="s">
        <v>102</v>
      </c>
      <c r="F1286" s="46" t="s">
        <v>102</v>
      </c>
      <c r="G1286" s="47" t="s">
        <v>102</v>
      </c>
      <c r="H1286" s="48">
        <v>0</v>
      </c>
      <c r="I1286" s="48">
        <v>0</v>
      </c>
      <c r="J1286" s="47" t="s">
        <v>3696</v>
      </c>
      <c r="K1286" s="49">
        <v>0</v>
      </c>
      <c r="L1286" s="49" t="s">
        <v>116</v>
      </c>
      <c r="M1286" s="46" t="s">
        <v>117</v>
      </c>
      <c r="N1286" s="50">
        <v>0</v>
      </c>
      <c r="O1286" s="50">
        <v>0</v>
      </c>
      <c r="P1286" s="50">
        <v>0</v>
      </c>
      <c r="Q1286" s="46" t="s">
        <v>102</v>
      </c>
      <c r="R1286" s="46" t="s">
        <v>102</v>
      </c>
      <c r="S1286" s="46" t="s">
        <v>102</v>
      </c>
      <c r="T1286" s="46" t="s">
        <v>450</v>
      </c>
      <c r="U1286" s="51">
        <v>4</v>
      </c>
    </row>
    <row r="1287" spans="2:21" ht="14.5" outlineLevel="3">
      <c r="B1287" s="44" t="s">
        <v>3830</v>
      </c>
      <c r="C1287" s="45" t="s">
        <v>3831</v>
      </c>
      <c r="D1287" s="46" t="s">
        <v>102</v>
      </c>
      <c r="E1287" s="47" t="s">
        <v>102</v>
      </c>
      <c r="F1287" s="46" t="s">
        <v>102</v>
      </c>
      <c r="G1287" s="47" t="s">
        <v>102</v>
      </c>
      <c r="H1287" s="48">
        <v>0</v>
      </c>
      <c r="I1287" s="48">
        <v>0</v>
      </c>
      <c r="J1287" s="47" t="s">
        <v>3696</v>
      </c>
      <c r="K1287" s="49">
        <v>0</v>
      </c>
      <c r="L1287" s="49" t="s">
        <v>116</v>
      </c>
      <c r="M1287" s="46" t="s">
        <v>117</v>
      </c>
      <c r="N1287" s="50">
        <v>0</v>
      </c>
      <c r="O1287" s="50">
        <v>0</v>
      </c>
      <c r="P1287" s="50">
        <v>0</v>
      </c>
      <c r="Q1287" s="46" t="s">
        <v>102</v>
      </c>
      <c r="R1287" s="46" t="s">
        <v>102</v>
      </c>
      <c r="S1287" s="46" t="s">
        <v>102</v>
      </c>
      <c r="T1287" s="46" t="s">
        <v>923</v>
      </c>
      <c r="U1287" s="51">
        <v>4</v>
      </c>
    </row>
    <row r="1288" spans="2:21" ht="14.5" outlineLevel="3">
      <c r="B1288" s="44" t="s">
        <v>3832</v>
      </c>
      <c r="C1288" s="45" t="s">
        <v>3833</v>
      </c>
      <c r="D1288" s="46" t="s">
        <v>102</v>
      </c>
      <c r="E1288" s="47" t="s">
        <v>102</v>
      </c>
      <c r="F1288" s="46" t="s">
        <v>102</v>
      </c>
      <c r="G1288" s="47" t="s">
        <v>102</v>
      </c>
      <c r="H1288" s="48">
        <v>0</v>
      </c>
      <c r="I1288" s="48">
        <v>0</v>
      </c>
      <c r="J1288" s="47" t="s">
        <v>3696</v>
      </c>
      <c r="K1288" s="49">
        <v>0</v>
      </c>
      <c r="L1288" s="49" t="s">
        <v>116</v>
      </c>
      <c r="M1288" s="46" t="s">
        <v>117</v>
      </c>
      <c r="N1288" s="50">
        <v>0</v>
      </c>
      <c r="O1288" s="50">
        <v>0</v>
      </c>
      <c r="P1288" s="50">
        <v>0</v>
      </c>
      <c r="Q1288" s="46" t="s">
        <v>102</v>
      </c>
      <c r="R1288" s="46" t="s">
        <v>102</v>
      </c>
      <c r="S1288" s="46" t="s">
        <v>102</v>
      </c>
      <c r="T1288" s="46" t="s">
        <v>455</v>
      </c>
      <c r="U1288" s="51">
        <v>4</v>
      </c>
    </row>
    <row r="1289" spans="2:21" ht="14.5" outlineLevel="3">
      <c r="B1289" s="44" t="s">
        <v>3834</v>
      </c>
      <c r="C1289" s="45" t="s">
        <v>3835</v>
      </c>
      <c r="D1289" s="46" t="s">
        <v>102</v>
      </c>
      <c r="E1289" s="47" t="s">
        <v>102</v>
      </c>
      <c r="F1289" s="46" t="s">
        <v>102</v>
      </c>
      <c r="G1289" s="47" t="s">
        <v>102</v>
      </c>
      <c r="H1289" s="48">
        <v>0</v>
      </c>
      <c r="I1289" s="48">
        <v>0</v>
      </c>
      <c r="J1289" s="47" t="s">
        <v>3696</v>
      </c>
      <c r="K1289" s="49">
        <v>0</v>
      </c>
      <c r="L1289" s="49" t="s">
        <v>116</v>
      </c>
      <c r="M1289" s="46" t="s">
        <v>117</v>
      </c>
      <c r="N1289" s="50">
        <v>0</v>
      </c>
      <c r="O1289" s="50">
        <v>0</v>
      </c>
      <c r="P1289" s="50">
        <v>0</v>
      </c>
      <c r="Q1289" s="46" t="s">
        <v>102</v>
      </c>
      <c r="R1289" s="46" t="s">
        <v>102</v>
      </c>
      <c r="S1289" s="46" t="s">
        <v>102</v>
      </c>
      <c r="T1289" s="46" t="s">
        <v>3729</v>
      </c>
      <c r="U1289" s="51">
        <v>4</v>
      </c>
    </row>
    <row r="1290" spans="2:21" ht="14.5" outlineLevel="3">
      <c r="B1290" s="44" t="s">
        <v>3836</v>
      </c>
      <c r="C1290" s="45" t="s">
        <v>3837</v>
      </c>
      <c r="D1290" s="46" t="s">
        <v>102</v>
      </c>
      <c r="E1290" s="47" t="s">
        <v>102</v>
      </c>
      <c r="F1290" s="46" t="s">
        <v>102</v>
      </c>
      <c r="G1290" s="47" t="s">
        <v>102</v>
      </c>
      <c r="H1290" s="48">
        <v>0</v>
      </c>
      <c r="I1290" s="48">
        <v>0</v>
      </c>
      <c r="J1290" s="47" t="s">
        <v>3696</v>
      </c>
      <c r="K1290" s="49">
        <v>0</v>
      </c>
      <c r="L1290" s="49" t="s">
        <v>116</v>
      </c>
      <c r="M1290" s="46" t="s">
        <v>117</v>
      </c>
      <c r="N1290" s="50">
        <v>0</v>
      </c>
      <c r="O1290" s="50">
        <v>0</v>
      </c>
      <c r="P1290" s="50">
        <v>0</v>
      </c>
      <c r="Q1290" s="46" t="s">
        <v>102</v>
      </c>
      <c r="R1290" s="46" t="s">
        <v>102</v>
      </c>
      <c r="S1290" s="46" t="s">
        <v>102</v>
      </c>
      <c r="T1290" s="46" t="s">
        <v>2904</v>
      </c>
      <c r="U1290" s="51">
        <v>4</v>
      </c>
    </row>
    <row r="1291" spans="2:21" ht="14.5" outlineLevel="3">
      <c r="B1291" s="44" t="s">
        <v>3838</v>
      </c>
      <c r="C1291" s="45" t="s">
        <v>3839</v>
      </c>
      <c r="D1291" s="46" t="s">
        <v>102</v>
      </c>
      <c r="E1291" s="47" t="s">
        <v>102</v>
      </c>
      <c r="F1291" s="46" t="s">
        <v>102</v>
      </c>
      <c r="G1291" s="47" t="s">
        <v>102</v>
      </c>
      <c r="H1291" s="48">
        <v>0</v>
      </c>
      <c r="I1291" s="48">
        <v>0</v>
      </c>
      <c r="J1291" s="47" t="s">
        <v>3696</v>
      </c>
      <c r="K1291" s="49">
        <v>0</v>
      </c>
      <c r="L1291" s="49" t="s">
        <v>116</v>
      </c>
      <c r="M1291" s="46" t="s">
        <v>117</v>
      </c>
      <c r="N1291" s="50">
        <v>0</v>
      </c>
      <c r="O1291" s="50">
        <v>0</v>
      </c>
      <c r="P1291" s="50">
        <v>0</v>
      </c>
      <c r="Q1291" s="46" t="s">
        <v>102</v>
      </c>
      <c r="R1291" s="46" t="s">
        <v>102</v>
      </c>
      <c r="S1291" s="46" t="s">
        <v>102</v>
      </c>
      <c r="T1291" s="46" t="s">
        <v>995</v>
      </c>
      <c r="U1291" s="51">
        <v>4</v>
      </c>
    </row>
    <row r="1292" spans="2:21" ht="14.5" outlineLevel="3">
      <c r="B1292" s="44" t="s">
        <v>3840</v>
      </c>
      <c r="C1292" s="45" t="s">
        <v>3841</v>
      </c>
      <c r="D1292" s="46" t="s">
        <v>102</v>
      </c>
      <c r="E1292" s="47" t="s">
        <v>102</v>
      </c>
      <c r="F1292" s="46" t="s">
        <v>102</v>
      </c>
      <c r="G1292" s="47" t="s">
        <v>102</v>
      </c>
      <c r="H1292" s="48">
        <v>0</v>
      </c>
      <c r="I1292" s="48">
        <v>0</v>
      </c>
      <c r="J1292" s="47" t="s">
        <v>3696</v>
      </c>
      <c r="K1292" s="49">
        <v>0</v>
      </c>
      <c r="L1292" s="49" t="s">
        <v>116</v>
      </c>
      <c r="M1292" s="46" t="s">
        <v>117</v>
      </c>
      <c r="N1292" s="50">
        <v>0</v>
      </c>
      <c r="O1292" s="50">
        <v>0</v>
      </c>
      <c r="P1292" s="50">
        <v>0</v>
      </c>
      <c r="Q1292" s="46" t="s">
        <v>102</v>
      </c>
      <c r="R1292" s="46" t="s">
        <v>102</v>
      </c>
      <c r="S1292" s="46" t="s">
        <v>102</v>
      </c>
      <c r="T1292" s="46" t="s">
        <v>999</v>
      </c>
      <c r="U1292" s="51">
        <v>4</v>
      </c>
    </row>
    <row r="1293" spans="2:21" ht="14.5" outlineLevel="3">
      <c r="B1293" s="44" t="s">
        <v>3842</v>
      </c>
      <c r="C1293" s="45" t="s">
        <v>3843</v>
      </c>
      <c r="D1293" s="46" t="s">
        <v>102</v>
      </c>
      <c r="E1293" s="47" t="s">
        <v>102</v>
      </c>
      <c r="F1293" s="46" t="s">
        <v>102</v>
      </c>
      <c r="G1293" s="47" t="s">
        <v>102</v>
      </c>
      <c r="H1293" s="48">
        <v>0</v>
      </c>
      <c r="I1293" s="48">
        <v>0</v>
      </c>
      <c r="J1293" s="47" t="s">
        <v>3696</v>
      </c>
      <c r="K1293" s="49">
        <v>0</v>
      </c>
      <c r="L1293" s="49" t="s">
        <v>116</v>
      </c>
      <c r="M1293" s="46" t="s">
        <v>117</v>
      </c>
      <c r="N1293" s="50">
        <v>0</v>
      </c>
      <c r="O1293" s="50">
        <v>0</v>
      </c>
      <c r="P1293" s="50">
        <v>0</v>
      </c>
      <c r="Q1293" s="46" t="s">
        <v>102</v>
      </c>
      <c r="R1293" s="46" t="s">
        <v>102</v>
      </c>
      <c r="S1293" s="46" t="s">
        <v>102</v>
      </c>
      <c r="T1293" s="46" t="s">
        <v>1019</v>
      </c>
      <c r="U1293" s="51">
        <v>4</v>
      </c>
    </row>
    <row r="1294" spans="2:21" ht="14.5" outlineLevel="3">
      <c r="B1294" s="44" t="s">
        <v>3844</v>
      </c>
      <c r="C1294" s="45" t="s">
        <v>3845</v>
      </c>
      <c r="D1294" s="46" t="s">
        <v>102</v>
      </c>
      <c r="E1294" s="47" t="s">
        <v>102</v>
      </c>
      <c r="F1294" s="46" t="s">
        <v>102</v>
      </c>
      <c r="G1294" s="47" t="s">
        <v>102</v>
      </c>
      <c r="H1294" s="48">
        <v>0</v>
      </c>
      <c r="I1294" s="48">
        <v>0</v>
      </c>
      <c r="J1294" s="47" t="s">
        <v>3696</v>
      </c>
      <c r="K1294" s="49">
        <v>0</v>
      </c>
      <c r="L1294" s="49" t="s">
        <v>116</v>
      </c>
      <c r="M1294" s="46" t="s">
        <v>117</v>
      </c>
      <c r="N1294" s="50">
        <v>0</v>
      </c>
      <c r="O1294" s="50">
        <v>0</v>
      </c>
      <c r="P1294" s="50">
        <v>0</v>
      </c>
      <c r="Q1294" s="46" t="s">
        <v>102</v>
      </c>
      <c r="R1294" s="46" t="s">
        <v>102</v>
      </c>
      <c r="S1294" s="46" t="s">
        <v>102</v>
      </c>
      <c r="T1294" s="46" t="s">
        <v>2781</v>
      </c>
      <c r="U1294" s="51">
        <v>4</v>
      </c>
    </row>
    <row r="1295" spans="2:21" ht="14.5" outlineLevel="3">
      <c r="B1295" s="44" t="s">
        <v>3846</v>
      </c>
      <c r="C1295" s="45" t="s">
        <v>3847</v>
      </c>
      <c r="D1295" s="46" t="s">
        <v>102</v>
      </c>
      <c r="E1295" s="47" t="s">
        <v>102</v>
      </c>
      <c r="F1295" s="46" t="s">
        <v>102</v>
      </c>
      <c r="G1295" s="47" t="s">
        <v>102</v>
      </c>
      <c r="H1295" s="48">
        <v>0</v>
      </c>
      <c r="I1295" s="48">
        <v>0</v>
      </c>
      <c r="J1295" s="47" t="s">
        <v>3696</v>
      </c>
      <c r="K1295" s="49">
        <v>0</v>
      </c>
      <c r="L1295" s="49" t="s">
        <v>116</v>
      </c>
      <c r="M1295" s="46" t="s">
        <v>117</v>
      </c>
      <c r="N1295" s="50">
        <v>0</v>
      </c>
      <c r="O1295" s="50">
        <v>0</v>
      </c>
      <c r="P1295" s="50">
        <v>0</v>
      </c>
      <c r="Q1295" s="46" t="s">
        <v>102</v>
      </c>
      <c r="R1295" s="46" t="s">
        <v>102</v>
      </c>
      <c r="S1295" s="46" t="s">
        <v>102</v>
      </c>
      <c r="T1295" s="46" t="s">
        <v>2784</v>
      </c>
      <c r="U1295" s="51">
        <v>4</v>
      </c>
    </row>
    <row r="1296" spans="2:21" ht="14.5" outlineLevel="3">
      <c r="B1296" s="44" t="s">
        <v>3848</v>
      </c>
      <c r="C1296" s="45" t="s">
        <v>3849</v>
      </c>
      <c r="D1296" s="46" t="s">
        <v>102</v>
      </c>
      <c r="E1296" s="47" t="s">
        <v>102</v>
      </c>
      <c r="F1296" s="46" t="s">
        <v>102</v>
      </c>
      <c r="G1296" s="47" t="s">
        <v>102</v>
      </c>
      <c r="H1296" s="48">
        <v>0</v>
      </c>
      <c r="I1296" s="48">
        <v>0</v>
      </c>
      <c r="J1296" s="47" t="s">
        <v>3696</v>
      </c>
      <c r="K1296" s="49">
        <v>0</v>
      </c>
      <c r="L1296" s="49" t="s">
        <v>116</v>
      </c>
      <c r="M1296" s="46" t="s">
        <v>117</v>
      </c>
      <c r="N1296" s="50">
        <v>0</v>
      </c>
      <c r="O1296" s="50">
        <v>0</v>
      </c>
      <c r="P1296" s="50">
        <v>0</v>
      </c>
      <c r="Q1296" s="46" t="s">
        <v>102</v>
      </c>
      <c r="R1296" s="46" t="s">
        <v>102</v>
      </c>
      <c r="S1296" s="46" t="s">
        <v>102</v>
      </c>
      <c r="T1296" s="46" t="s">
        <v>2787</v>
      </c>
      <c r="U1296" s="51">
        <v>4</v>
      </c>
    </row>
    <row r="1297" spans="2:21" ht="14.5" outlineLevel="3">
      <c r="B1297" s="44" t="s">
        <v>3850</v>
      </c>
      <c r="C1297" s="45" t="s">
        <v>3851</v>
      </c>
      <c r="D1297" s="46" t="s">
        <v>102</v>
      </c>
      <c r="E1297" s="47" t="s">
        <v>102</v>
      </c>
      <c r="F1297" s="46" t="s">
        <v>102</v>
      </c>
      <c r="G1297" s="47" t="s">
        <v>102</v>
      </c>
      <c r="H1297" s="48">
        <v>0</v>
      </c>
      <c r="I1297" s="48">
        <v>0</v>
      </c>
      <c r="J1297" s="47" t="s">
        <v>3696</v>
      </c>
      <c r="K1297" s="49">
        <v>0</v>
      </c>
      <c r="L1297" s="49" t="s">
        <v>116</v>
      </c>
      <c r="M1297" s="46" t="s">
        <v>117</v>
      </c>
      <c r="N1297" s="50">
        <v>0</v>
      </c>
      <c r="O1297" s="50">
        <v>0</v>
      </c>
      <c r="P1297" s="50">
        <v>0</v>
      </c>
      <c r="Q1297" s="46" t="s">
        <v>102</v>
      </c>
      <c r="R1297" s="46" t="s">
        <v>102</v>
      </c>
      <c r="S1297" s="46" t="s">
        <v>102</v>
      </c>
      <c r="T1297" s="46" t="s">
        <v>3746</v>
      </c>
      <c r="U1297" s="51">
        <v>4</v>
      </c>
    </row>
    <row r="1298" spans="2:21" ht="14.5" outlineLevel="3">
      <c r="B1298" s="44" t="s">
        <v>3852</v>
      </c>
      <c r="C1298" s="45" t="s">
        <v>3853</v>
      </c>
      <c r="D1298" s="46" t="s">
        <v>102</v>
      </c>
      <c r="E1298" s="47" t="s">
        <v>102</v>
      </c>
      <c r="F1298" s="46" t="s">
        <v>102</v>
      </c>
      <c r="G1298" s="47" t="s">
        <v>102</v>
      </c>
      <c r="H1298" s="48">
        <v>0</v>
      </c>
      <c r="I1298" s="48">
        <v>0</v>
      </c>
      <c r="J1298" s="47" t="s">
        <v>3696</v>
      </c>
      <c r="K1298" s="49">
        <v>0</v>
      </c>
      <c r="L1298" s="49" t="s">
        <v>116</v>
      </c>
      <c r="M1298" s="46" t="s">
        <v>117</v>
      </c>
      <c r="N1298" s="50">
        <v>0</v>
      </c>
      <c r="O1298" s="50">
        <v>0</v>
      </c>
      <c r="P1298" s="50">
        <v>0</v>
      </c>
      <c r="Q1298" s="46" t="s">
        <v>102</v>
      </c>
      <c r="R1298" s="46" t="s">
        <v>102</v>
      </c>
      <c r="S1298" s="46" t="s">
        <v>102</v>
      </c>
      <c r="T1298" s="46" t="s">
        <v>466</v>
      </c>
      <c r="U1298" s="51">
        <v>4</v>
      </c>
    </row>
    <row r="1299" spans="2:21" ht="14.5" outlineLevel="3">
      <c r="B1299" s="44" t="s">
        <v>3854</v>
      </c>
      <c r="C1299" s="45" t="s">
        <v>3855</v>
      </c>
      <c r="D1299" s="46" t="s">
        <v>102</v>
      </c>
      <c r="E1299" s="47" t="s">
        <v>102</v>
      </c>
      <c r="F1299" s="46" t="s">
        <v>102</v>
      </c>
      <c r="G1299" s="47" t="s">
        <v>102</v>
      </c>
      <c r="H1299" s="48">
        <v>0</v>
      </c>
      <c r="I1299" s="48">
        <v>0</v>
      </c>
      <c r="J1299" s="47" t="s">
        <v>3696</v>
      </c>
      <c r="K1299" s="49">
        <v>0</v>
      </c>
      <c r="L1299" s="49" t="s">
        <v>116</v>
      </c>
      <c r="M1299" s="46" t="s">
        <v>117</v>
      </c>
      <c r="N1299" s="50">
        <v>0</v>
      </c>
      <c r="O1299" s="50">
        <v>0</v>
      </c>
      <c r="P1299" s="50">
        <v>0</v>
      </c>
      <c r="Q1299" s="46" t="s">
        <v>102</v>
      </c>
      <c r="R1299" s="46" t="s">
        <v>102</v>
      </c>
      <c r="S1299" s="46" t="s">
        <v>102</v>
      </c>
      <c r="T1299" s="46" t="s">
        <v>472</v>
      </c>
      <c r="U1299" s="51">
        <v>4</v>
      </c>
    </row>
    <row r="1300" spans="2:21" ht="14.5" outlineLevel="3">
      <c r="B1300" s="44" t="s">
        <v>3856</v>
      </c>
      <c r="C1300" s="45" t="s">
        <v>3857</v>
      </c>
      <c r="D1300" s="46" t="s">
        <v>102</v>
      </c>
      <c r="E1300" s="47" t="s">
        <v>102</v>
      </c>
      <c r="F1300" s="46" t="s">
        <v>102</v>
      </c>
      <c r="G1300" s="47" t="s">
        <v>102</v>
      </c>
      <c r="H1300" s="48">
        <v>0</v>
      </c>
      <c r="I1300" s="48">
        <v>0</v>
      </c>
      <c r="J1300" s="47" t="s">
        <v>3696</v>
      </c>
      <c r="K1300" s="49">
        <v>0</v>
      </c>
      <c r="L1300" s="49" t="s">
        <v>116</v>
      </c>
      <c r="M1300" s="46" t="s">
        <v>117</v>
      </c>
      <c r="N1300" s="50">
        <v>0</v>
      </c>
      <c r="O1300" s="50">
        <v>0</v>
      </c>
      <c r="P1300" s="50">
        <v>0</v>
      </c>
      <c r="Q1300" s="46" t="s">
        <v>102</v>
      </c>
      <c r="R1300" s="46" t="s">
        <v>102</v>
      </c>
      <c r="S1300" s="46" t="s">
        <v>102</v>
      </c>
      <c r="T1300" s="46" t="s">
        <v>477</v>
      </c>
      <c r="U1300" s="51">
        <v>4</v>
      </c>
    </row>
    <row r="1301" spans="2:21" ht="14.5" outlineLevel="3">
      <c r="B1301" s="44" t="s">
        <v>3858</v>
      </c>
      <c r="C1301" s="45" t="s">
        <v>3859</v>
      </c>
      <c r="D1301" s="46" t="s">
        <v>102</v>
      </c>
      <c r="E1301" s="47" t="s">
        <v>102</v>
      </c>
      <c r="F1301" s="46" t="s">
        <v>102</v>
      </c>
      <c r="G1301" s="47" t="s">
        <v>102</v>
      </c>
      <c r="H1301" s="48">
        <v>0</v>
      </c>
      <c r="I1301" s="48">
        <v>0</v>
      </c>
      <c r="J1301" s="47" t="s">
        <v>3696</v>
      </c>
      <c r="K1301" s="49">
        <v>0</v>
      </c>
      <c r="L1301" s="49" t="s">
        <v>116</v>
      </c>
      <c r="M1301" s="46" t="s">
        <v>117</v>
      </c>
      <c r="N1301" s="50">
        <v>0</v>
      </c>
      <c r="O1301" s="50">
        <v>0</v>
      </c>
      <c r="P1301" s="50">
        <v>0</v>
      </c>
      <c r="Q1301" s="46" t="s">
        <v>102</v>
      </c>
      <c r="R1301" s="46" t="s">
        <v>102</v>
      </c>
      <c r="S1301" s="46" t="s">
        <v>102</v>
      </c>
      <c r="T1301" s="46" t="s">
        <v>482</v>
      </c>
      <c r="U1301" s="51">
        <v>4</v>
      </c>
    </row>
    <row r="1302" spans="2:21" ht="14.5" outlineLevel="3">
      <c r="B1302" s="44" t="s">
        <v>3860</v>
      </c>
      <c r="C1302" s="45" t="s">
        <v>3861</v>
      </c>
      <c r="D1302" s="46" t="s">
        <v>102</v>
      </c>
      <c r="E1302" s="47" t="s">
        <v>102</v>
      </c>
      <c r="F1302" s="46" t="s">
        <v>102</v>
      </c>
      <c r="G1302" s="47" t="s">
        <v>102</v>
      </c>
      <c r="H1302" s="48">
        <v>0</v>
      </c>
      <c r="I1302" s="48">
        <v>0</v>
      </c>
      <c r="J1302" s="47" t="s">
        <v>3696</v>
      </c>
      <c r="K1302" s="49">
        <v>0</v>
      </c>
      <c r="L1302" s="49" t="s">
        <v>116</v>
      </c>
      <c r="M1302" s="46" t="s">
        <v>117</v>
      </c>
      <c r="N1302" s="50">
        <v>0</v>
      </c>
      <c r="O1302" s="50">
        <v>0</v>
      </c>
      <c r="P1302" s="50">
        <v>0</v>
      </c>
      <c r="Q1302" s="46" t="s">
        <v>102</v>
      </c>
      <c r="R1302" s="46" t="s">
        <v>102</v>
      </c>
      <c r="S1302" s="46" t="s">
        <v>102</v>
      </c>
      <c r="T1302" s="46" t="s">
        <v>487</v>
      </c>
      <c r="U1302" s="51">
        <v>4</v>
      </c>
    </row>
    <row r="1303" spans="2:21" ht="14.5" outlineLevel="3">
      <c r="B1303" s="44" t="s">
        <v>3862</v>
      </c>
      <c r="C1303" s="45" t="s">
        <v>3863</v>
      </c>
      <c r="D1303" s="46" t="s">
        <v>102</v>
      </c>
      <c r="E1303" s="47" t="s">
        <v>102</v>
      </c>
      <c r="F1303" s="46" t="s">
        <v>102</v>
      </c>
      <c r="G1303" s="47" t="s">
        <v>102</v>
      </c>
      <c r="H1303" s="48">
        <v>0</v>
      </c>
      <c r="I1303" s="48">
        <v>0</v>
      </c>
      <c r="J1303" s="47" t="s">
        <v>3696</v>
      </c>
      <c r="K1303" s="49">
        <v>0</v>
      </c>
      <c r="L1303" s="49" t="s">
        <v>116</v>
      </c>
      <c r="M1303" s="46" t="s">
        <v>117</v>
      </c>
      <c r="N1303" s="50">
        <v>0</v>
      </c>
      <c r="O1303" s="50">
        <v>0</v>
      </c>
      <c r="P1303" s="50">
        <v>0</v>
      </c>
      <c r="Q1303" s="46" t="s">
        <v>102</v>
      </c>
      <c r="R1303" s="46" t="s">
        <v>102</v>
      </c>
      <c r="S1303" s="46" t="s">
        <v>102</v>
      </c>
      <c r="T1303" s="46" t="s">
        <v>3056</v>
      </c>
      <c r="U1303" s="51">
        <v>4</v>
      </c>
    </row>
    <row r="1304" spans="2:21" ht="14.5" outlineLevel="3">
      <c r="B1304" s="44" t="s">
        <v>3864</v>
      </c>
      <c r="C1304" s="45" t="s">
        <v>3865</v>
      </c>
      <c r="D1304" s="46" t="s">
        <v>102</v>
      </c>
      <c r="E1304" s="47" t="s">
        <v>102</v>
      </c>
      <c r="F1304" s="46" t="s">
        <v>102</v>
      </c>
      <c r="G1304" s="47" t="s">
        <v>102</v>
      </c>
      <c r="H1304" s="48">
        <v>0</v>
      </c>
      <c r="I1304" s="48">
        <v>0</v>
      </c>
      <c r="J1304" s="47" t="s">
        <v>3696</v>
      </c>
      <c r="K1304" s="49">
        <v>0</v>
      </c>
      <c r="L1304" s="49" t="s">
        <v>116</v>
      </c>
      <c r="M1304" s="46" t="s">
        <v>117</v>
      </c>
      <c r="N1304" s="50">
        <v>0</v>
      </c>
      <c r="O1304" s="50">
        <v>0</v>
      </c>
      <c r="P1304" s="50">
        <v>0</v>
      </c>
      <c r="Q1304" s="46" t="s">
        <v>102</v>
      </c>
      <c r="R1304" s="46" t="s">
        <v>102</v>
      </c>
      <c r="S1304" s="46" t="s">
        <v>102</v>
      </c>
      <c r="T1304" s="46" t="s">
        <v>3059</v>
      </c>
      <c r="U1304" s="51">
        <v>4</v>
      </c>
    </row>
    <row r="1305" spans="2:21" ht="14.5" outlineLevel="3">
      <c r="B1305" s="44" t="s">
        <v>3866</v>
      </c>
      <c r="C1305" s="45" t="s">
        <v>3867</v>
      </c>
      <c r="D1305" s="46" t="s">
        <v>102</v>
      </c>
      <c r="E1305" s="47" t="s">
        <v>102</v>
      </c>
      <c r="F1305" s="46" t="s">
        <v>102</v>
      </c>
      <c r="G1305" s="47" t="s">
        <v>102</v>
      </c>
      <c r="H1305" s="48">
        <v>0</v>
      </c>
      <c r="I1305" s="48">
        <v>0</v>
      </c>
      <c r="J1305" s="47" t="s">
        <v>3696</v>
      </c>
      <c r="K1305" s="49">
        <v>0</v>
      </c>
      <c r="L1305" s="49" t="s">
        <v>116</v>
      </c>
      <c r="M1305" s="46" t="s">
        <v>117</v>
      </c>
      <c r="N1305" s="50">
        <v>0</v>
      </c>
      <c r="O1305" s="50">
        <v>0</v>
      </c>
      <c r="P1305" s="50">
        <v>0</v>
      </c>
      <c r="Q1305" s="46" t="s">
        <v>102</v>
      </c>
      <c r="R1305" s="46" t="s">
        <v>102</v>
      </c>
      <c r="S1305" s="46" t="s">
        <v>102</v>
      </c>
      <c r="T1305" s="46" t="s">
        <v>2828</v>
      </c>
      <c r="U1305" s="51">
        <v>4</v>
      </c>
    </row>
    <row r="1306" spans="2:21" ht="14.5" outlineLevel="3">
      <c r="B1306" s="44" t="s">
        <v>3868</v>
      </c>
      <c r="C1306" s="45" t="s">
        <v>3869</v>
      </c>
      <c r="D1306" s="46" t="s">
        <v>102</v>
      </c>
      <c r="E1306" s="47" t="s">
        <v>102</v>
      </c>
      <c r="F1306" s="46" t="s">
        <v>102</v>
      </c>
      <c r="G1306" s="47" t="s">
        <v>102</v>
      </c>
      <c r="H1306" s="48">
        <v>0</v>
      </c>
      <c r="I1306" s="48">
        <v>0</v>
      </c>
      <c r="J1306" s="47" t="s">
        <v>3696</v>
      </c>
      <c r="K1306" s="49">
        <v>0</v>
      </c>
      <c r="L1306" s="49" t="s">
        <v>116</v>
      </c>
      <c r="M1306" s="46" t="s">
        <v>117</v>
      </c>
      <c r="N1306" s="50">
        <v>0</v>
      </c>
      <c r="O1306" s="50">
        <v>0</v>
      </c>
      <c r="P1306" s="50">
        <v>0</v>
      </c>
      <c r="Q1306" s="46" t="s">
        <v>102</v>
      </c>
      <c r="R1306" s="46" t="s">
        <v>102</v>
      </c>
      <c r="S1306" s="46" t="s">
        <v>102</v>
      </c>
      <c r="T1306" s="46" t="s">
        <v>3495</v>
      </c>
      <c r="U1306" s="51">
        <v>4</v>
      </c>
    </row>
    <row r="1307" spans="2:21" ht="14.5" outlineLevel="3">
      <c r="B1307" s="44" t="s">
        <v>3870</v>
      </c>
      <c r="C1307" s="45" t="s">
        <v>3871</v>
      </c>
      <c r="D1307" s="46" t="s">
        <v>102</v>
      </c>
      <c r="E1307" s="47" t="s">
        <v>102</v>
      </c>
      <c r="F1307" s="46" t="s">
        <v>102</v>
      </c>
      <c r="G1307" s="47" t="s">
        <v>102</v>
      </c>
      <c r="H1307" s="48">
        <v>0</v>
      </c>
      <c r="I1307" s="48">
        <v>0</v>
      </c>
      <c r="J1307" s="47" t="s">
        <v>3696</v>
      </c>
      <c r="K1307" s="49">
        <v>0</v>
      </c>
      <c r="L1307" s="49" t="s">
        <v>116</v>
      </c>
      <c r="M1307" s="46" t="s">
        <v>117</v>
      </c>
      <c r="N1307" s="50">
        <v>0</v>
      </c>
      <c r="O1307" s="50">
        <v>0</v>
      </c>
      <c r="P1307" s="50">
        <v>0</v>
      </c>
      <c r="Q1307" s="46" t="s">
        <v>102</v>
      </c>
      <c r="R1307" s="46" t="s">
        <v>102</v>
      </c>
      <c r="S1307" s="46" t="s">
        <v>102</v>
      </c>
      <c r="T1307" s="46" t="s">
        <v>2773</v>
      </c>
      <c r="U1307" s="51">
        <v>4</v>
      </c>
    </row>
    <row r="1308" spans="2:21" ht="14.5" outlineLevel="3">
      <c r="B1308" s="44" t="s">
        <v>3872</v>
      </c>
      <c r="C1308" s="45" t="s">
        <v>3873</v>
      </c>
      <c r="D1308" s="46" t="s">
        <v>102</v>
      </c>
      <c r="E1308" s="47" t="s">
        <v>102</v>
      </c>
      <c r="F1308" s="46" t="s">
        <v>102</v>
      </c>
      <c r="G1308" s="47" t="s">
        <v>102</v>
      </c>
      <c r="H1308" s="48">
        <v>0</v>
      </c>
      <c r="I1308" s="48">
        <v>0</v>
      </c>
      <c r="J1308" s="47" t="s">
        <v>3696</v>
      </c>
      <c r="K1308" s="49">
        <v>0</v>
      </c>
      <c r="L1308" s="49" t="s">
        <v>116</v>
      </c>
      <c r="M1308" s="46" t="s">
        <v>117</v>
      </c>
      <c r="N1308" s="50">
        <v>0</v>
      </c>
      <c r="O1308" s="50">
        <v>0</v>
      </c>
      <c r="P1308" s="50">
        <v>0</v>
      </c>
      <c r="Q1308" s="46" t="s">
        <v>102</v>
      </c>
      <c r="R1308" s="46" t="s">
        <v>102</v>
      </c>
      <c r="S1308" s="46" t="s">
        <v>102</v>
      </c>
      <c r="T1308" s="46" t="s">
        <v>2666</v>
      </c>
      <c r="U1308" s="51">
        <v>4</v>
      </c>
    </row>
    <row r="1309" spans="2:21" ht="14.5" outlineLevel="3">
      <c r="B1309" s="44" t="s">
        <v>3874</v>
      </c>
      <c r="C1309" s="45" t="s">
        <v>3875</v>
      </c>
      <c r="D1309" s="46" t="s">
        <v>102</v>
      </c>
      <c r="E1309" s="47" t="s">
        <v>102</v>
      </c>
      <c r="F1309" s="46" t="s">
        <v>102</v>
      </c>
      <c r="G1309" s="47" t="s">
        <v>102</v>
      </c>
      <c r="H1309" s="48">
        <v>0</v>
      </c>
      <c r="I1309" s="48">
        <v>0</v>
      </c>
      <c r="J1309" s="47" t="s">
        <v>3696</v>
      </c>
      <c r="K1309" s="49">
        <v>0</v>
      </c>
      <c r="L1309" s="49" t="s">
        <v>116</v>
      </c>
      <c r="M1309" s="46" t="s">
        <v>117</v>
      </c>
      <c r="N1309" s="50">
        <v>0</v>
      </c>
      <c r="O1309" s="50">
        <v>0</v>
      </c>
      <c r="P1309" s="50">
        <v>0</v>
      </c>
      <c r="Q1309" s="46" t="s">
        <v>102</v>
      </c>
      <c r="R1309" s="46" t="s">
        <v>102</v>
      </c>
      <c r="S1309" s="46" t="s">
        <v>102</v>
      </c>
      <c r="T1309" s="46" t="s">
        <v>3504</v>
      </c>
      <c r="U1309" s="51">
        <v>4</v>
      </c>
    </row>
    <row r="1310" spans="2:21" ht="14.5" outlineLevel="3">
      <c r="B1310" s="44" t="s">
        <v>3876</v>
      </c>
      <c r="C1310" s="45" t="s">
        <v>3877</v>
      </c>
      <c r="D1310" s="46" t="s">
        <v>102</v>
      </c>
      <c r="E1310" s="47" t="s">
        <v>102</v>
      </c>
      <c r="F1310" s="46" t="s">
        <v>102</v>
      </c>
      <c r="G1310" s="47" t="s">
        <v>102</v>
      </c>
      <c r="H1310" s="48">
        <v>0</v>
      </c>
      <c r="I1310" s="48">
        <v>0</v>
      </c>
      <c r="J1310" s="47" t="s">
        <v>3696</v>
      </c>
      <c r="K1310" s="49">
        <v>0</v>
      </c>
      <c r="L1310" s="49" t="s">
        <v>116</v>
      </c>
      <c r="M1310" s="46" t="s">
        <v>117</v>
      </c>
      <c r="N1310" s="50">
        <v>0</v>
      </c>
      <c r="O1310" s="50">
        <v>0</v>
      </c>
      <c r="P1310" s="50">
        <v>0</v>
      </c>
      <c r="Q1310" s="46" t="s">
        <v>102</v>
      </c>
      <c r="R1310" s="46" t="s">
        <v>102</v>
      </c>
      <c r="S1310" s="46" t="s">
        <v>102</v>
      </c>
      <c r="T1310" s="46" t="s">
        <v>3773</v>
      </c>
      <c r="U1310" s="51">
        <v>4</v>
      </c>
    </row>
    <row r="1311" spans="2:21" ht="14.5" outlineLevel="3">
      <c r="B1311" s="44" t="s">
        <v>3878</v>
      </c>
      <c r="C1311" s="45" t="s">
        <v>3879</v>
      </c>
      <c r="D1311" s="46" t="s">
        <v>102</v>
      </c>
      <c r="E1311" s="47" t="s">
        <v>102</v>
      </c>
      <c r="F1311" s="46" t="s">
        <v>102</v>
      </c>
      <c r="G1311" s="47" t="s">
        <v>102</v>
      </c>
      <c r="H1311" s="48">
        <v>0</v>
      </c>
      <c r="I1311" s="48">
        <v>0</v>
      </c>
      <c r="J1311" s="47" t="s">
        <v>3696</v>
      </c>
      <c r="K1311" s="49">
        <v>0</v>
      </c>
      <c r="L1311" s="49" t="s">
        <v>116</v>
      </c>
      <c r="M1311" s="46" t="s">
        <v>117</v>
      </c>
      <c r="N1311" s="50">
        <v>0</v>
      </c>
      <c r="O1311" s="50">
        <v>0</v>
      </c>
      <c r="P1311" s="50">
        <v>0</v>
      </c>
      <c r="Q1311" s="46" t="s">
        <v>102</v>
      </c>
      <c r="R1311" s="46" t="s">
        <v>102</v>
      </c>
      <c r="S1311" s="46" t="s">
        <v>102</v>
      </c>
      <c r="T1311" s="46" t="s">
        <v>3088</v>
      </c>
      <c r="U1311" s="51">
        <v>4</v>
      </c>
    </row>
    <row r="1312" spans="2:21" ht="14.5" outlineLevel="3">
      <c r="B1312" s="44" t="s">
        <v>3880</v>
      </c>
      <c r="C1312" s="45" t="s">
        <v>3881</v>
      </c>
      <c r="D1312" s="46" t="s">
        <v>102</v>
      </c>
      <c r="E1312" s="47" t="s">
        <v>102</v>
      </c>
      <c r="F1312" s="46" t="s">
        <v>102</v>
      </c>
      <c r="G1312" s="47" t="s">
        <v>102</v>
      </c>
      <c r="H1312" s="48">
        <v>0</v>
      </c>
      <c r="I1312" s="48">
        <v>0</v>
      </c>
      <c r="J1312" s="47" t="s">
        <v>3696</v>
      </c>
      <c r="K1312" s="49">
        <v>0</v>
      </c>
      <c r="L1312" s="49" t="s">
        <v>116</v>
      </c>
      <c r="M1312" s="46" t="s">
        <v>117</v>
      </c>
      <c r="N1312" s="50">
        <v>0</v>
      </c>
      <c r="O1312" s="50">
        <v>0</v>
      </c>
      <c r="P1312" s="50">
        <v>0</v>
      </c>
      <c r="Q1312" s="46" t="s">
        <v>102</v>
      </c>
      <c r="R1312" s="46" t="s">
        <v>102</v>
      </c>
      <c r="S1312" s="46" t="s">
        <v>102</v>
      </c>
      <c r="T1312" s="46" t="s">
        <v>3091</v>
      </c>
      <c r="U1312" s="51">
        <v>4</v>
      </c>
    </row>
    <row r="1313" spans="2:21" ht="14.5" outlineLevel="2">
      <c r="B1313" s="36" t="s">
        <v>3882</v>
      </c>
      <c r="C1313" s="37" t="s">
        <v>3883</v>
      </c>
      <c r="D1313" s="38" t="s">
        <v>102</v>
      </c>
      <c r="E1313" s="39" t="s">
        <v>102</v>
      </c>
      <c r="F1313" s="38" t="s">
        <v>102</v>
      </c>
      <c r="G1313" s="39" t="s">
        <v>102</v>
      </c>
      <c r="H1313" s="40">
        <v>0</v>
      </c>
      <c r="I1313" s="40">
        <v>0</v>
      </c>
      <c r="J1313" s="39" t="s">
        <v>3696</v>
      </c>
      <c r="K1313" s="41">
        <v>0</v>
      </c>
      <c r="L1313" s="41" t="s">
        <v>116</v>
      </c>
      <c r="M1313" s="38" t="s">
        <v>117</v>
      </c>
      <c r="N1313" s="42">
        <v>0</v>
      </c>
      <c r="O1313" s="42">
        <v>0</v>
      </c>
      <c r="P1313" s="42">
        <v>0</v>
      </c>
      <c r="Q1313" s="38" t="s">
        <v>102</v>
      </c>
      <c r="R1313" s="38" t="s">
        <v>102</v>
      </c>
      <c r="S1313" s="38" t="s">
        <v>102</v>
      </c>
      <c r="T1313" s="38" t="s">
        <v>3780</v>
      </c>
      <c r="U1313" s="43">
        <v>4</v>
      </c>
    </row>
    <row r="1314" spans="2:21" ht="14.5" outlineLevel="3">
      <c r="B1314" s="44" t="s">
        <v>3884</v>
      </c>
      <c r="C1314" s="45" t="s">
        <v>3885</v>
      </c>
      <c r="D1314" s="46" t="s">
        <v>102</v>
      </c>
      <c r="E1314" s="47" t="s">
        <v>102</v>
      </c>
      <c r="F1314" s="46" t="s">
        <v>102</v>
      </c>
      <c r="G1314" s="47" t="s">
        <v>102</v>
      </c>
      <c r="H1314" s="48">
        <v>0</v>
      </c>
      <c r="I1314" s="48">
        <v>0</v>
      </c>
      <c r="J1314" s="47" t="s">
        <v>3696</v>
      </c>
      <c r="K1314" s="49">
        <v>0</v>
      </c>
      <c r="L1314" s="49" t="s">
        <v>116</v>
      </c>
      <c r="M1314" s="46" t="s">
        <v>117</v>
      </c>
      <c r="N1314" s="50">
        <v>0</v>
      </c>
      <c r="O1314" s="50">
        <v>0</v>
      </c>
      <c r="P1314" s="50">
        <v>0</v>
      </c>
      <c r="Q1314" s="46" t="s">
        <v>102</v>
      </c>
      <c r="R1314" s="46" t="s">
        <v>102</v>
      </c>
      <c r="S1314" s="46" t="s">
        <v>102</v>
      </c>
      <c r="T1314" s="46" t="s">
        <v>3783</v>
      </c>
      <c r="U1314" s="51">
        <v>4</v>
      </c>
    </row>
    <row r="1315" spans="2:21" ht="14.5" outlineLevel="3">
      <c r="B1315" s="44" t="s">
        <v>3886</v>
      </c>
      <c r="C1315" s="45" t="s">
        <v>3887</v>
      </c>
      <c r="D1315" s="46" t="s">
        <v>102</v>
      </c>
      <c r="E1315" s="47" t="s">
        <v>102</v>
      </c>
      <c r="F1315" s="46" t="s">
        <v>102</v>
      </c>
      <c r="G1315" s="47" t="s">
        <v>102</v>
      </c>
      <c r="H1315" s="48">
        <v>0</v>
      </c>
      <c r="I1315" s="48">
        <v>0</v>
      </c>
      <c r="J1315" s="47" t="s">
        <v>3696</v>
      </c>
      <c r="K1315" s="49">
        <v>0</v>
      </c>
      <c r="L1315" s="49" t="s">
        <v>116</v>
      </c>
      <c r="M1315" s="46" t="s">
        <v>117</v>
      </c>
      <c r="N1315" s="50">
        <v>0</v>
      </c>
      <c r="O1315" s="50">
        <v>0</v>
      </c>
      <c r="P1315" s="50">
        <v>0</v>
      </c>
      <c r="Q1315" s="46" t="s">
        <v>102</v>
      </c>
      <c r="R1315" s="46" t="s">
        <v>102</v>
      </c>
      <c r="S1315" s="46" t="s">
        <v>102</v>
      </c>
      <c r="T1315" s="46" t="s">
        <v>3094</v>
      </c>
      <c r="U1315" s="51">
        <v>4</v>
      </c>
    </row>
    <row r="1316" spans="2:21" ht="14.5" outlineLevel="3">
      <c r="B1316" s="44" t="s">
        <v>3888</v>
      </c>
      <c r="C1316" s="45" t="s">
        <v>3889</v>
      </c>
      <c r="D1316" s="46" t="s">
        <v>102</v>
      </c>
      <c r="E1316" s="47" t="s">
        <v>102</v>
      </c>
      <c r="F1316" s="46" t="s">
        <v>102</v>
      </c>
      <c r="G1316" s="47" t="s">
        <v>102</v>
      </c>
      <c r="H1316" s="48">
        <v>0</v>
      </c>
      <c r="I1316" s="48">
        <v>0</v>
      </c>
      <c r="J1316" s="47" t="s">
        <v>3788</v>
      </c>
      <c r="K1316" s="49">
        <v>0</v>
      </c>
      <c r="L1316" s="49" t="s">
        <v>116</v>
      </c>
      <c r="M1316" s="46" t="s">
        <v>117</v>
      </c>
      <c r="N1316" s="50">
        <v>0</v>
      </c>
      <c r="O1316" s="50">
        <v>0</v>
      </c>
      <c r="P1316" s="50">
        <v>0</v>
      </c>
      <c r="Q1316" s="46" t="s">
        <v>102</v>
      </c>
      <c r="R1316" s="46" t="s">
        <v>102</v>
      </c>
      <c r="S1316" s="46" t="s">
        <v>102</v>
      </c>
      <c r="T1316" s="46" t="s">
        <v>3789</v>
      </c>
      <c r="U1316" s="51">
        <v>4</v>
      </c>
    </row>
    <row r="1317" spans="2:21" ht="14.5" outlineLevel="3">
      <c r="B1317" s="44" t="s">
        <v>3890</v>
      </c>
      <c r="C1317" s="45" t="s">
        <v>3891</v>
      </c>
      <c r="D1317" s="46" t="s">
        <v>102</v>
      </c>
      <c r="E1317" s="47" t="s">
        <v>102</v>
      </c>
      <c r="F1317" s="46" t="s">
        <v>102</v>
      </c>
      <c r="G1317" s="47" t="s">
        <v>102</v>
      </c>
      <c r="H1317" s="48">
        <v>0</v>
      </c>
      <c r="I1317" s="48">
        <v>0</v>
      </c>
      <c r="J1317" s="47" t="s">
        <v>3696</v>
      </c>
      <c r="K1317" s="49">
        <v>0</v>
      </c>
      <c r="L1317" s="49" t="s">
        <v>116</v>
      </c>
      <c r="M1317" s="46" t="s">
        <v>117</v>
      </c>
      <c r="N1317" s="50">
        <v>0</v>
      </c>
      <c r="O1317" s="50">
        <v>0</v>
      </c>
      <c r="P1317" s="50">
        <v>0</v>
      </c>
      <c r="Q1317" s="46" t="s">
        <v>102</v>
      </c>
      <c r="R1317" s="46" t="s">
        <v>102</v>
      </c>
      <c r="S1317" s="46" t="s">
        <v>102</v>
      </c>
      <c r="T1317" s="46" t="s">
        <v>3792</v>
      </c>
      <c r="U1317" s="51">
        <v>4</v>
      </c>
    </row>
    <row r="1318" spans="2:21" ht="14.5" outlineLevel="3">
      <c r="B1318" s="44" t="s">
        <v>3892</v>
      </c>
      <c r="C1318" s="45" t="s">
        <v>3893</v>
      </c>
      <c r="D1318" s="46" t="s">
        <v>392</v>
      </c>
      <c r="E1318" s="47" t="s">
        <v>102</v>
      </c>
      <c r="F1318" s="46" t="s">
        <v>102</v>
      </c>
      <c r="G1318" s="47" t="s">
        <v>102</v>
      </c>
      <c r="H1318" s="48">
        <v>0</v>
      </c>
      <c r="I1318" s="48">
        <v>0</v>
      </c>
      <c r="J1318" s="47" t="s">
        <v>3696</v>
      </c>
      <c r="K1318" s="49">
        <v>0</v>
      </c>
      <c r="L1318" s="49" t="s">
        <v>116</v>
      </c>
      <c r="M1318" s="46" t="s">
        <v>117</v>
      </c>
      <c r="N1318" s="50">
        <v>0</v>
      </c>
      <c r="O1318" s="50">
        <v>0</v>
      </c>
      <c r="P1318" s="50">
        <v>0</v>
      </c>
      <c r="Q1318" s="46" t="s">
        <v>102</v>
      </c>
      <c r="R1318" s="46" t="s">
        <v>102</v>
      </c>
      <c r="S1318" s="46" t="s">
        <v>102</v>
      </c>
      <c r="T1318" s="46" t="s">
        <v>3431</v>
      </c>
      <c r="U1318" s="51">
        <v>4</v>
      </c>
    </row>
    <row r="1319" spans="2:21" ht="14.5" outlineLevel="3">
      <c r="B1319" s="44" t="s">
        <v>3894</v>
      </c>
      <c r="C1319" s="45" t="s">
        <v>3895</v>
      </c>
      <c r="D1319" s="46" t="s">
        <v>102</v>
      </c>
      <c r="E1319" s="47" t="s">
        <v>102</v>
      </c>
      <c r="F1319" s="46" t="s">
        <v>102</v>
      </c>
      <c r="G1319" s="47" t="s">
        <v>102</v>
      </c>
      <c r="H1319" s="48">
        <v>0</v>
      </c>
      <c r="I1319" s="48">
        <v>0</v>
      </c>
      <c r="J1319" s="47" t="s">
        <v>102</v>
      </c>
      <c r="K1319" s="49">
        <v>0</v>
      </c>
      <c r="L1319" s="49" t="s">
        <v>102</v>
      </c>
      <c r="M1319" s="46" t="s">
        <v>102</v>
      </c>
      <c r="N1319" s="50">
        <v>0</v>
      </c>
      <c r="O1319" s="50">
        <v>0</v>
      </c>
      <c r="P1319" s="50">
        <v>0</v>
      </c>
      <c r="Q1319" s="46" t="s">
        <v>102</v>
      </c>
      <c r="R1319" s="46" t="s">
        <v>102</v>
      </c>
      <c r="S1319" s="46" t="s">
        <v>3896</v>
      </c>
      <c r="T1319" s="46" t="s">
        <v>102</v>
      </c>
      <c r="U1319" s="51">
        <v>3</v>
      </c>
    </row>
    <row r="1320" spans="2:21" ht="14.5" outlineLevel="3">
      <c r="B1320" s="44" t="s">
        <v>3897</v>
      </c>
      <c r="C1320" s="45" t="s">
        <v>3898</v>
      </c>
      <c r="D1320" s="46" t="s">
        <v>102</v>
      </c>
      <c r="E1320" s="47" t="s">
        <v>102</v>
      </c>
      <c r="F1320" s="46" t="s">
        <v>102</v>
      </c>
      <c r="G1320" s="47" t="s">
        <v>102</v>
      </c>
      <c r="H1320" s="48">
        <v>0</v>
      </c>
      <c r="I1320" s="48">
        <v>0</v>
      </c>
      <c r="J1320" s="47" t="s">
        <v>3691</v>
      </c>
      <c r="K1320" s="49">
        <v>0</v>
      </c>
      <c r="L1320" s="49" t="s">
        <v>116</v>
      </c>
      <c r="M1320" s="46" t="s">
        <v>117</v>
      </c>
      <c r="N1320" s="50">
        <v>0</v>
      </c>
      <c r="O1320" s="50">
        <v>0</v>
      </c>
      <c r="P1320" s="50">
        <v>0</v>
      </c>
      <c r="Q1320" s="46" t="s">
        <v>102</v>
      </c>
      <c r="R1320" s="46" t="s">
        <v>102</v>
      </c>
      <c r="S1320" s="46" t="s">
        <v>102</v>
      </c>
      <c r="T1320" s="46" t="s">
        <v>259</v>
      </c>
      <c r="U1320" s="51">
        <v>4</v>
      </c>
    </row>
    <row r="1321" spans="2:21" ht="14.5" outlineLevel="3">
      <c r="B1321" s="44" t="s">
        <v>3899</v>
      </c>
      <c r="C1321" s="45" t="s">
        <v>3900</v>
      </c>
      <c r="D1321" s="46" t="s">
        <v>102</v>
      </c>
      <c r="E1321" s="47" t="s">
        <v>102</v>
      </c>
      <c r="F1321" s="46" t="s">
        <v>102</v>
      </c>
      <c r="G1321" s="47" t="s">
        <v>102</v>
      </c>
      <c r="H1321" s="48">
        <v>0</v>
      </c>
      <c r="I1321" s="48">
        <v>0</v>
      </c>
      <c r="J1321" s="47" t="s">
        <v>3691</v>
      </c>
      <c r="K1321" s="49">
        <v>0</v>
      </c>
      <c r="L1321" s="49" t="s">
        <v>116</v>
      </c>
      <c r="M1321" s="46" t="s">
        <v>117</v>
      </c>
      <c r="N1321" s="50">
        <v>0</v>
      </c>
      <c r="O1321" s="50">
        <v>0</v>
      </c>
      <c r="P1321" s="50">
        <v>0</v>
      </c>
      <c r="Q1321" s="46" t="s">
        <v>102</v>
      </c>
      <c r="R1321" s="46" t="s">
        <v>102</v>
      </c>
      <c r="S1321" s="46" t="s">
        <v>102</v>
      </c>
      <c r="T1321" s="46" t="s">
        <v>418</v>
      </c>
      <c r="U1321" s="51">
        <v>4</v>
      </c>
    </row>
    <row r="1322" spans="2:21" ht="14.5" outlineLevel="3">
      <c r="B1322" s="44" t="s">
        <v>3901</v>
      </c>
      <c r="C1322" s="45" t="s">
        <v>3902</v>
      </c>
      <c r="D1322" s="46" t="s">
        <v>102</v>
      </c>
      <c r="E1322" s="47" t="s">
        <v>102</v>
      </c>
      <c r="F1322" s="46" t="s">
        <v>102</v>
      </c>
      <c r="G1322" s="47" t="s">
        <v>102</v>
      </c>
      <c r="H1322" s="48">
        <v>0</v>
      </c>
      <c r="I1322" s="48">
        <v>0</v>
      </c>
      <c r="J1322" s="47" t="s">
        <v>3696</v>
      </c>
      <c r="K1322" s="49">
        <v>0</v>
      </c>
      <c r="L1322" s="49" t="s">
        <v>116</v>
      </c>
      <c r="M1322" s="46" t="s">
        <v>117</v>
      </c>
      <c r="N1322" s="50">
        <v>0</v>
      </c>
      <c r="O1322" s="50">
        <v>0</v>
      </c>
      <c r="P1322" s="50">
        <v>0</v>
      </c>
      <c r="Q1322" s="46" t="s">
        <v>102</v>
      </c>
      <c r="R1322" s="46" t="s">
        <v>102</v>
      </c>
      <c r="S1322" s="46" t="s">
        <v>102</v>
      </c>
      <c r="T1322" s="46" t="s">
        <v>223</v>
      </c>
      <c r="U1322" s="51">
        <v>4</v>
      </c>
    </row>
    <row r="1323" spans="2:21" ht="14.5" outlineLevel="3">
      <c r="B1323" s="44" t="s">
        <v>3903</v>
      </c>
      <c r="C1323" s="45" t="s">
        <v>3904</v>
      </c>
      <c r="D1323" s="46" t="s">
        <v>102</v>
      </c>
      <c r="E1323" s="47" t="s">
        <v>102</v>
      </c>
      <c r="F1323" s="46" t="s">
        <v>102</v>
      </c>
      <c r="G1323" s="47" t="s">
        <v>102</v>
      </c>
      <c r="H1323" s="48">
        <v>0</v>
      </c>
      <c r="I1323" s="48">
        <v>0</v>
      </c>
      <c r="J1323" s="47" t="s">
        <v>3696</v>
      </c>
      <c r="K1323" s="49">
        <v>0</v>
      </c>
      <c r="L1323" s="49" t="s">
        <v>116</v>
      </c>
      <c r="M1323" s="46" t="s">
        <v>117</v>
      </c>
      <c r="N1323" s="50">
        <v>0</v>
      </c>
      <c r="O1323" s="50">
        <v>0</v>
      </c>
      <c r="P1323" s="50">
        <v>0</v>
      </c>
      <c r="Q1323" s="46" t="s">
        <v>102</v>
      </c>
      <c r="R1323" s="46" t="s">
        <v>102</v>
      </c>
      <c r="S1323" s="46" t="s">
        <v>102</v>
      </c>
      <c r="T1323" s="46" t="s">
        <v>736</v>
      </c>
      <c r="U1323" s="51">
        <v>4</v>
      </c>
    </row>
    <row r="1324" spans="2:21" ht="14.5" outlineLevel="3">
      <c r="B1324" s="44" t="s">
        <v>3905</v>
      </c>
      <c r="C1324" s="45" t="s">
        <v>3906</v>
      </c>
      <c r="D1324" s="46" t="s">
        <v>102</v>
      </c>
      <c r="E1324" s="47" t="s">
        <v>102</v>
      </c>
      <c r="F1324" s="46" t="s">
        <v>102</v>
      </c>
      <c r="G1324" s="47" t="s">
        <v>102</v>
      </c>
      <c r="H1324" s="48">
        <v>0</v>
      </c>
      <c r="I1324" s="48">
        <v>0</v>
      </c>
      <c r="J1324" s="47" t="s">
        <v>3696</v>
      </c>
      <c r="K1324" s="49">
        <v>0</v>
      </c>
      <c r="L1324" s="49" t="s">
        <v>116</v>
      </c>
      <c r="M1324" s="46" t="s">
        <v>117</v>
      </c>
      <c r="N1324" s="50">
        <v>0</v>
      </c>
      <c r="O1324" s="50">
        <v>0</v>
      </c>
      <c r="P1324" s="50">
        <v>0</v>
      </c>
      <c r="Q1324" s="46" t="s">
        <v>102</v>
      </c>
      <c r="R1324" s="46" t="s">
        <v>102</v>
      </c>
      <c r="S1324" s="46" t="s">
        <v>102</v>
      </c>
      <c r="T1324" s="46" t="s">
        <v>741</v>
      </c>
      <c r="U1324" s="51">
        <v>4</v>
      </c>
    </row>
    <row r="1325" spans="2:21" ht="14.5" outlineLevel="3">
      <c r="B1325" s="44" t="s">
        <v>3907</v>
      </c>
      <c r="C1325" s="45" t="s">
        <v>3908</v>
      </c>
      <c r="D1325" s="46" t="s">
        <v>102</v>
      </c>
      <c r="E1325" s="47" t="s">
        <v>102</v>
      </c>
      <c r="F1325" s="46" t="s">
        <v>102</v>
      </c>
      <c r="G1325" s="47" t="s">
        <v>102</v>
      </c>
      <c r="H1325" s="48">
        <v>0</v>
      </c>
      <c r="I1325" s="48">
        <v>0</v>
      </c>
      <c r="J1325" s="47" t="s">
        <v>3696</v>
      </c>
      <c r="K1325" s="49">
        <v>0</v>
      </c>
      <c r="L1325" s="49" t="s">
        <v>116</v>
      </c>
      <c r="M1325" s="46" t="s">
        <v>117</v>
      </c>
      <c r="N1325" s="50">
        <v>0</v>
      </c>
      <c r="O1325" s="50">
        <v>0</v>
      </c>
      <c r="P1325" s="50">
        <v>0</v>
      </c>
      <c r="Q1325" s="46" t="s">
        <v>102</v>
      </c>
      <c r="R1325" s="46" t="s">
        <v>102</v>
      </c>
      <c r="S1325" s="46" t="s">
        <v>102</v>
      </c>
      <c r="T1325" s="46" t="s">
        <v>243</v>
      </c>
      <c r="U1325" s="51">
        <v>4</v>
      </c>
    </row>
    <row r="1326" spans="2:21" ht="14.5" outlineLevel="3">
      <c r="B1326" s="44" t="s">
        <v>3909</v>
      </c>
      <c r="C1326" s="45" t="s">
        <v>3910</v>
      </c>
      <c r="D1326" s="46" t="s">
        <v>102</v>
      </c>
      <c r="E1326" s="47" t="s">
        <v>102</v>
      </c>
      <c r="F1326" s="46" t="s">
        <v>102</v>
      </c>
      <c r="G1326" s="47" t="s">
        <v>102</v>
      </c>
      <c r="H1326" s="48">
        <v>0</v>
      </c>
      <c r="I1326" s="48">
        <v>0</v>
      </c>
      <c r="J1326" s="47" t="s">
        <v>3696</v>
      </c>
      <c r="K1326" s="49">
        <v>0</v>
      </c>
      <c r="L1326" s="49" t="s">
        <v>116</v>
      </c>
      <c r="M1326" s="46" t="s">
        <v>117</v>
      </c>
      <c r="N1326" s="50">
        <v>0</v>
      </c>
      <c r="O1326" s="50">
        <v>0</v>
      </c>
      <c r="P1326" s="50">
        <v>0</v>
      </c>
      <c r="Q1326" s="46" t="s">
        <v>102</v>
      </c>
      <c r="R1326" s="46" t="s">
        <v>102</v>
      </c>
      <c r="S1326" s="46" t="s">
        <v>102</v>
      </c>
      <c r="T1326" s="46" t="s">
        <v>750</v>
      </c>
      <c r="U1326" s="51">
        <v>4</v>
      </c>
    </row>
    <row r="1327" spans="2:21" ht="14.5" outlineLevel="3">
      <c r="B1327" s="44" t="s">
        <v>3911</v>
      </c>
      <c r="C1327" s="45" t="s">
        <v>3912</v>
      </c>
      <c r="D1327" s="46" t="s">
        <v>102</v>
      </c>
      <c r="E1327" s="47" t="s">
        <v>102</v>
      </c>
      <c r="F1327" s="46" t="s">
        <v>102</v>
      </c>
      <c r="G1327" s="47" t="s">
        <v>102</v>
      </c>
      <c r="H1327" s="48">
        <v>0</v>
      </c>
      <c r="I1327" s="48">
        <v>0</v>
      </c>
      <c r="J1327" s="47" t="s">
        <v>3696</v>
      </c>
      <c r="K1327" s="49">
        <v>0</v>
      </c>
      <c r="L1327" s="49" t="s">
        <v>116</v>
      </c>
      <c r="M1327" s="46" t="s">
        <v>117</v>
      </c>
      <c r="N1327" s="50">
        <v>0</v>
      </c>
      <c r="O1327" s="50">
        <v>0</v>
      </c>
      <c r="P1327" s="50">
        <v>0</v>
      </c>
      <c r="Q1327" s="46" t="s">
        <v>102</v>
      </c>
      <c r="R1327" s="46" t="s">
        <v>102</v>
      </c>
      <c r="S1327" s="46" t="s">
        <v>102</v>
      </c>
      <c r="T1327" s="46" t="s">
        <v>778</v>
      </c>
      <c r="U1327" s="51">
        <v>4</v>
      </c>
    </row>
    <row r="1328" spans="2:21" ht="14.5" outlineLevel="3">
      <c r="B1328" s="44" t="s">
        <v>3913</v>
      </c>
      <c r="C1328" s="45" t="s">
        <v>3914</v>
      </c>
      <c r="D1328" s="46" t="s">
        <v>102</v>
      </c>
      <c r="E1328" s="47" t="s">
        <v>102</v>
      </c>
      <c r="F1328" s="46" t="s">
        <v>102</v>
      </c>
      <c r="G1328" s="47" t="s">
        <v>102</v>
      </c>
      <c r="H1328" s="48">
        <v>0</v>
      </c>
      <c r="I1328" s="48">
        <v>0</v>
      </c>
      <c r="J1328" s="47" t="s">
        <v>3696</v>
      </c>
      <c r="K1328" s="49">
        <v>0</v>
      </c>
      <c r="L1328" s="49" t="s">
        <v>116</v>
      </c>
      <c r="M1328" s="46" t="s">
        <v>117</v>
      </c>
      <c r="N1328" s="50">
        <v>0</v>
      </c>
      <c r="O1328" s="50">
        <v>0</v>
      </c>
      <c r="P1328" s="50">
        <v>0</v>
      </c>
      <c r="Q1328" s="46" t="s">
        <v>102</v>
      </c>
      <c r="R1328" s="46" t="s">
        <v>102</v>
      </c>
      <c r="S1328" s="46" t="s">
        <v>102</v>
      </c>
      <c r="T1328" s="46" t="s">
        <v>831</v>
      </c>
      <c r="U1328" s="51">
        <v>4</v>
      </c>
    </row>
    <row r="1329" spans="2:21" ht="14.5" outlineLevel="3">
      <c r="B1329" s="44" t="s">
        <v>3915</v>
      </c>
      <c r="C1329" s="45" t="s">
        <v>3916</v>
      </c>
      <c r="D1329" s="46" t="s">
        <v>102</v>
      </c>
      <c r="E1329" s="47" t="s">
        <v>102</v>
      </c>
      <c r="F1329" s="46" t="s">
        <v>102</v>
      </c>
      <c r="G1329" s="47" t="s">
        <v>102</v>
      </c>
      <c r="H1329" s="48">
        <v>0</v>
      </c>
      <c r="I1329" s="48">
        <v>0</v>
      </c>
      <c r="J1329" s="47" t="s">
        <v>3696</v>
      </c>
      <c r="K1329" s="49">
        <v>0</v>
      </c>
      <c r="L1329" s="49" t="s">
        <v>116</v>
      </c>
      <c r="M1329" s="46" t="s">
        <v>117</v>
      </c>
      <c r="N1329" s="50">
        <v>0</v>
      </c>
      <c r="O1329" s="50">
        <v>0</v>
      </c>
      <c r="P1329" s="50">
        <v>0</v>
      </c>
      <c r="Q1329" s="46" t="s">
        <v>102</v>
      </c>
      <c r="R1329" s="46" t="s">
        <v>102</v>
      </c>
      <c r="S1329" s="46" t="s">
        <v>102</v>
      </c>
      <c r="T1329" s="46" t="s">
        <v>835</v>
      </c>
      <c r="U1329" s="51">
        <v>4</v>
      </c>
    </row>
    <row r="1330" spans="2:21" ht="14.5" outlineLevel="3">
      <c r="B1330" s="44" t="s">
        <v>3917</v>
      </c>
      <c r="C1330" s="45" t="s">
        <v>3918</v>
      </c>
      <c r="D1330" s="46" t="s">
        <v>102</v>
      </c>
      <c r="E1330" s="47" t="s">
        <v>102</v>
      </c>
      <c r="F1330" s="46" t="s">
        <v>102</v>
      </c>
      <c r="G1330" s="47" t="s">
        <v>102</v>
      </c>
      <c r="H1330" s="48">
        <v>0</v>
      </c>
      <c r="I1330" s="48">
        <v>0</v>
      </c>
      <c r="J1330" s="47" t="s">
        <v>3696</v>
      </c>
      <c r="K1330" s="49">
        <v>0</v>
      </c>
      <c r="L1330" s="49" t="s">
        <v>116</v>
      </c>
      <c r="M1330" s="46" t="s">
        <v>117</v>
      </c>
      <c r="N1330" s="50">
        <v>0</v>
      </c>
      <c r="O1330" s="50">
        <v>0</v>
      </c>
      <c r="P1330" s="50">
        <v>0</v>
      </c>
      <c r="Q1330" s="46" t="s">
        <v>102</v>
      </c>
      <c r="R1330" s="46" t="s">
        <v>102</v>
      </c>
      <c r="S1330" s="46" t="s">
        <v>102</v>
      </c>
      <c r="T1330" s="46" t="s">
        <v>840</v>
      </c>
      <c r="U1330" s="51">
        <v>4</v>
      </c>
    </row>
    <row r="1331" spans="2:21" ht="14.5" outlineLevel="3">
      <c r="B1331" s="44" t="s">
        <v>3919</v>
      </c>
      <c r="C1331" s="45" t="s">
        <v>3920</v>
      </c>
      <c r="D1331" s="46" t="s">
        <v>102</v>
      </c>
      <c r="E1331" s="47" t="s">
        <v>102</v>
      </c>
      <c r="F1331" s="46" t="s">
        <v>102</v>
      </c>
      <c r="G1331" s="47" t="s">
        <v>102</v>
      </c>
      <c r="H1331" s="48">
        <v>0</v>
      </c>
      <c r="I1331" s="48">
        <v>0</v>
      </c>
      <c r="J1331" s="47" t="s">
        <v>3696</v>
      </c>
      <c r="K1331" s="49">
        <v>0</v>
      </c>
      <c r="L1331" s="49" t="s">
        <v>116</v>
      </c>
      <c r="M1331" s="46" t="s">
        <v>117</v>
      </c>
      <c r="N1331" s="50">
        <v>0</v>
      </c>
      <c r="O1331" s="50">
        <v>0</v>
      </c>
      <c r="P1331" s="50">
        <v>0</v>
      </c>
      <c r="Q1331" s="46" t="s">
        <v>102</v>
      </c>
      <c r="R1331" s="46" t="s">
        <v>102</v>
      </c>
      <c r="S1331" s="46" t="s">
        <v>102</v>
      </c>
      <c r="T1331" s="46" t="s">
        <v>845</v>
      </c>
      <c r="U1331" s="51">
        <v>4</v>
      </c>
    </row>
    <row r="1332" spans="2:21" ht="14.5" outlineLevel="3">
      <c r="B1332" s="44" t="s">
        <v>3921</v>
      </c>
      <c r="C1332" s="45" t="s">
        <v>3922</v>
      </c>
      <c r="D1332" s="46" t="s">
        <v>102</v>
      </c>
      <c r="E1332" s="47" t="s">
        <v>102</v>
      </c>
      <c r="F1332" s="46" t="s">
        <v>102</v>
      </c>
      <c r="G1332" s="47" t="s">
        <v>102</v>
      </c>
      <c r="H1332" s="48">
        <v>0</v>
      </c>
      <c r="I1332" s="48">
        <v>0</v>
      </c>
      <c r="J1332" s="47" t="s">
        <v>3696</v>
      </c>
      <c r="K1332" s="49">
        <v>0</v>
      </c>
      <c r="L1332" s="49" t="s">
        <v>116</v>
      </c>
      <c r="M1332" s="46" t="s">
        <v>117</v>
      </c>
      <c r="N1332" s="50">
        <v>0</v>
      </c>
      <c r="O1332" s="50">
        <v>0</v>
      </c>
      <c r="P1332" s="50">
        <v>0</v>
      </c>
      <c r="Q1332" s="46" t="s">
        <v>102</v>
      </c>
      <c r="R1332" s="46" t="s">
        <v>102</v>
      </c>
      <c r="S1332" s="46" t="s">
        <v>102</v>
      </c>
      <c r="T1332" s="46" t="s">
        <v>850</v>
      </c>
      <c r="U1332" s="51">
        <v>4</v>
      </c>
    </row>
    <row r="1333" spans="2:21" ht="14.5" outlineLevel="3">
      <c r="B1333" s="44" t="s">
        <v>3923</v>
      </c>
      <c r="C1333" s="45" t="s">
        <v>3924</v>
      </c>
      <c r="D1333" s="46" t="s">
        <v>102</v>
      </c>
      <c r="E1333" s="47" t="s">
        <v>102</v>
      </c>
      <c r="F1333" s="46" t="s">
        <v>102</v>
      </c>
      <c r="G1333" s="47" t="s">
        <v>102</v>
      </c>
      <c r="H1333" s="48">
        <v>0</v>
      </c>
      <c r="I1333" s="48">
        <v>0</v>
      </c>
      <c r="J1333" s="47" t="s">
        <v>3696</v>
      </c>
      <c r="K1333" s="49">
        <v>0</v>
      </c>
      <c r="L1333" s="49" t="s">
        <v>116</v>
      </c>
      <c r="M1333" s="46" t="s">
        <v>117</v>
      </c>
      <c r="N1333" s="50">
        <v>0</v>
      </c>
      <c r="O1333" s="50">
        <v>0</v>
      </c>
      <c r="P1333" s="50">
        <v>0</v>
      </c>
      <c r="Q1333" s="46" t="s">
        <v>102</v>
      </c>
      <c r="R1333" s="46" t="s">
        <v>102</v>
      </c>
      <c r="S1333" s="46" t="s">
        <v>102</v>
      </c>
      <c r="T1333" s="46" t="s">
        <v>855</v>
      </c>
      <c r="U1333" s="51">
        <v>4</v>
      </c>
    </row>
    <row r="1334" spans="2:21" ht="14.5" outlineLevel="3">
      <c r="B1334" s="44" t="s">
        <v>3925</v>
      </c>
      <c r="C1334" s="45" t="s">
        <v>3926</v>
      </c>
      <c r="D1334" s="46" t="s">
        <v>102</v>
      </c>
      <c r="E1334" s="47" t="s">
        <v>102</v>
      </c>
      <c r="F1334" s="46" t="s">
        <v>102</v>
      </c>
      <c r="G1334" s="47" t="s">
        <v>102</v>
      </c>
      <c r="H1334" s="48">
        <v>0</v>
      </c>
      <c r="I1334" s="48">
        <v>0</v>
      </c>
      <c r="J1334" s="47" t="s">
        <v>3696</v>
      </c>
      <c r="K1334" s="49">
        <v>0</v>
      </c>
      <c r="L1334" s="49" t="s">
        <v>116</v>
      </c>
      <c r="M1334" s="46" t="s">
        <v>117</v>
      </c>
      <c r="N1334" s="50">
        <v>0</v>
      </c>
      <c r="O1334" s="50">
        <v>0</v>
      </c>
      <c r="P1334" s="50">
        <v>0</v>
      </c>
      <c r="Q1334" s="46" t="s">
        <v>102</v>
      </c>
      <c r="R1334" s="46" t="s">
        <v>102</v>
      </c>
      <c r="S1334" s="46" t="s">
        <v>102</v>
      </c>
      <c r="T1334" s="46" t="s">
        <v>860</v>
      </c>
      <c r="U1334" s="51">
        <v>4</v>
      </c>
    </row>
    <row r="1335" spans="2:21" ht="14.5" outlineLevel="3">
      <c r="B1335" s="44" t="s">
        <v>3927</v>
      </c>
      <c r="C1335" s="45" t="s">
        <v>3928</v>
      </c>
      <c r="D1335" s="46" t="s">
        <v>102</v>
      </c>
      <c r="E1335" s="47" t="s">
        <v>102</v>
      </c>
      <c r="F1335" s="46" t="s">
        <v>102</v>
      </c>
      <c r="G1335" s="47" t="s">
        <v>102</v>
      </c>
      <c r="H1335" s="48">
        <v>0</v>
      </c>
      <c r="I1335" s="48">
        <v>0</v>
      </c>
      <c r="J1335" s="47" t="s">
        <v>3696</v>
      </c>
      <c r="K1335" s="49">
        <v>0</v>
      </c>
      <c r="L1335" s="49" t="s">
        <v>116</v>
      </c>
      <c r="M1335" s="46" t="s">
        <v>117</v>
      </c>
      <c r="N1335" s="50">
        <v>0</v>
      </c>
      <c r="O1335" s="50">
        <v>0</v>
      </c>
      <c r="P1335" s="50">
        <v>0</v>
      </c>
      <c r="Q1335" s="46" t="s">
        <v>102</v>
      </c>
      <c r="R1335" s="46" t="s">
        <v>102</v>
      </c>
      <c r="S1335" s="46" t="s">
        <v>102</v>
      </c>
      <c r="T1335" s="46" t="s">
        <v>450</v>
      </c>
      <c r="U1335" s="51">
        <v>4</v>
      </c>
    </row>
    <row r="1336" spans="2:21" ht="14.5" outlineLevel="3">
      <c r="B1336" s="44" t="s">
        <v>3929</v>
      </c>
      <c r="C1336" s="45" t="s">
        <v>3930</v>
      </c>
      <c r="D1336" s="46" t="s">
        <v>102</v>
      </c>
      <c r="E1336" s="47" t="s">
        <v>102</v>
      </c>
      <c r="F1336" s="46" t="s">
        <v>102</v>
      </c>
      <c r="G1336" s="47" t="s">
        <v>102</v>
      </c>
      <c r="H1336" s="48">
        <v>0</v>
      </c>
      <c r="I1336" s="48">
        <v>0</v>
      </c>
      <c r="J1336" s="47" t="s">
        <v>3696</v>
      </c>
      <c r="K1336" s="49">
        <v>0</v>
      </c>
      <c r="L1336" s="49" t="s">
        <v>116</v>
      </c>
      <c r="M1336" s="46" t="s">
        <v>117</v>
      </c>
      <c r="N1336" s="50">
        <v>0</v>
      </c>
      <c r="O1336" s="50">
        <v>0</v>
      </c>
      <c r="P1336" s="50">
        <v>0</v>
      </c>
      <c r="Q1336" s="46" t="s">
        <v>102</v>
      </c>
      <c r="R1336" s="46" t="s">
        <v>102</v>
      </c>
      <c r="S1336" s="46" t="s">
        <v>102</v>
      </c>
      <c r="T1336" s="46" t="s">
        <v>923</v>
      </c>
      <c r="U1336" s="51">
        <v>4</v>
      </c>
    </row>
    <row r="1337" spans="2:21" ht="14.5" outlineLevel="3">
      <c r="B1337" s="44" t="s">
        <v>3931</v>
      </c>
      <c r="C1337" s="45" t="s">
        <v>3932</v>
      </c>
      <c r="D1337" s="46" t="s">
        <v>102</v>
      </c>
      <c r="E1337" s="47" t="s">
        <v>102</v>
      </c>
      <c r="F1337" s="46" t="s">
        <v>102</v>
      </c>
      <c r="G1337" s="47" t="s">
        <v>102</v>
      </c>
      <c r="H1337" s="48">
        <v>0</v>
      </c>
      <c r="I1337" s="48">
        <v>0</v>
      </c>
      <c r="J1337" s="47" t="s">
        <v>3696</v>
      </c>
      <c r="K1337" s="49">
        <v>0</v>
      </c>
      <c r="L1337" s="49" t="s">
        <v>116</v>
      </c>
      <c r="M1337" s="46" t="s">
        <v>117</v>
      </c>
      <c r="N1337" s="50">
        <v>0</v>
      </c>
      <c r="O1337" s="50">
        <v>0</v>
      </c>
      <c r="P1337" s="50">
        <v>0</v>
      </c>
      <c r="Q1337" s="46" t="s">
        <v>102</v>
      </c>
      <c r="R1337" s="46" t="s">
        <v>102</v>
      </c>
      <c r="S1337" s="46" t="s">
        <v>102</v>
      </c>
      <c r="T1337" s="46" t="s">
        <v>455</v>
      </c>
      <c r="U1337" s="51">
        <v>4</v>
      </c>
    </row>
    <row r="1338" spans="2:21" ht="14.5" outlineLevel="3">
      <c r="B1338" s="44" t="s">
        <v>3933</v>
      </c>
      <c r="C1338" s="45" t="s">
        <v>3934</v>
      </c>
      <c r="D1338" s="46" t="s">
        <v>102</v>
      </c>
      <c r="E1338" s="47" t="s">
        <v>102</v>
      </c>
      <c r="F1338" s="46" t="s">
        <v>102</v>
      </c>
      <c r="G1338" s="47" t="s">
        <v>102</v>
      </c>
      <c r="H1338" s="48">
        <v>0</v>
      </c>
      <c r="I1338" s="48">
        <v>0</v>
      </c>
      <c r="J1338" s="47" t="s">
        <v>3696</v>
      </c>
      <c r="K1338" s="49">
        <v>0</v>
      </c>
      <c r="L1338" s="49" t="s">
        <v>116</v>
      </c>
      <c r="M1338" s="46" t="s">
        <v>117</v>
      </c>
      <c r="N1338" s="50">
        <v>0</v>
      </c>
      <c r="O1338" s="50">
        <v>0</v>
      </c>
      <c r="P1338" s="50">
        <v>0</v>
      </c>
      <c r="Q1338" s="46" t="s">
        <v>102</v>
      </c>
      <c r="R1338" s="46" t="s">
        <v>102</v>
      </c>
      <c r="S1338" s="46" t="s">
        <v>102</v>
      </c>
      <c r="T1338" s="46" t="s">
        <v>3729</v>
      </c>
      <c r="U1338" s="51">
        <v>4</v>
      </c>
    </row>
    <row r="1339" spans="2:21" ht="14.5" outlineLevel="3">
      <c r="B1339" s="44" t="s">
        <v>3935</v>
      </c>
      <c r="C1339" s="45" t="s">
        <v>3936</v>
      </c>
      <c r="D1339" s="46" t="s">
        <v>102</v>
      </c>
      <c r="E1339" s="47" t="s">
        <v>102</v>
      </c>
      <c r="F1339" s="46" t="s">
        <v>102</v>
      </c>
      <c r="G1339" s="47" t="s">
        <v>102</v>
      </c>
      <c r="H1339" s="48">
        <v>0</v>
      </c>
      <c r="I1339" s="48">
        <v>0</v>
      </c>
      <c r="J1339" s="47" t="s">
        <v>3696</v>
      </c>
      <c r="K1339" s="49">
        <v>0</v>
      </c>
      <c r="L1339" s="49" t="s">
        <v>116</v>
      </c>
      <c r="M1339" s="46" t="s">
        <v>117</v>
      </c>
      <c r="N1339" s="50">
        <v>0</v>
      </c>
      <c r="O1339" s="50">
        <v>0</v>
      </c>
      <c r="P1339" s="50">
        <v>0</v>
      </c>
      <c r="Q1339" s="46" t="s">
        <v>102</v>
      </c>
      <c r="R1339" s="46" t="s">
        <v>102</v>
      </c>
      <c r="S1339" s="46" t="s">
        <v>102</v>
      </c>
      <c r="T1339" s="46" t="s">
        <v>2904</v>
      </c>
      <c r="U1339" s="51">
        <v>4</v>
      </c>
    </row>
    <row r="1340" spans="2:21" ht="14.5" outlineLevel="3">
      <c r="B1340" s="44" t="s">
        <v>3937</v>
      </c>
      <c r="C1340" s="45" t="s">
        <v>3938</v>
      </c>
      <c r="D1340" s="46" t="s">
        <v>102</v>
      </c>
      <c r="E1340" s="47" t="s">
        <v>102</v>
      </c>
      <c r="F1340" s="46" t="s">
        <v>102</v>
      </c>
      <c r="G1340" s="47" t="s">
        <v>102</v>
      </c>
      <c r="H1340" s="48">
        <v>0</v>
      </c>
      <c r="I1340" s="48">
        <v>0</v>
      </c>
      <c r="J1340" s="47" t="s">
        <v>3696</v>
      </c>
      <c r="K1340" s="49">
        <v>0</v>
      </c>
      <c r="L1340" s="49" t="s">
        <v>116</v>
      </c>
      <c r="M1340" s="46" t="s">
        <v>117</v>
      </c>
      <c r="N1340" s="50">
        <v>0</v>
      </c>
      <c r="O1340" s="50">
        <v>0</v>
      </c>
      <c r="P1340" s="50">
        <v>0</v>
      </c>
      <c r="Q1340" s="46" t="s">
        <v>102</v>
      </c>
      <c r="R1340" s="46" t="s">
        <v>102</v>
      </c>
      <c r="S1340" s="46" t="s">
        <v>102</v>
      </c>
      <c r="T1340" s="46" t="s">
        <v>995</v>
      </c>
      <c r="U1340" s="51">
        <v>4</v>
      </c>
    </row>
    <row r="1341" spans="2:21" ht="14.5" outlineLevel="3">
      <c r="B1341" s="44" t="s">
        <v>3939</v>
      </c>
      <c r="C1341" s="45" t="s">
        <v>3940</v>
      </c>
      <c r="D1341" s="46" t="s">
        <v>102</v>
      </c>
      <c r="E1341" s="47" t="s">
        <v>102</v>
      </c>
      <c r="F1341" s="46" t="s">
        <v>102</v>
      </c>
      <c r="G1341" s="47" t="s">
        <v>102</v>
      </c>
      <c r="H1341" s="48">
        <v>0</v>
      </c>
      <c r="I1341" s="48">
        <v>0</v>
      </c>
      <c r="J1341" s="47" t="s">
        <v>3696</v>
      </c>
      <c r="K1341" s="49">
        <v>0</v>
      </c>
      <c r="L1341" s="49" t="s">
        <v>116</v>
      </c>
      <c r="M1341" s="46" t="s">
        <v>117</v>
      </c>
      <c r="N1341" s="50">
        <v>0</v>
      </c>
      <c r="O1341" s="50">
        <v>0</v>
      </c>
      <c r="P1341" s="50">
        <v>0</v>
      </c>
      <c r="Q1341" s="46" t="s">
        <v>102</v>
      </c>
      <c r="R1341" s="46" t="s">
        <v>102</v>
      </c>
      <c r="S1341" s="46" t="s">
        <v>102</v>
      </c>
      <c r="T1341" s="46" t="s">
        <v>999</v>
      </c>
      <c r="U1341" s="51">
        <v>4</v>
      </c>
    </row>
    <row r="1342" spans="2:21" ht="14.5" outlineLevel="3">
      <c r="B1342" s="44" t="s">
        <v>3941</v>
      </c>
      <c r="C1342" s="45" t="s">
        <v>3942</v>
      </c>
      <c r="D1342" s="46" t="s">
        <v>102</v>
      </c>
      <c r="E1342" s="47" t="s">
        <v>102</v>
      </c>
      <c r="F1342" s="46" t="s">
        <v>102</v>
      </c>
      <c r="G1342" s="47" t="s">
        <v>102</v>
      </c>
      <c r="H1342" s="48">
        <v>0</v>
      </c>
      <c r="I1342" s="48">
        <v>0</v>
      </c>
      <c r="J1342" s="47" t="s">
        <v>3696</v>
      </c>
      <c r="K1342" s="49">
        <v>0</v>
      </c>
      <c r="L1342" s="49" t="s">
        <v>116</v>
      </c>
      <c r="M1342" s="46" t="s">
        <v>117</v>
      </c>
      <c r="N1342" s="50">
        <v>0</v>
      </c>
      <c r="O1342" s="50">
        <v>0</v>
      </c>
      <c r="P1342" s="50">
        <v>0</v>
      </c>
      <c r="Q1342" s="46" t="s">
        <v>102</v>
      </c>
      <c r="R1342" s="46" t="s">
        <v>102</v>
      </c>
      <c r="S1342" s="46" t="s">
        <v>102</v>
      </c>
      <c r="T1342" s="46" t="s">
        <v>1019</v>
      </c>
      <c r="U1342" s="51">
        <v>4</v>
      </c>
    </row>
    <row r="1343" spans="2:21" ht="14.5" outlineLevel="3">
      <c r="B1343" s="44" t="s">
        <v>3943</v>
      </c>
      <c r="C1343" s="45" t="s">
        <v>3944</v>
      </c>
      <c r="D1343" s="46" t="s">
        <v>102</v>
      </c>
      <c r="E1343" s="47" t="s">
        <v>102</v>
      </c>
      <c r="F1343" s="46" t="s">
        <v>102</v>
      </c>
      <c r="G1343" s="47" t="s">
        <v>102</v>
      </c>
      <c r="H1343" s="48">
        <v>0</v>
      </c>
      <c r="I1343" s="48">
        <v>0</v>
      </c>
      <c r="J1343" s="47" t="s">
        <v>3696</v>
      </c>
      <c r="K1343" s="49">
        <v>0</v>
      </c>
      <c r="L1343" s="49" t="s">
        <v>116</v>
      </c>
      <c r="M1343" s="46" t="s">
        <v>117</v>
      </c>
      <c r="N1343" s="50">
        <v>0</v>
      </c>
      <c r="O1343" s="50">
        <v>0</v>
      </c>
      <c r="P1343" s="50">
        <v>0</v>
      </c>
      <c r="Q1343" s="46" t="s">
        <v>102</v>
      </c>
      <c r="R1343" s="46" t="s">
        <v>102</v>
      </c>
      <c r="S1343" s="46" t="s">
        <v>102</v>
      </c>
      <c r="T1343" s="46" t="s">
        <v>2781</v>
      </c>
      <c r="U1343" s="51">
        <v>4</v>
      </c>
    </row>
    <row r="1344" spans="2:21" ht="14.5" outlineLevel="3">
      <c r="B1344" s="44" t="s">
        <v>3945</v>
      </c>
      <c r="C1344" s="45" t="s">
        <v>3946</v>
      </c>
      <c r="D1344" s="46" t="s">
        <v>102</v>
      </c>
      <c r="E1344" s="47" t="s">
        <v>102</v>
      </c>
      <c r="F1344" s="46" t="s">
        <v>102</v>
      </c>
      <c r="G1344" s="47" t="s">
        <v>102</v>
      </c>
      <c r="H1344" s="48">
        <v>0</v>
      </c>
      <c r="I1344" s="48">
        <v>0</v>
      </c>
      <c r="J1344" s="47" t="s">
        <v>3696</v>
      </c>
      <c r="K1344" s="49">
        <v>0</v>
      </c>
      <c r="L1344" s="49" t="s">
        <v>116</v>
      </c>
      <c r="M1344" s="46" t="s">
        <v>117</v>
      </c>
      <c r="N1344" s="50">
        <v>0</v>
      </c>
      <c r="O1344" s="50">
        <v>0</v>
      </c>
      <c r="P1344" s="50">
        <v>0</v>
      </c>
      <c r="Q1344" s="46" t="s">
        <v>102</v>
      </c>
      <c r="R1344" s="46" t="s">
        <v>102</v>
      </c>
      <c r="S1344" s="46" t="s">
        <v>102</v>
      </c>
      <c r="T1344" s="46" t="s">
        <v>2784</v>
      </c>
      <c r="U1344" s="51">
        <v>4</v>
      </c>
    </row>
    <row r="1345" spans="2:21" ht="14.5" outlineLevel="3">
      <c r="B1345" s="44" t="s">
        <v>3947</v>
      </c>
      <c r="C1345" s="45" t="s">
        <v>3948</v>
      </c>
      <c r="D1345" s="46" t="s">
        <v>102</v>
      </c>
      <c r="E1345" s="47" t="s">
        <v>102</v>
      </c>
      <c r="F1345" s="46" t="s">
        <v>102</v>
      </c>
      <c r="G1345" s="47" t="s">
        <v>102</v>
      </c>
      <c r="H1345" s="48">
        <v>0</v>
      </c>
      <c r="I1345" s="48">
        <v>0</v>
      </c>
      <c r="J1345" s="47" t="s">
        <v>3696</v>
      </c>
      <c r="K1345" s="49">
        <v>0</v>
      </c>
      <c r="L1345" s="49" t="s">
        <v>116</v>
      </c>
      <c r="M1345" s="46" t="s">
        <v>117</v>
      </c>
      <c r="N1345" s="50">
        <v>0</v>
      </c>
      <c r="O1345" s="50">
        <v>0</v>
      </c>
      <c r="P1345" s="50">
        <v>0</v>
      </c>
      <c r="Q1345" s="46" t="s">
        <v>102</v>
      </c>
      <c r="R1345" s="46" t="s">
        <v>102</v>
      </c>
      <c r="S1345" s="46" t="s">
        <v>102</v>
      </c>
      <c r="T1345" s="46" t="s">
        <v>2787</v>
      </c>
      <c r="U1345" s="51">
        <v>4</v>
      </c>
    </row>
    <row r="1346" spans="2:21" ht="14.5" outlineLevel="3">
      <c r="B1346" s="44" t="s">
        <v>3949</v>
      </c>
      <c r="C1346" s="45" t="s">
        <v>3950</v>
      </c>
      <c r="D1346" s="46" t="s">
        <v>102</v>
      </c>
      <c r="E1346" s="47" t="s">
        <v>102</v>
      </c>
      <c r="F1346" s="46" t="s">
        <v>102</v>
      </c>
      <c r="G1346" s="47" t="s">
        <v>102</v>
      </c>
      <c r="H1346" s="48">
        <v>0</v>
      </c>
      <c r="I1346" s="48">
        <v>0</v>
      </c>
      <c r="J1346" s="47" t="s">
        <v>3696</v>
      </c>
      <c r="K1346" s="49">
        <v>0</v>
      </c>
      <c r="L1346" s="49" t="s">
        <v>116</v>
      </c>
      <c r="M1346" s="46" t="s">
        <v>117</v>
      </c>
      <c r="N1346" s="50">
        <v>0</v>
      </c>
      <c r="O1346" s="50">
        <v>0</v>
      </c>
      <c r="P1346" s="50">
        <v>0</v>
      </c>
      <c r="Q1346" s="46" t="s">
        <v>102</v>
      </c>
      <c r="R1346" s="46" t="s">
        <v>102</v>
      </c>
      <c r="S1346" s="46" t="s">
        <v>102</v>
      </c>
      <c r="T1346" s="46" t="s">
        <v>3746</v>
      </c>
      <c r="U1346" s="51">
        <v>4</v>
      </c>
    </row>
    <row r="1347" spans="2:21" ht="14.5" outlineLevel="3">
      <c r="B1347" s="44" t="s">
        <v>3951</v>
      </c>
      <c r="C1347" s="45" t="s">
        <v>3952</v>
      </c>
      <c r="D1347" s="46" t="s">
        <v>102</v>
      </c>
      <c r="E1347" s="47" t="s">
        <v>102</v>
      </c>
      <c r="F1347" s="46" t="s">
        <v>102</v>
      </c>
      <c r="G1347" s="47" t="s">
        <v>102</v>
      </c>
      <c r="H1347" s="48">
        <v>0</v>
      </c>
      <c r="I1347" s="48">
        <v>0</v>
      </c>
      <c r="J1347" s="47" t="s">
        <v>3696</v>
      </c>
      <c r="K1347" s="49">
        <v>0</v>
      </c>
      <c r="L1347" s="49" t="s">
        <v>116</v>
      </c>
      <c r="M1347" s="46" t="s">
        <v>117</v>
      </c>
      <c r="N1347" s="50">
        <v>0</v>
      </c>
      <c r="O1347" s="50">
        <v>0</v>
      </c>
      <c r="P1347" s="50">
        <v>0</v>
      </c>
      <c r="Q1347" s="46" t="s">
        <v>102</v>
      </c>
      <c r="R1347" s="46" t="s">
        <v>102</v>
      </c>
      <c r="S1347" s="46" t="s">
        <v>102</v>
      </c>
      <c r="T1347" s="46" t="s">
        <v>466</v>
      </c>
      <c r="U1347" s="51">
        <v>4</v>
      </c>
    </row>
    <row r="1348" spans="2:21" ht="14.5" outlineLevel="3">
      <c r="B1348" s="44" t="s">
        <v>3953</v>
      </c>
      <c r="C1348" s="45" t="s">
        <v>3954</v>
      </c>
      <c r="D1348" s="46" t="s">
        <v>102</v>
      </c>
      <c r="E1348" s="47" t="s">
        <v>102</v>
      </c>
      <c r="F1348" s="46" t="s">
        <v>102</v>
      </c>
      <c r="G1348" s="47" t="s">
        <v>102</v>
      </c>
      <c r="H1348" s="48">
        <v>0</v>
      </c>
      <c r="I1348" s="48">
        <v>0</v>
      </c>
      <c r="J1348" s="47" t="s">
        <v>3696</v>
      </c>
      <c r="K1348" s="49">
        <v>0</v>
      </c>
      <c r="L1348" s="49" t="s">
        <v>116</v>
      </c>
      <c r="M1348" s="46" t="s">
        <v>117</v>
      </c>
      <c r="N1348" s="50">
        <v>0</v>
      </c>
      <c r="O1348" s="50">
        <v>0</v>
      </c>
      <c r="P1348" s="50">
        <v>0</v>
      </c>
      <c r="Q1348" s="46" t="s">
        <v>102</v>
      </c>
      <c r="R1348" s="46" t="s">
        <v>102</v>
      </c>
      <c r="S1348" s="46" t="s">
        <v>102</v>
      </c>
      <c r="T1348" s="46" t="s">
        <v>472</v>
      </c>
      <c r="U1348" s="51">
        <v>4</v>
      </c>
    </row>
    <row r="1349" spans="2:21" ht="14.5" outlineLevel="3">
      <c r="B1349" s="44" t="s">
        <v>3955</v>
      </c>
      <c r="C1349" s="45" t="s">
        <v>3956</v>
      </c>
      <c r="D1349" s="46" t="s">
        <v>102</v>
      </c>
      <c r="E1349" s="47" t="s">
        <v>102</v>
      </c>
      <c r="F1349" s="46" t="s">
        <v>102</v>
      </c>
      <c r="G1349" s="47" t="s">
        <v>102</v>
      </c>
      <c r="H1349" s="48">
        <v>0</v>
      </c>
      <c r="I1349" s="48">
        <v>0</v>
      </c>
      <c r="J1349" s="47" t="s">
        <v>3696</v>
      </c>
      <c r="K1349" s="49">
        <v>0</v>
      </c>
      <c r="L1349" s="49" t="s">
        <v>116</v>
      </c>
      <c r="M1349" s="46" t="s">
        <v>117</v>
      </c>
      <c r="N1349" s="50">
        <v>0</v>
      </c>
      <c r="O1349" s="50">
        <v>0</v>
      </c>
      <c r="P1349" s="50">
        <v>0</v>
      </c>
      <c r="Q1349" s="46" t="s">
        <v>102</v>
      </c>
      <c r="R1349" s="46" t="s">
        <v>102</v>
      </c>
      <c r="S1349" s="46" t="s">
        <v>102</v>
      </c>
      <c r="T1349" s="46" t="s">
        <v>477</v>
      </c>
      <c r="U1349" s="51">
        <v>4</v>
      </c>
    </row>
    <row r="1350" spans="2:21" ht="14.5" outlineLevel="3">
      <c r="B1350" s="44" t="s">
        <v>3957</v>
      </c>
      <c r="C1350" s="45" t="s">
        <v>3958</v>
      </c>
      <c r="D1350" s="46" t="s">
        <v>102</v>
      </c>
      <c r="E1350" s="47" t="s">
        <v>102</v>
      </c>
      <c r="F1350" s="46" t="s">
        <v>102</v>
      </c>
      <c r="G1350" s="47" t="s">
        <v>102</v>
      </c>
      <c r="H1350" s="48">
        <v>0</v>
      </c>
      <c r="I1350" s="48">
        <v>0</v>
      </c>
      <c r="J1350" s="47" t="s">
        <v>3696</v>
      </c>
      <c r="K1350" s="49">
        <v>0</v>
      </c>
      <c r="L1350" s="49" t="s">
        <v>116</v>
      </c>
      <c r="M1350" s="46" t="s">
        <v>117</v>
      </c>
      <c r="N1350" s="50">
        <v>0</v>
      </c>
      <c r="O1350" s="50">
        <v>0</v>
      </c>
      <c r="P1350" s="50">
        <v>0</v>
      </c>
      <c r="Q1350" s="46" t="s">
        <v>102</v>
      </c>
      <c r="R1350" s="46" t="s">
        <v>102</v>
      </c>
      <c r="S1350" s="46" t="s">
        <v>102</v>
      </c>
      <c r="T1350" s="46" t="s">
        <v>482</v>
      </c>
      <c r="U1350" s="51">
        <v>4</v>
      </c>
    </row>
    <row r="1351" spans="2:21" ht="14.5" outlineLevel="3">
      <c r="B1351" s="44" t="s">
        <v>3959</v>
      </c>
      <c r="C1351" s="45" t="s">
        <v>3960</v>
      </c>
      <c r="D1351" s="46" t="s">
        <v>102</v>
      </c>
      <c r="E1351" s="47" t="s">
        <v>102</v>
      </c>
      <c r="F1351" s="46" t="s">
        <v>102</v>
      </c>
      <c r="G1351" s="47" t="s">
        <v>102</v>
      </c>
      <c r="H1351" s="48">
        <v>0</v>
      </c>
      <c r="I1351" s="48">
        <v>0</v>
      </c>
      <c r="J1351" s="47" t="s">
        <v>3696</v>
      </c>
      <c r="K1351" s="49">
        <v>0</v>
      </c>
      <c r="L1351" s="49" t="s">
        <v>116</v>
      </c>
      <c r="M1351" s="46" t="s">
        <v>117</v>
      </c>
      <c r="N1351" s="50">
        <v>0</v>
      </c>
      <c r="O1351" s="50">
        <v>0</v>
      </c>
      <c r="P1351" s="50">
        <v>0</v>
      </c>
      <c r="Q1351" s="46" t="s">
        <v>102</v>
      </c>
      <c r="R1351" s="46" t="s">
        <v>102</v>
      </c>
      <c r="S1351" s="46" t="s">
        <v>102</v>
      </c>
      <c r="T1351" s="46" t="s">
        <v>487</v>
      </c>
      <c r="U1351" s="51">
        <v>4</v>
      </c>
    </row>
    <row r="1352" spans="2:21" ht="14.5" outlineLevel="3">
      <c r="B1352" s="44" t="s">
        <v>3961</v>
      </c>
      <c r="C1352" s="45" t="s">
        <v>3962</v>
      </c>
      <c r="D1352" s="46" t="s">
        <v>102</v>
      </c>
      <c r="E1352" s="47" t="s">
        <v>102</v>
      </c>
      <c r="F1352" s="46" t="s">
        <v>102</v>
      </c>
      <c r="G1352" s="47" t="s">
        <v>102</v>
      </c>
      <c r="H1352" s="48">
        <v>0</v>
      </c>
      <c r="I1352" s="48">
        <v>0</v>
      </c>
      <c r="J1352" s="47" t="s">
        <v>3696</v>
      </c>
      <c r="K1352" s="49">
        <v>0</v>
      </c>
      <c r="L1352" s="49" t="s">
        <v>116</v>
      </c>
      <c r="M1352" s="46" t="s">
        <v>117</v>
      </c>
      <c r="N1352" s="50">
        <v>0</v>
      </c>
      <c r="O1352" s="50">
        <v>0</v>
      </c>
      <c r="P1352" s="50">
        <v>0</v>
      </c>
      <c r="Q1352" s="46" t="s">
        <v>102</v>
      </c>
      <c r="R1352" s="46" t="s">
        <v>102</v>
      </c>
      <c r="S1352" s="46" t="s">
        <v>102</v>
      </c>
      <c r="T1352" s="46" t="s">
        <v>3056</v>
      </c>
      <c r="U1352" s="51">
        <v>4</v>
      </c>
    </row>
    <row r="1353" spans="2:21" ht="14.5" outlineLevel="3">
      <c r="B1353" s="44" t="s">
        <v>3963</v>
      </c>
      <c r="C1353" s="45" t="s">
        <v>3964</v>
      </c>
      <c r="D1353" s="46" t="s">
        <v>102</v>
      </c>
      <c r="E1353" s="47" t="s">
        <v>102</v>
      </c>
      <c r="F1353" s="46" t="s">
        <v>102</v>
      </c>
      <c r="G1353" s="47" t="s">
        <v>102</v>
      </c>
      <c r="H1353" s="48">
        <v>0</v>
      </c>
      <c r="I1353" s="48">
        <v>0</v>
      </c>
      <c r="J1353" s="47" t="s">
        <v>3696</v>
      </c>
      <c r="K1353" s="49">
        <v>0</v>
      </c>
      <c r="L1353" s="49" t="s">
        <v>116</v>
      </c>
      <c r="M1353" s="46" t="s">
        <v>117</v>
      </c>
      <c r="N1353" s="50">
        <v>0</v>
      </c>
      <c r="O1353" s="50">
        <v>0</v>
      </c>
      <c r="P1353" s="50">
        <v>0</v>
      </c>
      <c r="Q1353" s="46" t="s">
        <v>102</v>
      </c>
      <c r="R1353" s="46" t="s">
        <v>102</v>
      </c>
      <c r="S1353" s="46" t="s">
        <v>102</v>
      </c>
      <c r="T1353" s="46" t="s">
        <v>3059</v>
      </c>
      <c r="U1353" s="51">
        <v>4</v>
      </c>
    </row>
    <row r="1354" spans="2:21" ht="14.5" outlineLevel="3">
      <c r="B1354" s="44" t="s">
        <v>3965</v>
      </c>
      <c r="C1354" s="45" t="s">
        <v>3966</v>
      </c>
      <c r="D1354" s="46" t="s">
        <v>102</v>
      </c>
      <c r="E1354" s="47" t="s">
        <v>102</v>
      </c>
      <c r="F1354" s="46" t="s">
        <v>102</v>
      </c>
      <c r="G1354" s="47" t="s">
        <v>102</v>
      </c>
      <c r="H1354" s="48">
        <v>0</v>
      </c>
      <c r="I1354" s="48">
        <v>0</v>
      </c>
      <c r="J1354" s="47" t="s">
        <v>3696</v>
      </c>
      <c r="K1354" s="49">
        <v>0</v>
      </c>
      <c r="L1354" s="49" t="s">
        <v>116</v>
      </c>
      <c r="M1354" s="46" t="s">
        <v>117</v>
      </c>
      <c r="N1354" s="50">
        <v>0</v>
      </c>
      <c r="O1354" s="50">
        <v>0</v>
      </c>
      <c r="P1354" s="50">
        <v>0</v>
      </c>
      <c r="Q1354" s="46" t="s">
        <v>102</v>
      </c>
      <c r="R1354" s="46" t="s">
        <v>102</v>
      </c>
      <c r="S1354" s="46" t="s">
        <v>102</v>
      </c>
      <c r="T1354" s="46" t="s">
        <v>2828</v>
      </c>
      <c r="U1354" s="51">
        <v>4</v>
      </c>
    </row>
    <row r="1355" spans="2:21" ht="14.5" outlineLevel="3">
      <c r="B1355" s="44" t="s">
        <v>3967</v>
      </c>
      <c r="C1355" s="45" t="s">
        <v>3968</v>
      </c>
      <c r="D1355" s="46" t="s">
        <v>102</v>
      </c>
      <c r="E1355" s="47" t="s">
        <v>102</v>
      </c>
      <c r="F1355" s="46" t="s">
        <v>102</v>
      </c>
      <c r="G1355" s="47" t="s">
        <v>102</v>
      </c>
      <c r="H1355" s="48">
        <v>0</v>
      </c>
      <c r="I1355" s="48">
        <v>0</v>
      </c>
      <c r="J1355" s="47" t="s">
        <v>3696</v>
      </c>
      <c r="K1355" s="49">
        <v>0</v>
      </c>
      <c r="L1355" s="49" t="s">
        <v>116</v>
      </c>
      <c r="M1355" s="46" t="s">
        <v>117</v>
      </c>
      <c r="N1355" s="50">
        <v>0</v>
      </c>
      <c r="O1355" s="50">
        <v>0</v>
      </c>
      <c r="P1355" s="50">
        <v>0</v>
      </c>
      <c r="Q1355" s="46" t="s">
        <v>102</v>
      </c>
      <c r="R1355" s="46" t="s">
        <v>102</v>
      </c>
      <c r="S1355" s="46" t="s">
        <v>102</v>
      </c>
      <c r="T1355" s="46" t="s">
        <v>3495</v>
      </c>
      <c r="U1355" s="51">
        <v>4</v>
      </c>
    </row>
    <row r="1356" spans="2:21" ht="14.5" outlineLevel="3">
      <c r="B1356" s="44" t="s">
        <v>3969</v>
      </c>
      <c r="C1356" s="45" t="s">
        <v>3970</v>
      </c>
      <c r="D1356" s="46" t="s">
        <v>102</v>
      </c>
      <c r="E1356" s="47" t="s">
        <v>102</v>
      </c>
      <c r="F1356" s="46" t="s">
        <v>102</v>
      </c>
      <c r="G1356" s="47" t="s">
        <v>102</v>
      </c>
      <c r="H1356" s="48">
        <v>0</v>
      </c>
      <c r="I1356" s="48">
        <v>0</v>
      </c>
      <c r="J1356" s="47" t="s">
        <v>3696</v>
      </c>
      <c r="K1356" s="49">
        <v>0</v>
      </c>
      <c r="L1356" s="49" t="s">
        <v>116</v>
      </c>
      <c r="M1356" s="46" t="s">
        <v>117</v>
      </c>
      <c r="N1356" s="50">
        <v>0</v>
      </c>
      <c r="O1356" s="50">
        <v>0</v>
      </c>
      <c r="P1356" s="50">
        <v>0</v>
      </c>
      <c r="Q1356" s="46" t="s">
        <v>102</v>
      </c>
      <c r="R1356" s="46" t="s">
        <v>102</v>
      </c>
      <c r="S1356" s="46" t="s">
        <v>102</v>
      </c>
      <c r="T1356" s="46" t="s">
        <v>2773</v>
      </c>
      <c r="U1356" s="51">
        <v>4</v>
      </c>
    </row>
    <row r="1357" spans="2:21" ht="14.5" outlineLevel="3">
      <c r="B1357" s="44" t="s">
        <v>3971</v>
      </c>
      <c r="C1357" s="45" t="s">
        <v>3972</v>
      </c>
      <c r="D1357" s="46" t="s">
        <v>102</v>
      </c>
      <c r="E1357" s="47" t="s">
        <v>102</v>
      </c>
      <c r="F1357" s="46" t="s">
        <v>102</v>
      </c>
      <c r="G1357" s="47" t="s">
        <v>102</v>
      </c>
      <c r="H1357" s="48">
        <v>0</v>
      </c>
      <c r="I1357" s="48">
        <v>0</v>
      </c>
      <c r="J1357" s="47" t="s">
        <v>3696</v>
      </c>
      <c r="K1357" s="49">
        <v>0</v>
      </c>
      <c r="L1357" s="49" t="s">
        <v>116</v>
      </c>
      <c r="M1357" s="46" t="s">
        <v>117</v>
      </c>
      <c r="N1357" s="50">
        <v>0</v>
      </c>
      <c r="O1357" s="50">
        <v>0</v>
      </c>
      <c r="P1357" s="50">
        <v>0</v>
      </c>
      <c r="Q1357" s="46" t="s">
        <v>102</v>
      </c>
      <c r="R1357" s="46" t="s">
        <v>102</v>
      </c>
      <c r="S1357" s="46" t="s">
        <v>102</v>
      </c>
      <c r="T1357" s="46" t="s">
        <v>2666</v>
      </c>
      <c r="U1357" s="51">
        <v>4</v>
      </c>
    </row>
    <row r="1358" spans="2:21" ht="14.5" outlineLevel="3">
      <c r="B1358" s="44" t="s">
        <v>3973</v>
      </c>
      <c r="C1358" s="45" t="s">
        <v>3974</v>
      </c>
      <c r="D1358" s="46" t="s">
        <v>102</v>
      </c>
      <c r="E1358" s="47" t="s">
        <v>102</v>
      </c>
      <c r="F1358" s="46" t="s">
        <v>102</v>
      </c>
      <c r="G1358" s="47" t="s">
        <v>102</v>
      </c>
      <c r="H1358" s="48">
        <v>0</v>
      </c>
      <c r="I1358" s="48">
        <v>0</v>
      </c>
      <c r="J1358" s="47" t="s">
        <v>3696</v>
      </c>
      <c r="K1358" s="49">
        <v>0</v>
      </c>
      <c r="L1358" s="49" t="s">
        <v>116</v>
      </c>
      <c r="M1358" s="46" t="s">
        <v>117</v>
      </c>
      <c r="N1358" s="50">
        <v>0</v>
      </c>
      <c r="O1358" s="50">
        <v>0</v>
      </c>
      <c r="P1358" s="50">
        <v>0</v>
      </c>
      <c r="Q1358" s="46" t="s">
        <v>102</v>
      </c>
      <c r="R1358" s="46" t="s">
        <v>102</v>
      </c>
      <c r="S1358" s="46" t="s">
        <v>102</v>
      </c>
      <c r="T1358" s="46" t="s">
        <v>3504</v>
      </c>
      <c r="U1358" s="51">
        <v>4</v>
      </c>
    </row>
    <row r="1359" spans="2:21" ht="14.5" outlineLevel="3">
      <c r="B1359" s="44" t="s">
        <v>3975</v>
      </c>
      <c r="C1359" s="45" t="s">
        <v>3976</v>
      </c>
      <c r="D1359" s="46" t="s">
        <v>102</v>
      </c>
      <c r="E1359" s="47" t="s">
        <v>102</v>
      </c>
      <c r="F1359" s="46" t="s">
        <v>102</v>
      </c>
      <c r="G1359" s="47" t="s">
        <v>102</v>
      </c>
      <c r="H1359" s="48">
        <v>0</v>
      </c>
      <c r="I1359" s="48">
        <v>0</v>
      </c>
      <c r="J1359" s="47" t="s">
        <v>3696</v>
      </c>
      <c r="K1359" s="49">
        <v>0</v>
      </c>
      <c r="L1359" s="49" t="s">
        <v>116</v>
      </c>
      <c r="M1359" s="46" t="s">
        <v>117</v>
      </c>
      <c r="N1359" s="50">
        <v>0</v>
      </c>
      <c r="O1359" s="50">
        <v>0</v>
      </c>
      <c r="P1359" s="50">
        <v>0</v>
      </c>
      <c r="Q1359" s="46" t="s">
        <v>102</v>
      </c>
      <c r="R1359" s="46" t="s">
        <v>102</v>
      </c>
      <c r="S1359" s="46" t="s">
        <v>102</v>
      </c>
      <c r="T1359" s="46" t="s">
        <v>3773</v>
      </c>
      <c r="U1359" s="51">
        <v>4</v>
      </c>
    </row>
    <row r="1360" spans="2:21" ht="14.5" outlineLevel="3">
      <c r="B1360" s="44" t="s">
        <v>3977</v>
      </c>
      <c r="C1360" s="45" t="s">
        <v>3978</v>
      </c>
      <c r="D1360" s="46" t="s">
        <v>102</v>
      </c>
      <c r="E1360" s="47" t="s">
        <v>102</v>
      </c>
      <c r="F1360" s="46" t="s">
        <v>102</v>
      </c>
      <c r="G1360" s="47" t="s">
        <v>102</v>
      </c>
      <c r="H1360" s="48">
        <v>0</v>
      </c>
      <c r="I1360" s="48">
        <v>0</v>
      </c>
      <c r="J1360" s="47" t="s">
        <v>3696</v>
      </c>
      <c r="K1360" s="49">
        <v>0</v>
      </c>
      <c r="L1360" s="49" t="s">
        <v>116</v>
      </c>
      <c r="M1360" s="46" t="s">
        <v>117</v>
      </c>
      <c r="N1360" s="50">
        <v>0</v>
      </c>
      <c r="O1360" s="50">
        <v>0</v>
      </c>
      <c r="P1360" s="50">
        <v>0</v>
      </c>
      <c r="Q1360" s="46" t="s">
        <v>102</v>
      </c>
      <c r="R1360" s="46" t="s">
        <v>102</v>
      </c>
      <c r="S1360" s="46" t="s">
        <v>102</v>
      </c>
      <c r="T1360" s="46" t="s">
        <v>3088</v>
      </c>
      <c r="U1360" s="51">
        <v>4</v>
      </c>
    </row>
    <row r="1361" spans="2:21" ht="14.5" outlineLevel="3">
      <c r="B1361" s="44" t="s">
        <v>3979</v>
      </c>
      <c r="C1361" s="45" t="s">
        <v>3980</v>
      </c>
      <c r="D1361" s="46" t="s">
        <v>102</v>
      </c>
      <c r="E1361" s="47" t="s">
        <v>102</v>
      </c>
      <c r="F1361" s="46" t="s">
        <v>102</v>
      </c>
      <c r="G1361" s="47" t="s">
        <v>102</v>
      </c>
      <c r="H1361" s="48">
        <v>0</v>
      </c>
      <c r="I1361" s="48">
        <v>0</v>
      </c>
      <c r="J1361" s="47" t="s">
        <v>3696</v>
      </c>
      <c r="K1361" s="49">
        <v>0</v>
      </c>
      <c r="L1361" s="49" t="s">
        <v>116</v>
      </c>
      <c r="M1361" s="46" t="s">
        <v>117</v>
      </c>
      <c r="N1361" s="50">
        <v>0</v>
      </c>
      <c r="O1361" s="50">
        <v>0</v>
      </c>
      <c r="P1361" s="50">
        <v>0</v>
      </c>
      <c r="Q1361" s="46" t="s">
        <v>102</v>
      </c>
      <c r="R1361" s="46" t="s">
        <v>102</v>
      </c>
      <c r="S1361" s="46" t="s">
        <v>102</v>
      </c>
      <c r="T1361" s="46" t="s">
        <v>3091</v>
      </c>
      <c r="U1361" s="51">
        <v>4</v>
      </c>
    </row>
    <row r="1362" spans="2:21" ht="14.5" outlineLevel="2">
      <c r="B1362" s="36" t="s">
        <v>3981</v>
      </c>
      <c r="C1362" s="37" t="s">
        <v>3982</v>
      </c>
      <c r="D1362" s="38" t="s">
        <v>102</v>
      </c>
      <c r="E1362" s="39" t="s">
        <v>102</v>
      </c>
      <c r="F1362" s="38" t="s">
        <v>102</v>
      </c>
      <c r="G1362" s="39" t="s">
        <v>102</v>
      </c>
      <c r="H1362" s="40">
        <v>0</v>
      </c>
      <c r="I1362" s="40">
        <v>0</v>
      </c>
      <c r="J1362" s="39" t="s">
        <v>3696</v>
      </c>
      <c r="K1362" s="41">
        <v>0</v>
      </c>
      <c r="L1362" s="41" t="s">
        <v>116</v>
      </c>
      <c r="M1362" s="38" t="s">
        <v>117</v>
      </c>
      <c r="N1362" s="42">
        <v>0</v>
      </c>
      <c r="O1362" s="42">
        <v>0</v>
      </c>
      <c r="P1362" s="42">
        <v>0</v>
      </c>
      <c r="Q1362" s="38" t="s">
        <v>102</v>
      </c>
      <c r="R1362" s="38" t="s">
        <v>102</v>
      </c>
      <c r="S1362" s="38" t="s">
        <v>102</v>
      </c>
      <c r="T1362" s="38" t="s">
        <v>3780</v>
      </c>
      <c r="U1362" s="43">
        <v>4</v>
      </c>
    </row>
    <row r="1363" spans="2:21" ht="14.5" outlineLevel="3">
      <c r="B1363" s="44" t="s">
        <v>3983</v>
      </c>
      <c r="C1363" s="45" t="s">
        <v>3984</v>
      </c>
      <c r="D1363" s="46" t="s">
        <v>102</v>
      </c>
      <c r="E1363" s="47" t="s">
        <v>102</v>
      </c>
      <c r="F1363" s="46" t="s">
        <v>102</v>
      </c>
      <c r="G1363" s="47" t="s">
        <v>102</v>
      </c>
      <c r="H1363" s="48">
        <v>0</v>
      </c>
      <c r="I1363" s="48">
        <v>0</v>
      </c>
      <c r="J1363" s="47" t="s">
        <v>3696</v>
      </c>
      <c r="K1363" s="49">
        <v>0</v>
      </c>
      <c r="L1363" s="49" t="s">
        <v>116</v>
      </c>
      <c r="M1363" s="46" t="s">
        <v>117</v>
      </c>
      <c r="N1363" s="50">
        <v>0</v>
      </c>
      <c r="O1363" s="50">
        <v>0</v>
      </c>
      <c r="P1363" s="50">
        <v>0</v>
      </c>
      <c r="Q1363" s="46" t="s">
        <v>102</v>
      </c>
      <c r="R1363" s="46" t="s">
        <v>102</v>
      </c>
      <c r="S1363" s="46" t="s">
        <v>102</v>
      </c>
      <c r="T1363" s="46" t="s">
        <v>3783</v>
      </c>
      <c r="U1363" s="51">
        <v>4</v>
      </c>
    </row>
    <row r="1364" spans="2:21" ht="14.5" outlineLevel="3">
      <c r="B1364" s="44" t="s">
        <v>3985</v>
      </c>
      <c r="C1364" s="45" t="s">
        <v>3986</v>
      </c>
      <c r="D1364" s="46" t="s">
        <v>102</v>
      </c>
      <c r="E1364" s="47" t="s">
        <v>102</v>
      </c>
      <c r="F1364" s="46" t="s">
        <v>102</v>
      </c>
      <c r="G1364" s="47" t="s">
        <v>102</v>
      </c>
      <c r="H1364" s="48">
        <v>0</v>
      </c>
      <c r="I1364" s="48">
        <v>0</v>
      </c>
      <c r="J1364" s="47" t="s">
        <v>3696</v>
      </c>
      <c r="K1364" s="49">
        <v>0</v>
      </c>
      <c r="L1364" s="49" t="s">
        <v>116</v>
      </c>
      <c r="M1364" s="46" t="s">
        <v>117</v>
      </c>
      <c r="N1364" s="50">
        <v>0</v>
      </c>
      <c r="O1364" s="50">
        <v>0</v>
      </c>
      <c r="P1364" s="50">
        <v>0</v>
      </c>
      <c r="Q1364" s="46" t="s">
        <v>102</v>
      </c>
      <c r="R1364" s="46" t="s">
        <v>102</v>
      </c>
      <c r="S1364" s="46" t="s">
        <v>102</v>
      </c>
      <c r="T1364" s="46" t="s">
        <v>3094</v>
      </c>
      <c r="U1364" s="51">
        <v>4</v>
      </c>
    </row>
    <row r="1365" spans="2:21" ht="14.5" outlineLevel="3">
      <c r="B1365" s="44" t="s">
        <v>3987</v>
      </c>
      <c r="C1365" s="45" t="s">
        <v>3988</v>
      </c>
      <c r="D1365" s="46" t="s">
        <v>102</v>
      </c>
      <c r="E1365" s="47" t="s">
        <v>102</v>
      </c>
      <c r="F1365" s="46" t="s">
        <v>102</v>
      </c>
      <c r="G1365" s="47" t="s">
        <v>102</v>
      </c>
      <c r="H1365" s="48">
        <v>0</v>
      </c>
      <c r="I1365" s="48">
        <v>0</v>
      </c>
      <c r="J1365" s="47" t="s">
        <v>3788</v>
      </c>
      <c r="K1365" s="49">
        <v>0</v>
      </c>
      <c r="L1365" s="49" t="s">
        <v>116</v>
      </c>
      <c r="M1365" s="46" t="s">
        <v>117</v>
      </c>
      <c r="N1365" s="50">
        <v>0</v>
      </c>
      <c r="O1365" s="50">
        <v>0</v>
      </c>
      <c r="P1365" s="50">
        <v>0</v>
      </c>
      <c r="Q1365" s="46" t="s">
        <v>102</v>
      </c>
      <c r="R1365" s="46" t="s">
        <v>102</v>
      </c>
      <c r="S1365" s="46" t="s">
        <v>102</v>
      </c>
      <c r="T1365" s="46" t="s">
        <v>3789</v>
      </c>
      <c r="U1365" s="51">
        <v>4</v>
      </c>
    </row>
    <row r="1366" spans="2:21" ht="14.5" outlineLevel="3">
      <c r="B1366" s="44" t="s">
        <v>3989</v>
      </c>
      <c r="C1366" s="45" t="s">
        <v>3990</v>
      </c>
      <c r="D1366" s="46" t="s">
        <v>102</v>
      </c>
      <c r="E1366" s="47" t="s">
        <v>102</v>
      </c>
      <c r="F1366" s="46" t="s">
        <v>102</v>
      </c>
      <c r="G1366" s="47" t="s">
        <v>102</v>
      </c>
      <c r="H1366" s="48">
        <v>0</v>
      </c>
      <c r="I1366" s="48">
        <v>0</v>
      </c>
      <c r="J1366" s="47" t="s">
        <v>3696</v>
      </c>
      <c r="K1366" s="49">
        <v>0</v>
      </c>
      <c r="L1366" s="49" t="s">
        <v>116</v>
      </c>
      <c r="M1366" s="46" t="s">
        <v>117</v>
      </c>
      <c r="N1366" s="50">
        <v>0</v>
      </c>
      <c r="O1366" s="50">
        <v>0</v>
      </c>
      <c r="P1366" s="50">
        <v>0</v>
      </c>
      <c r="Q1366" s="46" t="s">
        <v>102</v>
      </c>
      <c r="R1366" s="46" t="s">
        <v>102</v>
      </c>
      <c r="S1366" s="46" t="s">
        <v>102</v>
      </c>
      <c r="T1366" s="46" t="s">
        <v>3792</v>
      </c>
      <c r="U1366" s="51">
        <v>4</v>
      </c>
    </row>
    <row r="1367" spans="2:21" ht="14.5" outlineLevel="3">
      <c r="B1367" s="44" t="s">
        <v>3991</v>
      </c>
      <c r="C1367" s="45" t="s">
        <v>3992</v>
      </c>
      <c r="D1367" s="46" t="s">
        <v>392</v>
      </c>
      <c r="E1367" s="47" t="s">
        <v>102</v>
      </c>
      <c r="F1367" s="46" t="s">
        <v>102</v>
      </c>
      <c r="G1367" s="47" t="s">
        <v>102</v>
      </c>
      <c r="H1367" s="48">
        <v>0</v>
      </c>
      <c r="I1367" s="48">
        <v>0</v>
      </c>
      <c r="J1367" s="47" t="s">
        <v>3696</v>
      </c>
      <c r="K1367" s="49">
        <v>0</v>
      </c>
      <c r="L1367" s="49" t="s">
        <v>116</v>
      </c>
      <c r="M1367" s="46" t="s">
        <v>117</v>
      </c>
      <c r="N1367" s="50">
        <v>0</v>
      </c>
      <c r="O1367" s="50">
        <v>0</v>
      </c>
      <c r="P1367" s="50">
        <v>0</v>
      </c>
      <c r="Q1367" s="46" t="s">
        <v>102</v>
      </c>
      <c r="R1367" s="46" t="s">
        <v>102</v>
      </c>
      <c r="S1367" s="46" t="s">
        <v>102</v>
      </c>
      <c r="T1367" s="46" t="s">
        <v>3431</v>
      </c>
      <c r="U1367" s="51">
        <v>4</v>
      </c>
    </row>
    <row r="1368" spans="2:21" ht="14.5" outlineLevel="2">
      <c r="B1368" s="36" t="s">
        <v>3993</v>
      </c>
      <c r="C1368" s="37" t="s">
        <v>3994</v>
      </c>
      <c r="D1368" s="38" t="s">
        <v>102</v>
      </c>
      <c r="E1368" s="39" t="s">
        <v>102</v>
      </c>
      <c r="F1368" s="38" t="s">
        <v>102</v>
      </c>
      <c r="G1368" s="39" t="s">
        <v>102</v>
      </c>
      <c r="H1368" s="40">
        <v>0</v>
      </c>
      <c r="I1368" s="40">
        <v>0</v>
      </c>
      <c r="J1368" s="39" t="s">
        <v>102</v>
      </c>
      <c r="K1368" s="41">
        <v>0</v>
      </c>
      <c r="L1368" s="41" t="s">
        <v>102</v>
      </c>
      <c r="M1368" s="38" t="s">
        <v>102</v>
      </c>
      <c r="N1368" s="42">
        <v>0</v>
      </c>
      <c r="O1368" s="42">
        <v>0</v>
      </c>
      <c r="P1368" s="42">
        <v>0</v>
      </c>
      <c r="Q1368" s="38" t="s">
        <v>102</v>
      </c>
      <c r="R1368" s="38" t="s">
        <v>102</v>
      </c>
      <c r="S1368" s="38" t="s">
        <v>3995</v>
      </c>
      <c r="T1368" s="38" t="s">
        <v>102</v>
      </c>
      <c r="U1368" s="43">
        <v>3</v>
      </c>
    </row>
    <row r="1369" spans="2:21" ht="14.5" outlineLevel="3">
      <c r="B1369" s="44" t="s">
        <v>3996</v>
      </c>
      <c r="C1369" s="45" t="s">
        <v>3997</v>
      </c>
      <c r="D1369" s="46" t="s">
        <v>102</v>
      </c>
      <c r="E1369" s="47" t="s">
        <v>102</v>
      </c>
      <c r="F1369" s="46" t="s">
        <v>102</v>
      </c>
      <c r="G1369" s="47" t="s">
        <v>102</v>
      </c>
      <c r="H1369" s="48">
        <v>0</v>
      </c>
      <c r="I1369" s="48">
        <v>0</v>
      </c>
      <c r="J1369" s="47" t="s">
        <v>2805</v>
      </c>
      <c r="K1369" s="49">
        <v>1</v>
      </c>
      <c r="L1369" s="49" t="s">
        <v>2614</v>
      </c>
      <c r="M1369" s="46" t="s">
        <v>117</v>
      </c>
      <c r="N1369" s="50">
        <v>0</v>
      </c>
      <c r="O1369" s="50">
        <v>0</v>
      </c>
      <c r="P1369" s="50">
        <v>0</v>
      </c>
      <c r="Q1369" s="46" t="s">
        <v>102</v>
      </c>
      <c r="R1369" s="46" t="s">
        <v>102</v>
      </c>
      <c r="S1369" s="46" t="s">
        <v>102</v>
      </c>
      <c r="T1369" s="46" t="s">
        <v>826</v>
      </c>
      <c r="U1369" s="51">
        <v>4</v>
      </c>
    </row>
    <row r="1370" spans="2:21" ht="14.5" outlineLevel="3">
      <c r="B1370" s="44" t="s">
        <v>3998</v>
      </c>
      <c r="C1370" s="45" t="s">
        <v>3999</v>
      </c>
      <c r="D1370" s="46" t="s">
        <v>102</v>
      </c>
      <c r="E1370" s="47" t="s">
        <v>102</v>
      </c>
      <c r="F1370" s="46" t="s">
        <v>102</v>
      </c>
      <c r="G1370" s="47" t="s">
        <v>102</v>
      </c>
      <c r="H1370" s="48">
        <v>0</v>
      </c>
      <c r="I1370" s="48">
        <v>0</v>
      </c>
      <c r="J1370" s="47" t="s">
        <v>2805</v>
      </c>
      <c r="K1370" s="49">
        <v>1</v>
      </c>
      <c r="L1370" s="49" t="s">
        <v>2614</v>
      </c>
      <c r="M1370" s="46" t="s">
        <v>117</v>
      </c>
      <c r="N1370" s="50">
        <v>0</v>
      </c>
      <c r="O1370" s="50">
        <v>0</v>
      </c>
      <c r="P1370" s="50">
        <v>0</v>
      </c>
      <c r="Q1370" s="46" t="s">
        <v>102</v>
      </c>
      <c r="R1370" s="46" t="s">
        <v>102</v>
      </c>
      <c r="S1370" s="46" t="s">
        <v>102</v>
      </c>
      <c r="T1370" s="46" t="s">
        <v>2904</v>
      </c>
      <c r="U1370" s="51">
        <v>4</v>
      </c>
    </row>
    <row r="1371" spans="2:21" ht="14.5" outlineLevel="3">
      <c r="B1371" s="44" t="s">
        <v>4000</v>
      </c>
      <c r="C1371" s="45" t="s">
        <v>4001</v>
      </c>
      <c r="D1371" s="46" t="s">
        <v>4002</v>
      </c>
      <c r="E1371" s="47" t="s">
        <v>102</v>
      </c>
      <c r="F1371" s="46" t="s">
        <v>102</v>
      </c>
      <c r="G1371" s="47" t="s">
        <v>102</v>
      </c>
      <c r="H1371" s="48">
        <v>0</v>
      </c>
      <c r="I1371" s="48">
        <v>0</v>
      </c>
      <c r="J1371" s="47" t="s">
        <v>2805</v>
      </c>
      <c r="K1371" s="49">
        <v>1</v>
      </c>
      <c r="L1371" s="49" t="s">
        <v>2614</v>
      </c>
      <c r="M1371" s="46" t="s">
        <v>117</v>
      </c>
      <c r="N1371" s="50">
        <v>0</v>
      </c>
      <c r="O1371" s="50">
        <v>0</v>
      </c>
      <c r="P1371" s="50">
        <v>0</v>
      </c>
      <c r="Q1371" s="46" t="s">
        <v>102</v>
      </c>
      <c r="R1371" s="46" t="s">
        <v>102</v>
      </c>
      <c r="S1371" s="46" t="s">
        <v>102</v>
      </c>
      <c r="T1371" s="46" t="s">
        <v>3415</v>
      </c>
      <c r="U1371" s="51">
        <v>4</v>
      </c>
    </row>
    <row r="1372" spans="2:21" ht="14.5" outlineLevel="3">
      <c r="B1372" s="44" t="s">
        <v>4003</v>
      </c>
      <c r="C1372" s="45" t="s">
        <v>4004</v>
      </c>
      <c r="D1372" s="46" t="s">
        <v>392</v>
      </c>
      <c r="E1372" s="47" t="s">
        <v>102</v>
      </c>
      <c r="F1372" s="46" t="s">
        <v>102</v>
      </c>
      <c r="G1372" s="47" t="s">
        <v>102</v>
      </c>
      <c r="H1372" s="48">
        <v>0</v>
      </c>
      <c r="I1372" s="48">
        <v>0</v>
      </c>
      <c r="J1372" s="47" t="s">
        <v>2805</v>
      </c>
      <c r="K1372" s="49">
        <v>1</v>
      </c>
      <c r="L1372" s="49" t="s">
        <v>2614</v>
      </c>
      <c r="M1372" s="46" t="s">
        <v>117</v>
      </c>
      <c r="N1372" s="50">
        <v>0</v>
      </c>
      <c r="O1372" s="50">
        <v>0</v>
      </c>
      <c r="P1372" s="50">
        <v>0</v>
      </c>
      <c r="Q1372" s="46" t="s">
        <v>102</v>
      </c>
      <c r="R1372" s="46" t="s">
        <v>102</v>
      </c>
      <c r="S1372" s="46" t="s">
        <v>102</v>
      </c>
      <c r="T1372" s="46" t="s">
        <v>4005</v>
      </c>
      <c r="U1372" s="51">
        <v>4</v>
      </c>
    </row>
    <row r="1373" spans="2:21" ht="14.5" outlineLevel="3">
      <c r="B1373" s="44" t="s">
        <v>4006</v>
      </c>
      <c r="C1373" s="45" t="s">
        <v>4007</v>
      </c>
      <c r="D1373" s="46" t="s">
        <v>392</v>
      </c>
      <c r="E1373" s="47" t="s">
        <v>102</v>
      </c>
      <c r="F1373" s="46" t="s">
        <v>102</v>
      </c>
      <c r="G1373" s="47" t="s">
        <v>102</v>
      </c>
      <c r="H1373" s="48">
        <v>0</v>
      </c>
      <c r="I1373" s="48">
        <v>0</v>
      </c>
      <c r="J1373" s="47" t="s">
        <v>2805</v>
      </c>
      <c r="K1373" s="49">
        <v>1</v>
      </c>
      <c r="L1373" s="49" t="s">
        <v>2614</v>
      </c>
      <c r="M1373" s="46" t="s">
        <v>117</v>
      </c>
      <c r="N1373" s="50">
        <v>0</v>
      </c>
      <c r="O1373" s="50">
        <v>0</v>
      </c>
      <c r="P1373" s="50">
        <v>0</v>
      </c>
      <c r="Q1373" s="46" t="s">
        <v>102</v>
      </c>
      <c r="R1373" s="46" t="s">
        <v>102</v>
      </c>
      <c r="S1373" s="46" t="s">
        <v>102</v>
      </c>
      <c r="T1373" s="46" t="s">
        <v>2854</v>
      </c>
      <c r="U1373" s="51">
        <v>4</v>
      </c>
    </row>
    <row r="1374" spans="2:21" ht="14.5" outlineLevel="3">
      <c r="B1374" s="44" t="s">
        <v>4008</v>
      </c>
      <c r="C1374" s="45" t="s">
        <v>4009</v>
      </c>
      <c r="D1374" s="46" t="s">
        <v>102</v>
      </c>
      <c r="E1374" s="47" t="s">
        <v>102</v>
      </c>
      <c r="F1374" s="46" t="s">
        <v>102</v>
      </c>
      <c r="G1374" s="47" t="s">
        <v>102</v>
      </c>
      <c r="H1374" s="48">
        <v>0</v>
      </c>
      <c r="I1374" s="48">
        <v>0</v>
      </c>
      <c r="J1374" s="47" t="s">
        <v>102</v>
      </c>
      <c r="K1374" s="49">
        <v>0</v>
      </c>
      <c r="L1374" s="49" t="s">
        <v>102</v>
      </c>
      <c r="M1374" s="46" t="s">
        <v>102</v>
      </c>
      <c r="N1374" s="50">
        <v>0</v>
      </c>
      <c r="O1374" s="50">
        <v>0</v>
      </c>
      <c r="P1374" s="50">
        <v>0</v>
      </c>
      <c r="Q1374" s="46" t="s">
        <v>102</v>
      </c>
      <c r="R1374" s="46" t="s">
        <v>102</v>
      </c>
      <c r="S1374" s="46" t="s">
        <v>4010</v>
      </c>
      <c r="T1374" s="46" t="s">
        <v>102</v>
      </c>
      <c r="U1374" s="51">
        <v>3</v>
      </c>
    </row>
    <row r="1375" spans="2:21" ht="14.5" outlineLevel="3">
      <c r="B1375" s="44" t="s">
        <v>4011</v>
      </c>
      <c r="C1375" s="45" t="s">
        <v>4012</v>
      </c>
      <c r="D1375" s="46" t="s">
        <v>102</v>
      </c>
      <c r="E1375" s="47" t="s">
        <v>102</v>
      </c>
      <c r="F1375" s="46" t="s">
        <v>102</v>
      </c>
      <c r="G1375" s="47" t="s">
        <v>102</v>
      </c>
      <c r="H1375" s="48">
        <v>0</v>
      </c>
      <c r="I1375" s="48">
        <v>0</v>
      </c>
      <c r="J1375" s="47" t="s">
        <v>3414</v>
      </c>
      <c r="K1375" s="49">
        <v>1</v>
      </c>
      <c r="L1375" s="49" t="s">
        <v>2614</v>
      </c>
      <c r="M1375" s="46" t="s">
        <v>117</v>
      </c>
      <c r="N1375" s="50">
        <v>0</v>
      </c>
      <c r="O1375" s="50">
        <v>0</v>
      </c>
      <c r="P1375" s="50">
        <v>0</v>
      </c>
      <c r="Q1375" s="46" t="s">
        <v>102</v>
      </c>
      <c r="R1375" s="46" t="s">
        <v>102</v>
      </c>
      <c r="S1375" s="46" t="s">
        <v>102</v>
      </c>
      <c r="T1375" s="46" t="s">
        <v>223</v>
      </c>
      <c r="U1375" s="51">
        <v>4</v>
      </c>
    </row>
    <row r="1376" spans="2:21" ht="14.5" outlineLevel="3">
      <c r="B1376" s="44" t="s">
        <v>4013</v>
      </c>
      <c r="C1376" s="45" t="s">
        <v>4014</v>
      </c>
      <c r="D1376" s="46" t="s">
        <v>102</v>
      </c>
      <c r="E1376" s="47" t="s">
        <v>102</v>
      </c>
      <c r="F1376" s="46" t="s">
        <v>102</v>
      </c>
      <c r="G1376" s="47" t="s">
        <v>102</v>
      </c>
      <c r="H1376" s="48">
        <v>0</v>
      </c>
      <c r="I1376" s="48">
        <v>0</v>
      </c>
      <c r="J1376" s="47" t="s">
        <v>3414</v>
      </c>
      <c r="K1376" s="49">
        <v>1</v>
      </c>
      <c r="L1376" s="49" t="s">
        <v>2614</v>
      </c>
      <c r="M1376" s="46" t="s">
        <v>117</v>
      </c>
      <c r="N1376" s="50">
        <v>0</v>
      </c>
      <c r="O1376" s="50">
        <v>0</v>
      </c>
      <c r="P1376" s="50">
        <v>0</v>
      </c>
      <c r="Q1376" s="46" t="s">
        <v>102</v>
      </c>
      <c r="R1376" s="46" t="s">
        <v>102</v>
      </c>
      <c r="S1376" s="46" t="s">
        <v>102</v>
      </c>
      <c r="T1376" s="46" t="s">
        <v>778</v>
      </c>
      <c r="U1376" s="51">
        <v>4</v>
      </c>
    </row>
    <row r="1377" spans="2:21" ht="14.5" outlineLevel="3">
      <c r="B1377" s="44" t="s">
        <v>4015</v>
      </c>
      <c r="C1377" s="45" t="s">
        <v>4016</v>
      </c>
      <c r="D1377" s="46" t="s">
        <v>102</v>
      </c>
      <c r="E1377" s="47" t="s">
        <v>102</v>
      </c>
      <c r="F1377" s="46" t="s">
        <v>102</v>
      </c>
      <c r="G1377" s="47" t="s">
        <v>102</v>
      </c>
      <c r="H1377" s="48">
        <v>0</v>
      </c>
      <c r="I1377" s="48">
        <v>0</v>
      </c>
      <c r="J1377" s="47" t="s">
        <v>3414</v>
      </c>
      <c r="K1377" s="49">
        <v>1</v>
      </c>
      <c r="L1377" s="49" t="s">
        <v>2614</v>
      </c>
      <c r="M1377" s="46" t="s">
        <v>117</v>
      </c>
      <c r="N1377" s="50">
        <v>0</v>
      </c>
      <c r="O1377" s="50">
        <v>0</v>
      </c>
      <c r="P1377" s="50">
        <v>0</v>
      </c>
      <c r="Q1377" s="46" t="s">
        <v>102</v>
      </c>
      <c r="R1377" s="46" t="s">
        <v>102</v>
      </c>
      <c r="S1377" s="46" t="s">
        <v>102</v>
      </c>
      <c r="T1377" s="46" t="s">
        <v>831</v>
      </c>
      <c r="U1377" s="51">
        <v>4</v>
      </c>
    </row>
    <row r="1378" spans="2:21" ht="14.5" outlineLevel="3">
      <c r="B1378" s="44" t="s">
        <v>4017</v>
      </c>
      <c r="C1378" s="45" t="s">
        <v>4018</v>
      </c>
      <c r="D1378" s="46" t="s">
        <v>102</v>
      </c>
      <c r="E1378" s="47" t="s">
        <v>102</v>
      </c>
      <c r="F1378" s="46" t="s">
        <v>102</v>
      </c>
      <c r="G1378" s="47" t="s">
        <v>102</v>
      </c>
      <c r="H1378" s="48">
        <v>0</v>
      </c>
      <c r="I1378" s="48">
        <v>0</v>
      </c>
      <c r="J1378" s="47" t="s">
        <v>3414</v>
      </c>
      <c r="K1378" s="49">
        <v>1</v>
      </c>
      <c r="L1378" s="49" t="s">
        <v>2614</v>
      </c>
      <c r="M1378" s="46" t="s">
        <v>117</v>
      </c>
      <c r="N1378" s="50">
        <v>0</v>
      </c>
      <c r="O1378" s="50">
        <v>0</v>
      </c>
      <c r="P1378" s="50">
        <v>0</v>
      </c>
      <c r="Q1378" s="46" t="s">
        <v>102</v>
      </c>
      <c r="R1378" s="46" t="s">
        <v>102</v>
      </c>
      <c r="S1378" s="46" t="s">
        <v>102</v>
      </c>
      <c r="T1378" s="46" t="s">
        <v>835</v>
      </c>
      <c r="U1378" s="51">
        <v>4</v>
      </c>
    </row>
    <row r="1379" spans="2:21" ht="14.5" outlineLevel="3">
      <c r="B1379" s="44" t="s">
        <v>4019</v>
      </c>
      <c r="C1379" s="45" t="s">
        <v>4020</v>
      </c>
      <c r="D1379" s="46" t="s">
        <v>102</v>
      </c>
      <c r="E1379" s="47" t="s">
        <v>102</v>
      </c>
      <c r="F1379" s="46" t="s">
        <v>102</v>
      </c>
      <c r="G1379" s="47" t="s">
        <v>102</v>
      </c>
      <c r="H1379" s="48">
        <v>0</v>
      </c>
      <c r="I1379" s="48">
        <v>0</v>
      </c>
      <c r="J1379" s="47" t="s">
        <v>3414</v>
      </c>
      <c r="K1379" s="49">
        <v>1</v>
      </c>
      <c r="L1379" s="49" t="s">
        <v>2614</v>
      </c>
      <c r="M1379" s="46" t="s">
        <v>117</v>
      </c>
      <c r="N1379" s="50">
        <v>0</v>
      </c>
      <c r="O1379" s="50">
        <v>0</v>
      </c>
      <c r="P1379" s="50">
        <v>0</v>
      </c>
      <c r="Q1379" s="46" t="s">
        <v>102</v>
      </c>
      <c r="R1379" s="46" t="s">
        <v>102</v>
      </c>
      <c r="S1379" s="46" t="s">
        <v>102</v>
      </c>
      <c r="T1379" s="46" t="s">
        <v>840</v>
      </c>
      <c r="U1379" s="51">
        <v>4</v>
      </c>
    </row>
    <row r="1380" spans="2:21" ht="14.5" outlineLevel="3">
      <c r="B1380" s="44" t="s">
        <v>4021</v>
      </c>
      <c r="C1380" s="45" t="s">
        <v>4022</v>
      </c>
      <c r="D1380" s="46" t="s">
        <v>102</v>
      </c>
      <c r="E1380" s="47" t="s">
        <v>102</v>
      </c>
      <c r="F1380" s="46" t="s">
        <v>102</v>
      </c>
      <c r="G1380" s="47" t="s">
        <v>102</v>
      </c>
      <c r="H1380" s="48">
        <v>0</v>
      </c>
      <c r="I1380" s="48">
        <v>0</v>
      </c>
      <c r="J1380" s="47" t="s">
        <v>3414</v>
      </c>
      <c r="K1380" s="49">
        <v>1</v>
      </c>
      <c r="L1380" s="49" t="s">
        <v>2614</v>
      </c>
      <c r="M1380" s="46" t="s">
        <v>117</v>
      </c>
      <c r="N1380" s="50">
        <v>0</v>
      </c>
      <c r="O1380" s="50">
        <v>0</v>
      </c>
      <c r="P1380" s="50">
        <v>0</v>
      </c>
      <c r="Q1380" s="46" t="s">
        <v>102</v>
      </c>
      <c r="R1380" s="46" t="s">
        <v>102</v>
      </c>
      <c r="S1380" s="46" t="s">
        <v>102</v>
      </c>
      <c r="T1380" s="46" t="s">
        <v>845</v>
      </c>
      <c r="U1380" s="51">
        <v>4</v>
      </c>
    </row>
    <row r="1381" spans="2:21" ht="14.5" outlineLevel="3">
      <c r="B1381" s="44" t="s">
        <v>4023</v>
      </c>
      <c r="C1381" s="45" t="s">
        <v>4024</v>
      </c>
      <c r="D1381" s="46" t="s">
        <v>102</v>
      </c>
      <c r="E1381" s="47" t="s">
        <v>102</v>
      </c>
      <c r="F1381" s="46" t="s">
        <v>102</v>
      </c>
      <c r="G1381" s="47" t="s">
        <v>102</v>
      </c>
      <c r="H1381" s="48">
        <v>0</v>
      </c>
      <c r="I1381" s="48">
        <v>0</v>
      </c>
      <c r="J1381" s="47" t="s">
        <v>3414</v>
      </c>
      <c r="K1381" s="49">
        <v>1</v>
      </c>
      <c r="L1381" s="49" t="s">
        <v>2614</v>
      </c>
      <c r="M1381" s="46" t="s">
        <v>117</v>
      </c>
      <c r="N1381" s="50">
        <v>0</v>
      </c>
      <c r="O1381" s="50">
        <v>0</v>
      </c>
      <c r="P1381" s="50">
        <v>0</v>
      </c>
      <c r="Q1381" s="46" t="s">
        <v>102</v>
      </c>
      <c r="R1381" s="46" t="s">
        <v>102</v>
      </c>
      <c r="S1381" s="46" t="s">
        <v>102</v>
      </c>
      <c r="T1381" s="46" t="s">
        <v>850</v>
      </c>
      <c r="U1381" s="51">
        <v>4</v>
      </c>
    </row>
    <row r="1382" spans="2:21" ht="14.5" outlineLevel="3">
      <c r="B1382" s="44" t="s">
        <v>4025</v>
      </c>
      <c r="C1382" s="45" t="s">
        <v>4026</v>
      </c>
      <c r="D1382" s="46" t="s">
        <v>102</v>
      </c>
      <c r="E1382" s="47" t="s">
        <v>102</v>
      </c>
      <c r="F1382" s="46" t="s">
        <v>102</v>
      </c>
      <c r="G1382" s="47" t="s">
        <v>102</v>
      </c>
      <c r="H1382" s="48">
        <v>0</v>
      </c>
      <c r="I1382" s="48">
        <v>0</v>
      </c>
      <c r="J1382" s="47" t="s">
        <v>3414</v>
      </c>
      <c r="K1382" s="49">
        <v>1</v>
      </c>
      <c r="L1382" s="49" t="s">
        <v>2614</v>
      </c>
      <c r="M1382" s="46" t="s">
        <v>117</v>
      </c>
      <c r="N1382" s="50">
        <v>0</v>
      </c>
      <c r="O1382" s="50">
        <v>0</v>
      </c>
      <c r="P1382" s="50">
        <v>0</v>
      </c>
      <c r="Q1382" s="46" t="s">
        <v>102</v>
      </c>
      <c r="R1382" s="46" t="s">
        <v>102</v>
      </c>
      <c r="S1382" s="46" t="s">
        <v>102</v>
      </c>
      <c r="T1382" s="46" t="s">
        <v>855</v>
      </c>
      <c r="U1382" s="51">
        <v>4</v>
      </c>
    </row>
    <row r="1383" spans="2:21" ht="14.5" outlineLevel="3">
      <c r="B1383" s="44" t="s">
        <v>4027</v>
      </c>
      <c r="C1383" s="45" t="s">
        <v>4028</v>
      </c>
      <c r="D1383" s="46" t="s">
        <v>102</v>
      </c>
      <c r="E1383" s="47" t="s">
        <v>102</v>
      </c>
      <c r="F1383" s="46" t="s">
        <v>102</v>
      </c>
      <c r="G1383" s="47" t="s">
        <v>102</v>
      </c>
      <c r="H1383" s="48">
        <v>0</v>
      </c>
      <c r="I1383" s="48">
        <v>0</v>
      </c>
      <c r="J1383" s="47" t="s">
        <v>3414</v>
      </c>
      <c r="K1383" s="49">
        <v>1</v>
      </c>
      <c r="L1383" s="49" t="s">
        <v>2614</v>
      </c>
      <c r="M1383" s="46" t="s">
        <v>117</v>
      </c>
      <c r="N1383" s="50">
        <v>0</v>
      </c>
      <c r="O1383" s="50">
        <v>0</v>
      </c>
      <c r="P1383" s="50">
        <v>0</v>
      </c>
      <c r="Q1383" s="46" t="s">
        <v>102</v>
      </c>
      <c r="R1383" s="46" t="s">
        <v>102</v>
      </c>
      <c r="S1383" s="46" t="s">
        <v>102</v>
      </c>
      <c r="T1383" s="46" t="s">
        <v>860</v>
      </c>
      <c r="U1383" s="51">
        <v>4</v>
      </c>
    </row>
    <row r="1384" spans="2:21" ht="14.5" outlineLevel="3">
      <c r="B1384" s="44" t="s">
        <v>4029</v>
      </c>
      <c r="C1384" s="45" t="s">
        <v>4030</v>
      </c>
      <c r="D1384" s="46" t="s">
        <v>102</v>
      </c>
      <c r="E1384" s="47" t="s">
        <v>102</v>
      </c>
      <c r="F1384" s="46" t="s">
        <v>102</v>
      </c>
      <c r="G1384" s="47" t="s">
        <v>102</v>
      </c>
      <c r="H1384" s="48">
        <v>0</v>
      </c>
      <c r="I1384" s="48">
        <v>0</v>
      </c>
      <c r="J1384" s="47" t="s">
        <v>3414</v>
      </c>
      <c r="K1384" s="49">
        <v>1</v>
      </c>
      <c r="L1384" s="49" t="s">
        <v>2614</v>
      </c>
      <c r="M1384" s="46" t="s">
        <v>117</v>
      </c>
      <c r="N1384" s="50">
        <v>0</v>
      </c>
      <c r="O1384" s="50">
        <v>0</v>
      </c>
      <c r="P1384" s="50">
        <v>0</v>
      </c>
      <c r="Q1384" s="46" t="s">
        <v>102</v>
      </c>
      <c r="R1384" s="46" t="s">
        <v>102</v>
      </c>
      <c r="S1384" s="46" t="s">
        <v>102</v>
      </c>
      <c r="T1384" s="46" t="s">
        <v>450</v>
      </c>
      <c r="U1384" s="51">
        <v>4</v>
      </c>
    </row>
    <row r="1385" spans="2:21" ht="14.5" outlineLevel="3">
      <c r="B1385" s="44" t="s">
        <v>4031</v>
      </c>
      <c r="C1385" s="45" t="s">
        <v>4032</v>
      </c>
      <c r="D1385" s="46" t="s">
        <v>102</v>
      </c>
      <c r="E1385" s="47" t="s">
        <v>102</v>
      </c>
      <c r="F1385" s="46" t="s">
        <v>102</v>
      </c>
      <c r="G1385" s="47" t="s">
        <v>102</v>
      </c>
      <c r="H1385" s="48">
        <v>0</v>
      </c>
      <c r="I1385" s="48">
        <v>0</v>
      </c>
      <c r="J1385" s="47" t="s">
        <v>3414</v>
      </c>
      <c r="K1385" s="49">
        <v>1</v>
      </c>
      <c r="L1385" s="49" t="s">
        <v>2614</v>
      </c>
      <c r="M1385" s="46" t="s">
        <v>117</v>
      </c>
      <c r="N1385" s="50">
        <v>0</v>
      </c>
      <c r="O1385" s="50">
        <v>0</v>
      </c>
      <c r="P1385" s="50">
        <v>0</v>
      </c>
      <c r="Q1385" s="46" t="s">
        <v>102</v>
      </c>
      <c r="R1385" s="46" t="s">
        <v>102</v>
      </c>
      <c r="S1385" s="46" t="s">
        <v>102</v>
      </c>
      <c r="T1385" s="46" t="s">
        <v>923</v>
      </c>
      <c r="U1385" s="51">
        <v>4</v>
      </c>
    </row>
    <row r="1386" spans="2:21" ht="14.5" outlineLevel="3">
      <c r="B1386" s="44" t="s">
        <v>4033</v>
      </c>
      <c r="C1386" s="45" t="s">
        <v>4034</v>
      </c>
      <c r="D1386" s="46" t="s">
        <v>102</v>
      </c>
      <c r="E1386" s="47" t="s">
        <v>102</v>
      </c>
      <c r="F1386" s="46" t="s">
        <v>102</v>
      </c>
      <c r="G1386" s="47" t="s">
        <v>102</v>
      </c>
      <c r="H1386" s="48">
        <v>0</v>
      </c>
      <c r="I1386" s="48">
        <v>0</v>
      </c>
      <c r="J1386" s="47" t="s">
        <v>3414</v>
      </c>
      <c r="K1386" s="49">
        <v>1</v>
      </c>
      <c r="L1386" s="49" t="s">
        <v>2614</v>
      </c>
      <c r="M1386" s="46" t="s">
        <v>117</v>
      </c>
      <c r="N1386" s="50">
        <v>0</v>
      </c>
      <c r="O1386" s="50">
        <v>0</v>
      </c>
      <c r="P1386" s="50">
        <v>0</v>
      </c>
      <c r="Q1386" s="46" t="s">
        <v>102</v>
      </c>
      <c r="R1386" s="46" t="s">
        <v>102</v>
      </c>
      <c r="S1386" s="46" t="s">
        <v>102</v>
      </c>
      <c r="T1386" s="46" t="s">
        <v>455</v>
      </c>
      <c r="U1386" s="51">
        <v>4</v>
      </c>
    </row>
    <row r="1387" spans="2:21" ht="14.5" outlineLevel="3">
      <c r="B1387" s="44" t="s">
        <v>4035</v>
      </c>
      <c r="C1387" s="45" t="s">
        <v>4036</v>
      </c>
      <c r="D1387" s="46" t="s">
        <v>102</v>
      </c>
      <c r="E1387" s="47" t="s">
        <v>102</v>
      </c>
      <c r="F1387" s="46" t="s">
        <v>102</v>
      </c>
      <c r="G1387" s="47" t="s">
        <v>102</v>
      </c>
      <c r="H1387" s="48">
        <v>0</v>
      </c>
      <c r="I1387" s="48">
        <v>0</v>
      </c>
      <c r="J1387" s="47" t="s">
        <v>3414</v>
      </c>
      <c r="K1387" s="49">
        <v>1</v>
      </c>
      <c r="L1387" s="49" t="s">
        <v>2614</v>
      </c>
      <c r="M1387" s="46" t="s">
        <v>117</v>
      </c>
      <c r="N1387" s="50">
        <v>0</v>
      </c>
      <c r="O1387" s="50">
        <v>0</v>
      </c>
      <c r="P1387" s="50">
        <v>0</v>
      </c>
      <c r="Q1387" s="46" t="s">
        <v>102</v>
      </c>
      <c r="R1387" s="46" t="s">
        <v>102</v>
      </c>
      <c r="S1387" s="46" t="s">
        <v>102</v>
      </c>
      <c r="T1387" s="46" t="s">
        <v>3729</v>
      </c>
      <c r="U1387" s="51">
        <v>4</v>
      </c>
    </row>
    <row r="1388" spans="2:21" ht="14.5" outlineLevel="3">
      <c r="B1388" s="44" t="s">
        <v>4037</v>
      </c>
      <c r="C1388" s="45" t="s">
        <v>4038</v>
      </c>
      <c r="D1388" s="46" t="s">
        <v>102</v>
      </c>
      <c r="E1388" s="47" t="s">
        <v>102</v>
      </c>
      <c r="F1388" s="46" t="s">
        <v>102</v>
      </c>
      <c r="G1388" s="47" t="s">
        <v>102</v>
      </c>
      <c r="H1388" s="48">
        <v>0</v>
      </c>
      <c r="I1388" s="48">
        <v>0</v>
      </c>
      <c r="J1388" s="47" t="s">
        <v>3414</v>
      </c>
      <c r="K1388" s="49">
        <v>1</v>
      </c>
      <c r="L1388" s="49" t="s">
        <v>2614</v>
      </c>
      <c r="M1388" s="46" t="s">
        <v>117</v>
      </c>
      <c r="N1388" s="50">
        <v>0</v>
      </c>
      <c r="O1388" s="50">
        <v>0</v>
      </c>
      <c r="P1388" s="50">
        <v>0</v>
      </c>
      <c r="Q1388" s="46" t="s">
        <v>102</v>
      </c>
      <c r="R1388" s="46" t="s">
        <v>102</v>
      </c>
      <c r="S1388" s="46" t="s">
        <v>102</v>
      </c>
      <c r="T1388" s="46" t="s">
        <v>2904</v>
      </c>
      <c r="U1388" s="51">
        <v>4</v>
      </c>
    </row>
    <row r="1389" spans="2:21" ht="14.5" outlineLevel="3">
      <c r="B1389" s="44" t="s">
        <v>4039</v>
      </c>
      <c r="C1389" s="45" t="s">
        <v>4040</v>
      </c>
      <c r="D1389" s="46" t="s">
        <v>102</v>
      </c>
      <c r="E1389" s="47" t="s">
        <v>102</v>
      </c>
      <c r="F1389" s="46" t="s">
        <v>102</v>
      </c>
      <c r="G1389" s="47" t="s">
        <v>102</v>
      </c>
      <c r="H1389" s="48">
        <v>0</v>
      </c>
      <c r="I1389" s="48">
        <v>0</v>
      </c>
      <c r="J1389" s="47" t="s">
        <v>3414</v>
      </c>
      <c r="K1389" s="49">
        <v>1</v>
      </c>
      <c r="L1389" s="49" t="s">
        <v>2614</v>
      </c>
      <c r="M1389" s="46" t="s">
        <v>117</v>
      </c>
      <c r="N1389" s="50">
        <v>0</v>
      </c>
      <c r="O1389" s="50">
        <v>0</v>
      </c>
      <c r="P1389" s="50">
        <v>0</v>
      </c>
      <c r="Q1389" s="46" t="s">
        <v>102</v>
      </c>
      <c r="R1389" s="46" t="s">
        <v>102</v>
      </c>
      <c r="S1389" s="46" t="s">
        <v>102</v>
      </c>
      <c r="T1389" s="46" t="s">
        <v>995</v>
      </c>
      <c r="U1389" s="51">
        <v>4</v>
      </c>
    </row>
    <row r="1390" spans="2:21" ht="14.5" outlineLevel="3">
      <c r="B1390" s="44" t="s">
        <v>4041</v>
      </c>
      <c r="C1390" s="45" t="s">
        <v>4042</v>
      </c>
      <c r="D1390" s="46" t="s">
        <v>102</v>
      </c>
      <c r="E1390" s="47" t="s">
        <v>102</v>
      </c>
      <c r="F1390" s="46" t="s">
        <v>102</v>
      </c>
      <c r="G1390" s="47" t="s">
        <v>102</v>
      </c>
      <c r="H1390" s="48">
        <v>0</v>
      </c>
      <c r="I1390" s="48">
        <v>0</v>
      </c>
      <c r="J1390" s="47" t="s">
        <v>3414</v>
      </c>
      <c r="K1390" s="49">
        <v>1</v>
      </c>
      <c r="L1390" s="49" t="s">
        <v>2614</v>
      </c>
      <c r="M1390" s="46" t="s">
        <v>117</v>
      </c>
      <c r="N1390" s="50">
        <v>0</v>
      </c>
      <c r="O1390" s="50">
        <v>0</v>
      </c>
      <c r="P1390" s="50">
        <v>0</v>
      </c>
      <c r="Q1390" s="46" t="s">
        <v>102</v>
      </c>
      <c r="R1390" s="46" t="s">
        <v>102</v>
      </c>
      <c r="S1390" s="46" t="s">
        <v>102</v>
      </c>
      <c r="T1390" s="46" t="s">
        <v>1019</v>
      </c>
      <c r="U1390" s="51">
        <v>4</v>
      </c>
    </row>
    <row r="1391" spans="2:21" ht="14.5" outlineLevel="3">
      <c r="B1391" s="44" t="s">
        <v>4043</v>
      </c>
      <c r="C1391" s="45" t="s">
        <v>4044</v>
      </c>
      <c r="D1391" s="46" t="s">
        <v>102</v>
      </c>
      <c r="E1391" s="47" t="s">
        <v>102</v>
      </c>
      <c r="F1391" s="46" t="s">
        <v>102</v>
      </c>
      <c r="G1391" s="47" t="s">
        <v>102</v>
      </c>
      <c r="H1391" s="48">
        <v>0</v>
      </c>
      <c r="I1391" s="48">
        <v>0</v>
      </c>
      <c r="J1391" s="47" t="s">
        <v>3414</v>
      </c>
      <c r="K1391" s="49">
        <v>1</v>
      </c>
      <c r="L1391" s="49" t="s">
        <v>2614</v>
      </c>
      <c r="M1391" s="46" t="s">
        <v>117</v>
      </c>
      <c r="N1391" s="50">
        <v>0</v>
      </c>
      <c r="O1391" s="50">
        <v>0</v>
      </c>
      <c r="P1391" s="50">
        <v>0</v>
      </c>
      <c r="Q1391" s="46" t="s">
        <v>102</v>
      </c>
      <c r="R1391" s="46" t="s">
        <v>102</v>
      </c>
      <c r="S1391" s="46" t="s">
        <v>102</v>
      </c>
      <c r="T1391" s="46" t="s">
        <v>2781</v>
      </c>
      <c r="U1391" s="51">
        <v>4</v>
      </c>
    </row>
    <row r="1392" spans="2:21" ht="14.5" outlineLevel="3">
      <c r="B1392" s="44" t="s">
        <v>4045</v>
      </c>
      <c r="C1392" s="45" t="s">
        <v>4046</v>
      </c>
      <c r="D1392" s="46" t="s">
        <v>102</v>
      </c>
      <c r="E1392" s="47" t="s">
        <v>102</v>
      </c>
      <c r="F1392" s="46" t="s">
        <v>102</v>
      </c>
      <c r="G1392" s="47" t="s">
        <v>102</v>
      </c>
      <c r="H1392" s="48">
        <v>0</v>
      </c>
      <c r="I1392" s="48">
        <v>0</v>
      </c>
      <c r="J1392" s="47" t="s">
        <v>3414</v>
      </c>
      <c r="K1392" s="49">
        <v>1</v>
      </c>
      <c r="L1392" s="49" t="s">
        <v>2614</v>
      </c>
      <c r="M1392" s="46" t="s">
        <v>117</v>
      </c>
      <c r="N1392" s="50">
        <v>0</v>
      </c>
      <c r="O1392" s="50">
        <v>0</v>
      </c>
      <c r="P1392" s="50">
        <v>0</v>
      </c>
      <c r="Q1392" s="46" t="s">
        <v>102</v>
      </c>
      <c r="R1392" s="46" t="s">
        <v>102</v>
      </c>
      <c r="S1392" s="46" t="s">
        <v>102</v>
      </c>
      <c r="T1392" s="46" t="s">
        <v>2784</v>
      </c>
      <c r="U1392" s="51">
        <v>4</v>
      </c>
    </row>
    <row r="1393" spans="2:21" ht="14.5" outlineLevel="3">
      <c r="B1393" s="44" t="s">
        <v>4047</v>
      </c>
      <c r="C1393" s="45" t="s">
        <v>4048</v>
      </c>
      <c r="D1393" s="46" t="s">
        <v>102</v>
      </c>
      <c r="E1393" s="47" t="s">
        <v>102</v>
      </c>
      <c r="F1393" s="46" t="s">
        <v>102</v>
      </c>
      <c r="G1393" s="47" t="s">
        <v>102</v>
      </c>
      <c r="H1393" s="48">
        <v>0</v>
      </c>
      <c r="I1393" s="48">
        <v>0</v>
      </c>
      <c r="J1393" s="47" t="s">
        <v>3414</v>
      </c>
      <c r="K1393" s="49">
        <v>1</v>
      </c>
      <c r="L1393" s="49" t="s">
        <v>2614</v>
      </c>
      <c r="M1393" s="46" t="s">
        <v>117</v>
      </c>
      <c r="N1393" s="50">
        <v>0</v>
      </c>
      <c r="O1393" s="50">
        <v>0</v>
      </c>
      <c r="P1393" s="50">
        <v>0</v>
      </c>
      <c r="Q1393" s="46" t="s">
        <v>102</v>
      </c>
      <c r="R1393" s="46" t="s">
        <v>102</v>
      </c>
      <c r="S1393" s="46" t="s">
        <v>102</v>
      </c>
      <c r="T1393" s="46" t="s">
        <v>2787</v>
      </c>
      <c r="U1393" s="51">
        <v>4</v>
      </c>
    </row>
    <row r="1394" spans="2:21" ht="14.5" outlineLevel="3">
      <c r="B1394" s="44" t="s">
        <v>4049</v>
      </c>
      <c r="C1394" s="45" t="s">
        <v>4050</v>
      </c>
      <c r="D1394" s="46" t="s">
        <v>102</v>
      </c>
      <c r="E1394" s="47" t="s">
        <v>102</v>
      </c>
      <c r="F1394" s="46" t="s">
        <v>102</v>
      </c>
      <c r="G1394" s="47" t="s">
        <v>102</v>
      </c>
      <c r="H1394" s="48">
        <v>0</v>
      </c>
      <c r="I1394" s="48">
        <v>0</v>
      </c>
      <c r="J1394" s="47" t="s">
        <v>3414</v>
      </c>
      <c r="K1394" s="49">
        <v>1</v>
      </c>
      <c r="L1394" s="49" t="s">
        <v>2614</v>
      </c>
      <c r="M1394" s="46" t="s">
        <v>117</v>
      </c>
      <c r="N1394" s="50">
        <v>0</v>
      </c>
      <c r="O1394" s="50">
        <v>0</v>
      </c>
      <c r="P1394" s="50">
        <v>0</v>
      </c>
      <c r="Q1394" s="46" t="s">
        <v>102</v>
      </c>
      <c r="R1394" s="46" t="s">
        <v>102</v>
      </c>
      <c r="S1394" s="46" t="s">
        <v>102</v>
      </c>
      <c r="T1394" s="46" t="s">
        <v>3746</v>
      </c>
      <c r="U1394" s="51">
        <v>4</v>
      </c>
    </row>
    <row r="1395" spans="2:21" ht="14.5" outlineLevel="3">
      <c r="B1395" s="44" t="s">
        <v>4051</v>
      </c>
      <c r="C1395" s="45" t="s">
        <v>4052</v>
      </c>
      <c r="D1395" s="46" t="s">
        <v>102</v>
      </c>
      <c r="E1395" s="47" t="s">
        <v>102</v>
      </c>
      <c r="F1395" s="46" t="s">
        <v>102</v>
      </c>
      <c r="G1395" s="47" t="s">
        <v>102</v>
      </c>
      <c r="H1395" s="48">
        <v>0</v>
      </c>
      <c r="I1395" s="48">
        <v>0</v>
      </c>
      <c r="J1395" s="47" t="s">
        <v>3414</v>
      </c>
      <c r="K1395" s="49">
        <v>1</v>
      </c>
      <c r="L1395" s="49" t="s">
        <v>2614</v>
      </c>
      <c r="M1395" s="46" t="s">
        <v>117</v>
      </c>
      <c r="N1395" s="50">
        <v>0</v>
      </c>
      <c r="O1395" s="50">
        <v>0</v>
      </c>
      <c r="P1395" s="50">
        <v>0</v>
      </c>
      <c r="Q1395" s="46" t="s">
        <v>102</v>
      </c>
      <c r="R1395" s="46" t="s">
        <v>102</v>
      </c>
      <c r="S1395" s="46" t="s">
        <v>102</v>
      </c>
      <c r="T1395" s="46" t="s">
        <v>466</v>
      </c>
      <c r="U1395" s="51">
        <v>4</v>
      </c>
    </row>
    <row r="1396" spans="2:21" ht="14.5" outlineLevel="3">
      <c r="B1396" s="44" t="s">
        <v>4053</v>
      </c>
      <c r="C1396" s="45" t="s">
        <v>4054</v>
      </c>
      <c r="D1396" s="46" t="s">
        <v>102</v>
      </c>
      <c r="E1396" s="47" t="s">
        <v>102</v>
      </c>
      <c r="F1396" s="46" t="s">
        <v>102</v>
      </c>
      <c r="G1396" s="47" t="s">
        <v>102</v>
      </c>
      <c r="H1396" s="48">
        <v>0</v>
      </c>
      <c r="I1396" s="48">
        <v>0</v>
      </c>
      <c r="J1396" s="47" t="s">
        <v>3414</v>
      </c>
      <c r="K1396" s="49">
        <v>1</v>
      </c>
      <c r="L1396" s="49" t="s">
        <v>2614</v>
      </c>
      <c r="M1396" s="46" t="s">
        <v>117</v>
      </c>
      <c r="N1396" s="50">
        <v>0</v>
      </c>
      <c r="O1396" s="50">
        <v>0</v>
      </c>
      <c r="P1396" s="50">
        <v>0</v>
      </c>
      <c r="Q1396" s="46" t="s">
        <v>102</v>
      </c>
      <c r="R1396" s="46" t="s">
        <v>102</v>
      </c>
      <c r="S1396" s="46" t="s">
        <v>102</v>
      </c>
      <c r="T1396" s="46" t="s">
        <v>472</v>
      </c>
      <c r="U1396" s="51">
        <v>4</v>
      </c>
    </row>
    <row r="1397" spans="2:21" ht="14.5" outlineLevel="3">
      <c r="B1397" s="44" t="s">
        <v>4055</v>
      </c>
      <c r="C1397" s="45" t="s">
        <v>4056</v>
      </c>
      <c r="D1397" s="46" t="s">
        <v>102</v>
      </c>
      <c r="E1397" s="47" t="s">
        <v>102</v>
      </c>
      <c r="F1397" s="46" t="s">
        <v>102</v>
      </c>
      <c r="G1397" s="47" t="s">
        <v>102</v>
      </c>
      <c r="H1397" s="48">
        <v>0</v>
      </c>
      <c r="I1397" s="48">
        <v>0</v>
      </c>
      <c r="J1397" s="47" t="s">
        <v>3414</v>
      </c>
      <c r="K1397" s="49">
        <v>1</v>
      </c>
      <c r="L1397" s="49" t="s">
        <v>2614</v>
      </c>
      <c r="M1397" s="46" t="s">
        <v>117</v>
      </c>
      <c r="N1397" s="50">
        <v>0</v>
      </c>
      <c r="O1397" s="50">
        <v>0</v>
      </c>
      <c r="P1397" s="50">
        <v>0</v>
      </c>
      <c r="Q1397" s="46" t="s">
        <v>102</v>
      </c>
      <c r="R1397" s="46" t="s">
        <v>102</v>
      </c>
      <c r="S1397" s="46" t="s">
        <v>102</v>
      </c>
      <c r="T1397" s="46" t="s">
        <v>3059</v>
      </c>
      <c r="U1397" s="51">
        <v>4</v>
      </c>
    </row>
    <row r="1398" spans="2:21" ht="14.5" outlineLevel="3">
      <c r="B1398" s="44" t="s">
        <v>4057</v>
      </c>
      <c r="C1398" s="45" t="s">
        <v>4058</v>
      </c>
      <c r="D1398" s="46" t="s">
        <v>102</v>
      </c>
      <c r="E1398" s="47" t="s">
        <v>102</v>
      </c>
      <c r="F1398" s="46" t="s">
        <v>102</v>
      </c>
      <c r="G1398" s="47" t="s">
        <v>102</v>
      </c>
      <c r="H1398" s="48">
        <v>0</v>
      </c>
      <c r="I1398" s="48">
        <v>0</v>
      </c>
      <c r="J1398" s="47" t="s">
        <v>3414</v>
      </c>
      <c r="K1398" s="49">
        <v>1</v>
      </c>
      <c r="L1398" s="49" t="s">
        <v>2614</v>
      </c>
      <c r="M1398" s="46" t="s">
        <v>117</v>
      </c>
      <c r="N1398" s="50">
        <v>0</v>
      </c>
      <c r="O1398" s="50">
        <v>0</v>
      </c>
      <c r="P1398" s="50">
        <v>0</v>
      </c>
      <c r="Q1398" s="46" t="s">
        <v>102</v>
      </c>
      <c r="R1398" s="46" t="s">
        <v>102</v>
      </c>
      <c r="S1398" s="46" t="s">
        <v>102</v>
      </c>
      <c r="T1398" s="46" t="s">
        <v>2666</v>
      </c>
      <c r="U1398" s="51">
        <v>4</v>
      </c>
    </row>
    <row r="1399" spans="2:21" ht="14.5" outlineLevel="3">
      <c r="B1399" s="44" t="s">
        <v>4059</v>
      </c>
      <c r="C1399" s="45" t="s">
        <v>4060</v>
      </c>
      <c r="D1399" s="46" t="s">
        <v>102</v>
      </c>
      <c r="E1399" s="47" t="s">
        <v>102</v>
      </c>
      <c r="F1399" s="46" t="s">
        <v>102</v>
      </c>
      <c r="G1399" s="47" t="s">
        <v>102</v>
      </c>
      <c r="H1399" s="48">
        <v>0</v>
      </c>
      <c r="I1399" s="48">
        <v>0</v>
      </c>
      <c r="J1399" s="47" t="s">
        <v>3414</v>
      </c>
      <c r="K1399" s="49">
        <v>1</v>
      </c>
      <c r="L1399" s="49" t="s">
        <v>2614</v>
      </c>
      <c r="M1399" s="46" t="s">
        <v>117</v>
      </c>
      <c r="N1399" s="50">
        <v>0</v>
      </c>
      <c r="O1399" s="50">
        <v>0</v>
      </c>
      <c r="P1399" s="50">
        <v>0</v>
      </c>
      <c r="Q1399" s="46" t="s">
        <v>102</v>
      </c>
      <c r="R1399" s="46" t="s">
        <v>102</v>
      </c>
      <c r="S1399" s="46" t="s">
        <v>102</v>
      </c>
      <c r="T1399" s="46" t="s">
        <v>3504</v>
      </c>
      <c r="U1399" s="51">
        <v>4</v>
      </c>
    </row>
    <row r="1400" spans="2:21" ht="14.5" outlineLevel="3">
      <c r="B1400" s="44" t="s">
        <v>4061</v>
      </c>
      <c r="C1400" s="45" t="s">
        <v>4062</v>
      </c>
      <c r="D1400" s="46" t="s">
        <v>102</v>
      </c>
      <c r="E1400" s="47" t="s">
        <v>102</v>
      </c>
      <c r="F1400" s="46" t="s">
        <v>102</v>
      </c>
      <c r="G1400" s="47" t="s">
        <v>102</v>
      </c>
      <c r="H1400" s="48">
        <v>0</v>
      </c>
      <c r="I1400" s="48">
        <v>0</v>
      </c>
      <c r="J1400" s="47" t="s">
        <v>3414</v>
      </c>
      <c r="K1400" s="49">
        <v>1</v>
      </c>
      <c r="L1400" s="49" t="s">
        <v>2614</v>
      </c>
      <c r="M1400" s="46" t="s">
        <v>117</v>
      </c>
      <c r="N1400" s="50">
        <v>0</v>
      </c>
      <c r="O1400" s="50">
        <v>0</v>
      </c>
      <c r="P1400" s="50">
        <v>0</v>
      </c>
      <c r="Q1400" s="46" t="s">
        <v>102</v>
      </c>
      <c r="R1400" s="46" t="s">
        <v>102</v>
      </c>
      <c r="S1400" s="46" t="s">
        <v>102</v>
      </c>
      <c r="T1400" s="46" t="s">
        <v>3773</v>
      </c>
      <c r="U1400" s="51">
        <v>4</v>
      </c>
    </row>
    <row r="1401" spans="2:21" ht="14.5" outlineLevel="3">
      <c r="B1401" s="44" t="s">
        <v>4063</v>
      </c>
      <c r="C1401" s="45" t="s">
        <v>4064</v>
      </c>
      <c r="D1401" s="46" t="s">
        <v>102</v>
      </c>
      <c r="E1401" s="47" t="s">
        <v>102</v>
      </c>
      <c r="F1401" s="46" t="s">
        <v>102</v>
      </c>
      <c r="G1401" s="47" t="s">
        <v>102</v>
      </c>
      <c r="H1401" s="48">
        <v>0</v>
      </c>
      <c r="I1401" s="48">
        <v>0</v>
      </c>
      <c r="J1401" s="47" t="s">
        <v>3414</v>
      </c>
      <c r="K1401" s="49">
        <v>1</v>
      </c>
      <c r="L1401" s="49" t="s">
        <v>2614</v>
      </c>
      <c r="M1401" s="46" t="s">
        <v>117</v>
      </c>
      <c r="N1401" s="50">
        <v>0</v>
      </c>
      <c r="O1401" s="50">
        <v>0</v>
      </c>
      <c r="P1401" s="50">
        <v>0</v>
      </c>
      <c r="Q1401" s="46" t="s">
        <v>102</v>
      </c>
      <c r="R1401" s="46" t="s">
        <v>102</v>
      </c>
      <c r="S1401" s="46" t="s">
        <v>102</v>
      </c>
      <c r="T1401" s="46" t="s">
        <v>3088</v>
      </c>
      <c r="U1401" s="51">
        <v>4</v>
      </c>
    </row>
    <row r="1402" spans="2:21" ht="14.5" outlineLevel="3">
      <c r="B1402" s="44" t="s">
        <v>4065</v>
      </c>
      <c r="C1402" s="45" t="s">
        <v>4066</v>
      </c>
      <c r="D1402" s="46" t="s">
        <v>102</v>
      </c>
      <c r="E1402" s="47" t="s">
        <v>102</v>
      </c>
      <c r="F1402" s="46" t="s">
        <v>102</v>
      </c>
      <c r="G1402" s="47" t="s">
        <v>102</v>
      </c>
      <c r="H1402" s="48">
        <v>0</v>
      </c>
      <c r="I1402" s="48">
        <v>0</v>
      </c>
      <c r="J1402" s="47" t="s">
        <v>3414</v>
      </c>
      <c r="K1402" s="49">
        <v>1</v>
      </c>
      <c r="L1402" s="49" t="s">
        <v>2614</v>
      </c>
      <c r="M1402" s="46" t="s">
        <v>117</v>
      </c>
      <c r="N1402" s="50">
        <v>0</v>
      </c>
      <c r="O1402" s="50">
        <v>0</v>
      </c>
      <c r="P1402" s="50">
        <v>0</v>
      </c>
      <c r="Q1402" s="46" t="s">
        <v>102</v>
      </c>
      <c r="R1402" s="46" t="s">
        <v>102</v>
      </c>
      <c r="S1402" s="46" t="s">
        <v>102</v>
      </c>
      <c r="T1402" s="46" t="s">
        <v>3091</v>
      </c>
      <c r="U1402" s="51">
        <v>4</v>
      </c>
    </row>
    <row r="1403" spans="2:21" ht="14.5" outlineLevel="2">
      <c r="B1403" s="36" t="s">
        <v>4067</v>
      </c>
      <c r="C1403" s="37" t="s">
        <v>4068</v>
      </c>
      <c r="D1403" s="38" t="s">
        <v>102</v>
      </c>
      <c r="E1403" s="39" t="s">
        <v>102</v>
      </c>
      <c r="F1403" s="38" t="s">
        <v>102</v>
      </c>
      <c r="G1403" s="39" t="s">
        <v>102</v>
      </c>
      <c r="H1403" s="40">
        <v>0</v>
      </c>
      <c r="I1403" s="40">
        <v>0</v>
      </c>
      <c r="J1403" s="39" t="s">
        <v>3414</v>
      </c>
      <c r="K1403" s="41">
        <v>1</v>
      </c>
      <c r="L1403" s="41" t="s">
        <v>2614</v>
      </c>
      <c r="M1403" s="38" t="s">
        <v>117</v>
      </c>
      <c r="N1403" s="42">
        <v>0</v>
      </c>
      <c r="O1403" s="42">
        <v>0</v>
      </c>
      <c r="P1403" s="42">
        <v>0</v>
      </c>
      <c r="Q1403" s="38" t="s">
        <v>102</v>
      </c>
      <c r="R1403" s="38" t="s">
        <v>102</v>
      </c>
      <c r="S1403" s="38" t="s">
        <v>102</v>
      </c>
      <c r="T1403" s="38" t="s">
        <v>3780</v>
      </c>
      <c r="U1403" s="43">
        <v>4</v>
      </c>
    </row>
    <row r="1404" spans="2:21" ht="14.5" outlineLevel="3">
      <c r="B1404" s="44" t="s">
        <v>4069</v>
      </c>
      <c r="C1404" s="45" t="s">
        <v>4070</v>
      </c>
      <c r="D1404" s="46" t="s">
        <v>102</v>
      </c>
      <c r="E1404" s="47" t="s">
        <v>102</v>
      </c>
      <c r="F1404" s="46" t="s">
        <v>102</v>
      </c>
      <c r="G1404" s="47" t="s">
        <v>102</v>
      </c>
      <c r="H1404" s="48">
        <v>0</v>
      </c>
      <c r="I1404" s="48">
        <v>0</v>
      </c>
      <c r="J1404" s="47" t="s">
        <v>3414</v>
      </c>
      <c r="K1404" s="49">
        <v>1</v>
      </c>
      <c r="L1404" s="49" t="s">
        <v>2614</v>
      </c>
      <c r="M1404" s="46" t="s">
        <v>117</v>
      </c>
      <c r="N1404" s="50">
        <v>0</v>
      </c>
      <c r="O1404" s="50">
        <v>0</v>
      </c>
      <c r="P1404" s="50">
        <v>0</v>
      </c>
      <c r="Q1404" s="46" t="s">
        <v>102</v>
      </c>
      <c r="R1404" s="46" t="s">
        <v>102</v>
      </c>
      <c r="S1404" s="46" t="s">
        <v>102</v>
      </c>
      <c r="T1404" s="46" t="s">
        <v>3783</v>
      </c>
      <c r="U1404" s="51">
        <v>4</v>
      </c>
    </row>
    <row r="1405" spans="2:21" ht="14.5" outlineLevel="3">
      <c r="B1405" s="44" t="s">
        <v>4071</v>
      </c>
      <c r="C1405" s="45" t="s">
        <v>4072</v>
      </c>
      <c r="D1405" s="46" t="s">
        <v>102</v>
      </c>
      <c r="E1405" s="47" t="s">
        <v>102</v>
      </c>
      <c r="F1405" s="46" t="s">
        <v>102</v>
      </c>
      <c r="G1405" s="47" t="s">
        <v>102</v>
      </c>
      <c r="H1405" s="48">
        <v>0</v>
      </c>
      <c r="I1405" s="48">
        <v>0</v>
      </c>
      <c r="J1405" s="47" t="s">
        <v>3414</v>
      </c>
      <c r="K1405" s="49">
        <v>1</v>
      </c>
      <c r="L1405" s="49" t="s">
        <v>2614</v>
      </c>
      <c r="M1405" s="46" t="s">
        <v>117</v>
      </c>
      <c r="N1405" s="50">
        <v>0</v>
      </c>
      <c r="O1405" s="50">
        <v>0</v>
      </c>
      <c r="P1405" s="50">
        <v>0</v>
      </c>
      <c r="Q1405" s="46" t="s">
        <v>102</v>
      </c>
      <c r="R1405" s="46" t="s">
        <v>102</v>
      </c>
      <c r="S1405" s="46" t="s">
        <v>102</v>
      </c>
      <c r="T1405" s="46" t="s">
        <v>3094</v>
      </c>
      <c r="U1405" s="51">
        <v>4</v>
      </c>
    </row>
    <row r="1406" spans="2:21" ht="14.5" outlineLevel="3">
      <c r="B1406" s="44" t="s">
        <v>4073</v>
      </c>
      <c r="C1406" s="45" t="s">
        <v>4074</v>
      </c>
      <c r="D1406" s="46" t="s">
        <v>102</v>
      </c>
      <c r="E1406" s="47" t="s">
        <v>102</v>
      </c>
      <c r="F1406" s="46" t="s">
        <v>102</v>
      </c>
      <c r="G1406" s="47" t="s">
        <v>102</v>
      </c>
      <c r="H1406" s="48">
        <v>0</v>
      </c>
      <c r="I1406" s="48">
        <v>0</v>
      </c>
      <c r="J1406" s="47" t="s">
        <v>3414</v>
      </c>
      <c r="K1406" s="49">
        <v>1</v>
      </c>
      <c r="L1406" s="49" t="s">
        <v>2614</v>
      </c>
      <c r="M1406" s="46" t="s">
        <v>117</v>
      </c>
      <c r="N1406" s="50">
        <v>0</v>
      </c>
      <c r="O1406" s="50">
        <v>0</v>
      </c>
      <c r="P1406" s="50">
        <v>0</v>
      </c>
      <c r="Q1406" s="46" t="s">
        <v>102</v>
      </c>
      <c r="R1406" s="46" t="s">
        <v>102</v>
      </c>
      <c r="S1406" s="46" t="s">
        <v>102</v>
      </c>
      <c r="T1406" s="46" t="s">
        <v>3789</v>
      </c>
      <c r="U1406" s="51">
        <v>4</v>
      </c>
    </row>
    <row r="1407" spans="2:21" ht="14.5" outlineLevel="3">
      <c r="B1407" s="44" t="s">
        <v>4075</v>
      </c>
      <c r="C1407" s="45" t="s">
        <v>4076</v>
      </c>
      <c r="D1407" s="46" t="s">
        <v>102</v>
      </c>
      <c r="E1407" s="47" t="s">
        <v>102</v>
      </c>
      <c r="F1407" s="46" t="s">
        <v>102</v>
      </c>
      <c r="G1407" s="47" t="s">
        <v>102</v>
      </c>
      <c r="H1407" s="48">
        <v>0</v>
      </c>
      <c r="I1407" s="48">
        <v>0</v>
      </c>
      <c r="J1407" s="47" t="s">
        <v>3414</v>
      </c>
      <c r="K1407" s="49">
        <v>1</v>
      </c>
      <c r="L1407" s="49" t="s">
        <v>2614</v>
      </c>
      <c r="M1407" s="46" t="s">
        <v>117</v>
      </c>
      <c r="N1407" s="50">
        <v>0</v>
      </c>
      <c r="O1407" s="50">
        <v>0</v>
      </c>
      <c r="P1407" s="50">
        <v>0</v>
      </c>
      <c r="Q1407" s="46" t="s">
        <v>102</v>
      </c>
      <c r="R1407" s="46" t="s">
        <v>102</v>
      </c>
      <c r="S1407" s="46" t="s">
        <v>102</v>
      </c>
      <c r="T1407" s="46" t="s">
        <v>3792</v>
      </c>
      <c r="U1407" s="51">
        <v>4</v>
      </c>
    </row>
    <row r="1408" spans="2:21" ht="14.5" outlineLevel="3">
      <c r="B1408" s="44" t="s">
        <v>4077</v>
      </c>
      <c r="C1408" s="45" t="s">
        <v>4078</v>
      </c>
      <c r="D1408" s="46" t="s">
        <v>392</v>
      </c>
      <c r="E1408" s="47" t="s">
        <v>102</v>
      </c>
      <c r="F1408" s="46" t="s">
        <v>102</v>
      </c>
      <c r="G1408" s="47" t="s">
        <v>102</v>
      </c>
      <c r="H1408" s="48">
        <v>0</v>
      </c>
      <c r="I1408" s="48">
        <v>0</v>
      </c>
      <c r="J1408" s="47" t="s">
        <v>3414</v>
      </c>
      <c r="K1408" s="49">
        <v>1</v>
      </c>
      <c r="L1408" s="49" t="s">
        <v>2614</v>
      </c>
      <c r="M1408" s="46" t="s">
        <v>117</v>
      </c>
      <c r="N1408" s="50">
        <v>0</v>
      </c>
      <c r="O1408" s="50">
        <v>0</v>
      </c>
      <c r="P1408" s="50">
        <v>0</v>
      </c>
      <c r="Q1408" s="46" t="s">
        <v>102</v>
      </c>
      <c r="R1408" s="46" t="s">
        <v>102</v>
      </c>
      <c r="S1408" s="46" t="s">
        <v>102</v>
      </c>
      <c r="T1408" s="46" t="s">
        <v>2854</v>
      </c>
      <c r="U1408" s="51">
        <v>4</v>
      </c>
    </row>
    <row r="1409" spans="2:21" ht="14.5" outlineLevel="3">
      <c r="B1409" s="44" t="s">
        <v>4079</v>
      </c>
      <c r="C1409" s="45" t="s">
        <v>4080</v>
      </c>
      <c r="D1409" s="46" t="s">
        <v>102</v>
      </c>
      <c r="E1409" s="47" t="s">
        <v>102</v>
      </c>
      <c r="F1409" s="46" t="s">
        <v>102</v>
      </c>
      <c r="G1409" s="47" t="s">
        <v>102</v>
      </c>
      <c r="H1409" s="48">
        <v>0</v>
      </c>
      <c r="I1409" s="48">
        <v>0</v>
      </c>
      <c r="J1409" s="47" t="s">
        <v>102</v>
      </c>
      <c r="K1409" s="49">
        <v>0</v>
      </c>
      <c r="L1409" s="49" t="s">
        <v>102</v>
      </c>
      <c r="M1409" s="46" t="s">
        <v>102</v>
      </c>
      <c r="N1409" s="50">
        <v>0</v>
      </c>
      <c r="O1409" s="50">
        <v>0</v>
      </c>
      <c r="P1409" s="50">
        <v>0</v>
      </c>
      <c r="Q1409" s="46" t="s">
        <v>102</v>
      </c>
      <c r="R1409" s="46" t="s">
        <v>102</v>
      </c>
      <c r="S1409" s="46" t="s">
        <v>4081</v>
      </c>
      <c r="T1409" s="46" t="s">
        <v>102</v>
      </c>
      <c r="U1409" s="51">
        <v>3</v>
      </c>
    </row>
    <row r="1410" spans="2:21" ht="14.5" outlineLevel="3">
      <c r="B1410" s="44" t="s">
        <v>4082</v>
      </c>
      <c r="C1410" s="45" t="s">
        <v>4083</v>
      </c>
      <c r="D1410" s="46" t="s">
        <v>102</v>
      </c>
      <c r="E1410" s="47" t="s">
        <v>102</v>
      </c>
      <c r="F1410" s="46" t="s">
        <v>102</v>
      </c>
      <c r="G1410" s="47" t="s">
        <v>102</v>
      </c>
      <c r="H1410" s="48">
        <v>0</v>
      </c>
      <c r="I1410" s="48">
        <v>0</v>
      </c>
      <c r="J1410" s="47" t="s">
        <v>4084</v>
      </c>
      <c r="K1410" s="49">
        <v>1</v>
      </c>
      <c r="L1410" s="49" t="s">
        <v>2614</v>
      </c>
      <c r="M1410" s="46" t="s">
        <v>117</v>
      </c>
      <c r="N1410" s="50">
        <v>0</v>
      </c>
      <c r="O1410" s="50">
        <v>0</v>
      </c>
      <c r="P1410" s="50">
        <v>0</v>
      </c>
      <c r="Q1410" s="46" t="s">
        <v>102</v>
      </c>
      <c r="R1410" s="46" t="s">
        <v>102</v>
      </c>
      <c r="S1410" s="46" t="s">
        <v>102</v>
      </c>
      <c r="T1410" s="46" t="s">
        <v>223</v>
      </c>
      <c r="U1410" s="51">
        <v>4</v>
      </c>
    </row>
    <row r="1411" spans="2:21" ht="14.5" outlineLevel="3">
      <c r="B1411" s="44" t="s">
        <v>4085</v>
      </c>
      <c r="C1411" s="45" t="s">
        <v>4086</v>
      </c>
      <c r="D1411" s="46" t="s">
        <v>102</v>
      </c>
      <c r="E1411" s="47" t="s">
        <v>102</v>
      </c>
      <c r="F1411" s="46" t="s">
        <v>102</v>
      </c>
      <c r="G1411" s="47" t="s">
        <v>102</v>
      </c>
      <c r="H1411" s="48">
        <v>0</v>
      </c>
      <c r="I1411" s="48">
        <v>0</v>
      </c>
      <c r="J1411" s="47" t="s">
        <v>4084</v>
      </c>
      <c r="K1411" s="49">
        <v>1</v>
      </c>
      <c r="L1411" s="49" t="s">
        <v>2614</v>
      </c>
      <c r="M1411" s="46" t="s">
        <v>117</v>
      </c>
      <c r="N1411" s="50">
        <v>0</v>
      </c>
      <c r="O1411" s="50">
        <v>0</v>
      </c>
      <c r="P1411" s="50">
        <v>0</v>
      </c>
      <c r="Q1411" s="46" t="s">
        <v>102</v>
      </c>
      <c r="R1411" s="46" t="s">
        <v>102</v>
      </c>
      <c r="S1411" s="46" t="s">
        <v>102</v>
      </c>
      <c r="T1411" s="46" t="s">
        <v>778</v>
      </c>
      <c r="U1411" s="51">
        <v>4</v>
      </c>
    </row>
    <row r="1412" spans="2:21" ht="14.5" outlineLevel="3">
      <c r="B1412" s="44" t="s">
        <v>4087</v>
      </c>
      <c r="C1412" s="45" t="s">
        <v>4088</v>
      </c>
      <c r="D1412" s="46" t="s">
        <v>102</v>
      </c>
      <c r="E1412" s="47" t="s">
        <v>102</v>
      </c>
      <c r="F1412" s="46" t="s">
        <v>102</v>
      </c>
      <c r="G1412" s="47" t="s">
        <v>102</v>
      </c>
      <c r="H1412" s="48">
        <v>0</v>
      </c>
      <c r="I1412" s="48">
        <v>0</v>
      </c>
      <c r="J1412" s="47" t="s">
        <v>4084</v>
      </c>
      <c r="K1412" s="49">
        <v>1</v>
      </c>
      <c r="L1412" s="49" t="s">
        <v>2614</v>
      </c>
      <c r="M1412" s="46" t="s">
        <v>117</v>
      </c>
      <c r="N1412" s="50">
        <v>0</v>
      </c>
      <c r="O1412" s="50">
        <v>0</v>
      </c>
      <c r="P1412" s="50">
        <v>0</v>
      </c>
      <c r="Q1412" s="46" t="s">
        <v>102</v>
      </c>
      <c r="R1412" s="46" t="s">
        <v>102</v>
      </c>
      <c r="S1412" s="46" t="s">
        <v>102</v>
      </c>
      <c r="T1412" s="46" t="s">
        <v>831</v>
      </c>
      <c r="U1412" s="51">
        <v>4</v>
      </c>
    </row>
    <row r="1413" spans="2:21" ht="14.5" outlineLevel="3">
      <c r="B1413" s="44" t="s">
        <v>4089</v>
      </c>
      <c r="C1413" s="45" t="s">
        <v>4090</v>
      </c>
      <c r="D1413" s="46" t="s">
        <v>102</v>
      </c>
      <c r="E1413" s="47" t="s">
        <v>102</v>
      </c>
      <c r="F1413" s="46" t="s">
        <v>102</v>
      </c>
      <c r="G1413" s="47" t="s">
        <v>102</v>
      </c>
      <c r="H1413" s="48">
        <v>0</v>
      </c>
      <c r="I1413" s="48">
        <v>0</v>
      </c>
      <c r="J1413" s="47" t="s">
        <v>4084</v>
      </c>
      <c r="K1413" s="49">
        <v>1</v>
      </c>
      <c r="L1413" s="49" t="s">
        <v>2614</v>
      </c>
      <c r="M1413" s="46" t="s">
        <v>117</v>
      </c>
      <c r="N1413" s="50">
        <v>0</v>
      </c>
      <c r="O1413" s="50">
        <v>0</v>
      </c>
      <c r="P1413" s="50">
        <v>0</v>
      </c>
      <c r="Q1413" s="46" t="s">
        <v>102</v>
      </c>
      <c r="R1413" s="46" t="s">
        <v>102</v>
      </c>
      <c r="S1413" s="46" t="s">
        <v>102</v>
      </c>
      <c r="T1413" s="46" t="s">
        <v>835</v>
      </c>
      <c r="U1413" s="51">
        <v>4</v>
      </c>
    </row>
    <row r="1414" spans="2:21" ht="14.5" outlineLevel="3">
      <c r="B1414" s="44" t="s">
        <v>4091</v>
      </c>
      <c r="C1414" s="45" t="s">
        <v>4092</v>
      </c>
      <c r="D1414" s="46" t="s">
        <v>102</v>
      </c>
      <c r="E1414" s="47" t="s">
        <v>102</v>
      </c>
      <c r="F1414" s="46" t="s">
        <v>102</v>
      </c>
      <c r="G1414" s="47" t="s">
        <v>102</v>
      </c>
      <c r="H1414" s="48">
        <v>0</v>
      </c>
      <c r="I1414" s="48">
        <v>0</v>
      </c>
      <c r="J1414" s="47" t="s">
        <v>4084</v>
      </c>
      <c r="K1414" s="49">
        <v>1</v>
      </c>
      <c r="L1414" s="49" t="s">
        <v>2614</v>
      </c>
      <c r="M1414" s="46" t="s">
        <v>117</v>
      </c>
      <c r="N1414" s="50">
        <v>0</v>
      </c>
      <c r="O1414" s="50">
        <v>0</v>
      </c>
      <c r="P1414" s="50">
        <v>0</v>
      </c>
      <c r="Q1414" s="46" t="s">
        <v>102</v>
      </c>
      <c r="R1414" s="46" t="s">
        <v>102</v>
      </c>
      <c r="S1414" s="46" t="s">
        <v>102</v>
      </c>
      <c r="T1414" s="46" t="s">
        <v>840</v>
      </c>
      <c r="U1414" s="51">
        <v>4</v>
      </c>
    </row>
    <row r="1415" spans="2:21" ht="14.5" outlineLevel="3">
      <c r="B1415" s="44" t="s">
        <v>4093</v>
      </c>
      <c r="C1415" s="45" t="s">
        <v>4094</v>
      </c>
      <c r="D1415" s="46" t="s">
        <v>102</v>
      </c>
      <c r="E1415" s="47" t="s">
        <v>102</v>
      </c>
      <c r="F1415" s="46" t="s">
        <v>102</v>
      </c>
      <c r="G1415" s="47" t="s">
        <v>102</v>
      </c>
      <c r="H1415" s="48">
        <v>0</v>
      </c>
      <c r="I1415" s="48">
        <v>0</v>
      </c>
      <c r="J1415" s="47" t="s">
        <v>4084</v>
      </c>
      <c r="K1415" s="49">
        <v>1</v>
      </c>
      <c r="L1415" s="49" t="s">
        <v>2614</v>
      </c>
      <c r="M1415" s="46" t="s">
        <v>117</v>
      </c>
      <c r="N1415" s="50">
        <v>0</v>
      </c>
      <c r="O1415" s="50">
        <v>0</v>
      </c>
      <c r="P1415" s="50">
        <v>0</v>
      </c>
      <c r="Q1415" s="46" t="s">
        <v>102</v>
      </c>
      <c r="R1415" s="46" t="s">
        <v>102</v>
      </c>
      <c r="S1415" s="46" t="s">
        <v>102</v>
      </c>
      <c r="T1415" s="46" t="s">
        <v>845</v>
      </c>
      <c r="U1415" s="51">
        <v>4</v>
      </c>
    </row>
    <row r="1416" spans="2:21" ht="14.5" outlineLevel="3">
      <c r="B1416" s="44" t="s">
        <v>4095</v>
      </c>
      <c r="C1416" s="45" t="s">
        <v>4096</v>
      </c>
      <c r="D1416" s="46" t="s">
        <v>102</v>
      </c>
      <c r="E1416" s="47" t="s">
        <v>102</v>
      </c>
      <c r="F1416" s="46" t="s">
        <v>102</v>
      </c>
      <c r="G1416" s="47" t="s">
        <v>102</v>
      </c>
      <c r="H1416" s="48">
        <v>0</v>
      </c>
      <c r="I1416" s="48">
        <v>0</v>
      </c>
      <c r="J1416" s="47" t="s">
        <v>4084</v>
      </c>
      <c r="K1416" s="49">
        <v>1</v>
      </c>
      <c r="L1416" s="49" t="s">
        <v>2614</v>
      </c>
      <c r="M1416" s="46" t="s">
        <v>117</v>
      </c>
      <c r="N1416" s="50">
        <v>0</v>
      </c>
      <c r="O1416" s="50">
        <v>0</v>
      </c>
      <c r="P1416" s="50">
        <v>0</v>
      </c>
      <c r="Q1416" s="46" t="s">
        <v>102</v>
      </c>
      <c r="R1416" s="46" t="s">
        <v>102</v>
      </c>
      <c r="S1416" s="46" t="s">
        <v>102</v>
      </c>
      <c r="T1416" s="46" t="s">
        <v>850</v>
      </c>
      <c r="U1416" s="51">
        <v>4</v>
      </c>
    </row>
    <row r="1417" spans="2:21" ht="14.5" outlineLevel="3">
      <c r="B1417" s="44" t="s">
        <v>4097</v>
      </c>
      <c r="C1417" s="45" t="s">
        <v>4098</v>
      </c>
      <c r="D1417" s="46" t="s">
        <v>102</v>
      </c>
      <c r="E1417" s="47" t="s">
        <v>102</v>
      </c>
      <c r="F1417" s="46" t="s">
        <v>102</v>
      </c>
      <c r="G1417" s="47" t="s">
        <v>102</v>
      </c>
      <c r="H1417" s="48">
        <v>0</v>
      </c>
      <c r="I1417" s="48">
        <v>0</v>
      </c>
      <c r="J1417" s="47" t="s">
        <v>4084</v>
      </c>
      <c r="K1417" s="49">
        <v>1</v>
      </c>
      <c r="L1417" s="49" t="s">
        <v>2614</v>
      </c>
      <c r="M1417" s="46" t="s">
        <v>117</v>
      </c>
      <c r="N1417" s="50">
        <v>0</v>
      </c>
      <c r="O1417" s="50">
        <v>0</v>
      </c>
      <c r="P1417" s="50">
        <v>0</v>
      </c>
      <c r="Q1417" s="46" t="s">
        <v>102</v>
      </c>
      <c r="R1417" s="46" t="s">
        <v>102</v>
      </c>
      <c r="S1417" s="46" t="s">
        <v>102</v>
      </c>
      <c r="T1417" s="46" t="s">
        <v>855</v>
      </c>
      <c r="U1417" s="51">
        <v>4</v>
      </c>
    </row>
    <row r="1418" spans="2:21" ht="14.5" outlineLevel="3">
      <c r="B1418" s="44" t="s">
        <v>4099</v>
      </c>
      <c r="C1418" s="45" t="s">
        <v>4100</v>
      </c>
      <c r="D1418" s="46" t="s">
        <v>102</v>
      </c>
      <c r="E1418" s="47" t="s">
        <v>102</v>
      </c>
      <c r="F1418" s="46" t="s">
        <v>102</v>
      </c>
      <c r="G1418" s="47" t="s">
        <v>102</v>
      </c>
      <c r="H1418" s="48">
        <v>0</v>
      </c>
      <c r="I1418" s="48">
        <v>0</v>
      </c>
      <c r="J1418" s="47" t="s">
        <v>4084</v>
      </c>
      <c r="K1418" s="49">
        <v>1</v>
      </c>
      <c r="L1418" s="49" t="s">
        <v>2614</v>
      </c>
      <c r="M1418" s="46" t="s">
        <v>117</v>
      </c>
      <c r="N1418" s="50">
        <v>0</v>
      </c>
      <c r="O1418" s="50">
        <v>0</v>
      </c>
      <c r="P1418" s="50">
        <v>0</v>
      </c>
      <c r="Q1418" s="46" t="s">
        <v>102</v>
      </c>
      <c r="R1418" s="46" t="s">
        <v>102</v>
      </c>
      <c r="S1418" s="46" t="s">
        <v>102</v>
      </c>
      <c r="T1418" s="46" t="s">
        <v>860</v>
      </c>
      <c r="U1418" s="51">
        <v>4</v>
      </c>
    </row>
    <row r="1419" spans="2:21" ht="14.5" outlineLevel="3">
      <c r="B1419" s="44" t="s">
        <v>4101</v>
      </c>
      <c r="C1419" s="45" t="s">
        <v>4102</v>
      </c>
      <c r="D1419" s="46" t="s">
        <v>102</v>
      </c>
      <c r="E1419" s="47" t="s">
        <v>102</v>
      </c>
      <c r="F1419" s="46" t="s">
        <v>102</v>
      </c>
      <c r="G1419" s="47" t="s">
        <v>102</v>
      </c>
      <c r="H1419" s="48">
        <v>0</v>
      </c>
      <c r="I1419" s="48">
        <v>0</v>
      </c>
      <c r="J1419" s="47" t="s">
        <v>4084</v>
      </c>
      <c r="K1419" s="49">
        <v>1</v>
      </c>
      <c r="L1419" s="49" t="s">
        <v>2614</v>
      </c>
      <c r="M1419" s="46" t="s">
        <v>117</v>
      </c>
      <c r="N1419" s="50">
        <v>0</v>
      </c>
      <c r="O1419" s="50">
        <v>0</v>
      </c>
      <c r="P1419" s="50">
        <v>0</v>
      </c>
      <c r="Q1419" s="46" t="s">
        <v>102</v>
      </c>
      <c r="R1419" s="46" t="s">
        <v>102</v>
      </c>
      <c r="S1419" s="46" t="s">
        <v>102</v>
      </c>
      <c r="T1419" s="46" t="s">
        <v>450</v>
      </c>
      <c r="U1419" s="51">
        <v>4</v>
      </c>
    </row>
    <row r="1420" spans="2:21" ht="14.5" outlineLevel="3">
      <c r="B1420" s="44" t="s">
        <v>4103</v>
      </c>
      <c r="C1420" s="45" t="s">
        <v>4104</v>
      </c>
      <c r="D1420" s="46" t="s">
        <v>102</v>
      </c>
      <c r="E1420" s="47" t="s">
        <v>102</v>
      </c>
      <c r="F1420" s="46" t="s">
        <v>102</v>
      </c>
      <c r="G1420" s="47" t="s">
        <v>102</v>
      </c>
      <c r="H1420" s="48">
        <v>0</v>
      </c>
      <c r="I1420" s="48">
        <v>0</v>
      </c>
      <c r="J1420" s="47" t="s">
        <v>4084</v>
      </c>
      <c r="K1420" s="49">
        <v>1</v>
      </c>
      <c r="L1420" s="49" t="s">
        <v>2614</v>
      </c>
      <c r="M1420" s="46" t="s">
        <v>117</v>
      </c>
      <c r="N1420" s="50">
        <v>0</v>
      </c>
      <c r="O1420" s="50">
        <v>0</v>
      </c>
      <c r="P1420" s="50">
        <v>0</v>
      </c>
      <c r="Q1420" s="46" t="s">
        <v>102</v>
      </c>
      <c r="R1420" s="46" t="s">
        <v>102</v>
      </c>
      <c r="S1420" s="46" t="s">
        <v>102</v>
      </c>
      <c r="T1420" s="46" t="s">
        <v>923</v>
      </c>
      <c r="U1420" s="51">
        <v>4</v>
      </c>
    </row>
    <row r="1421" spans="2:21" ht="14.5" outlineLevel="3">
      <c r="B1421" s="44" t="s">
        <v>4105</v>
      </c>
      <c r="C1421" s="45" t="s">
        <v>4106</v>
      </c>
      <c r="D1421" s="46" t="s">
        <v>102</v>
      </c>
      <c r="E1421" s="47" t="s">
        <v>102</v>
      </c>
      <c r="F1421" s="46" t="s">
        <v>102</v>
      </c>
      <c r="G1421" s="47" t="s">
        <v>102</v>
      </c>
      <c r="H1421" s="48">
        <v>0</v>
      </c>
      <c r="I1421" s="48">
        <v>0</v>
      </c>
      <c r="J1421" s="47" t="s">
        <v>4084</v>
      </c>
      <c r="K1421" s="49">
        <v>1</v>
      </c>
      <c r="L1421" s="49" t="s">
        <v>2614</v>
      </c>
      <c r="M1421" s="46" t="s">
        <v>117</v>
      </c>
      <c r="N1421" s="50">
        <v>0</v>
      </c>
      <c r="O1421" s="50">
        <v>0</v>
      </c>
      <c r="P1421" s="50">
        <v>0</v>
      </c>
      <c r="Q1421" s="46" t="s">
        <v>102</v>
      </c>
      <c r="R1421" s="46" t="s">
        <v>102</v>
      </c>
      <c r="S1421" s="46" t="s">
        <v>102</v>
      </c>
      <c r="T1421" s="46" t="s">
        <v>455</v>
      </c>
      <c r="U1421" s="51">
        <v>4</v>
      </c>
    </row>
    <row r="1422" spans="2:21" ht="14.5" outlineLevel="3">
      <c r="B1422" s="44" t="s">
        <v>4107</v>
      </c>
      <c r="C1422" s="45" t="s">
        <v>4108</v>
      </c>
      <c r="D1422" s="46" t="s">
        <v>102</v>
      </c>
      <c r="E1422" s="47" t="s">
        <v>102</v>
      </c>
      <c r="F1422" s="46" t="s">
        <v>102</v>
      </c>
      <c r="G1422" s="47" t="s">
        <v>102</v>
      </c>
      <c r="H1422" s="48">
        <v>0</v>
      </c>
      <c r="I1422" s="48">
        <v>0</v>
      </c>
      <c r="J1422" s="47" t="s">
        <v>4084</v>
      </c>
      <c r="K1422" s="49">
        <v>1</v>
      </c>
      <c r="L1422" s="49" t="s">
        <v>2614</v>
      </c>
      <c r="M1422" s="46" t="s">
        <v>117</v>
      </c>
      <c r="N1422" s="50">
        <v>0</v>
      </c>
      <c r="O1422" s="50">
        <v>0</v>
      </c>
      <c r="P1422" s="50">
        <v>0</v>
      </c>
      <c r="Q1422" s="46" t="s">
        <v>102</v>
      </c>
      <c r="R1422" s="46" t="s">
        <v>102</v>
      </c>
      <c r="S1422" s="46" t="s">
        <v>102</v>
      </c>
      <c r="T1422" s="46" t="s">
        <v>995</v>
      </c>
      <c r="U1422" s="51">
        <v>4</v>
      </c>
    </row>
    <row r="1423" spans="2:21" ht="14.5" outlineLevel="3">
      <c r="B1423" s="44" t="s">
        <v>4109</v>
      </c>
      <c r="C1423" s="45" t="s">
        <v>4110</v>
      </c>
      <c r="D1423" s="46" t="s">
        <v>102</v>
      </c>
      <c r="E1423" s="47" t="s">
        <v>102</v>
      </c>
      <c r="F1423" s="46" t="s">
        <v>102</v>
      </c>
      <c r="G1423" s="47" t="s">
        <v>102</v>
      </c>
      <c r="H1423" s="48">
        <v>0</v>
      </c>
      <c r="I1423" s="48">
        <v>0</v>
      </c>
      <c r="J1423" s="47" t="s">
        <v>4084</v>
      </c>
      <c r="K1423" s="49">
        <v>1</v>
      </c>
      <c r="L1423" s="49" t="s">
        <v>2614</v>
      </c>
      <c r="M1423" s="46" t="s">
        <v>117</v>
      </c>
      <c r="N1423" s="50">
        <v>0</v>
      </c>
      <c r="O1423" s="50">
        <v>0</v>
      </c>
      <c r="P1423" s="50">
        <v>0</v>
      </c>
      <c r="Q1423" s="46" t="s">
        <v>102</v>
      </c>
      <c r="R1423" s="46" t="s">
        <v>102</v>
      </c>
      <c r="S1423" s="46" t="s">
        <v>102</v>
      </c>
      <c r="T1423" s="46" t="s">
        <v>1019</v>
      </c>
      <c r="U1423" s="51">
        <v>4</v>
      </c>
    </row>
    <row r="1424" spans="2:21" ht="14.5" outlineLevel="3">
      <c r="B1424" s="44" t="s">
        <v>4111</v>
      </c>
      <c r="C1424" s="45" t="s">
        <v>4112</v>
      </c>
      <c r="D1424" s="46" t="s">
        <v>102</v>
      </c>
      <c r="E1424" s="47" t="s">
        <v>102</v>
      </c>
      <c r="F1424" s="46" t="s">
        <v>102</v>
      </c>
      <c r="G1424" s="47" t="s">
        <v>102</v>
      </c>
      <c r="H1424" s="48">
        <v>0</v>
      </c>
      <c r="I1424" s="48">
        <v>0</v>
      </c>
      <c r="J1424" s="47" t="s">
        <v>4084</v>
      </c>
      <c r="K1424" s="49">
        <v>1</v>
      </c>
      <c r="L1424" s="49" t="s">
        <v>2614</v>
      </c>
      <c r="M1424" s="46" t="s">
        <v>117</v>
      </c>
      <c r="N1424" s="50">
        <v>0</v>
      </c>
      <c r="O1424" s="50">
        <v>0</v>
      </c>
      <c r="P1424" s="50">
        <v>0</v>
      </c>
      <c r="Q1424" s="46" t="s">
        <v>102</v>
      </c>
      <c r="R1424" s="46" t="s">
        <v>102</v>
      </c>
      <c r="S1424" s="46" t="s">
        <v>102</v>
      </c>
      <c r="T1424" s="46" t="s">
        <v>2781</v>
      </c>
      <c r="U1424" s="51">
        <v>4</v>
      </c>
    </row>
    <row r="1425" spans="2:21" ht="14.5" outlineLevel="3">
      <c r="B1425" s="44" t="s">
        <v>4113</v>
      </c>
      <c r="C1425" s="45" t="s">
        <v>4114</v>
      </c>
      <c r="D1425" s="46" t="s">
        <v>102</v>
      </c>
      <c r="E1425" s="47" t="s">
        <v>102</v>
      </c>
      <c r="F1425" s="46" t="s">
        <v>102</v>
      </c>
      <c r="G1425" s="47" t="s">
        <v>102</v>
      </c>
      <c r="H1425" s="48">
        <v>0</v>
      </c>
      <c r="I1425" s="48">
        <v>0</v>
      </c>
      <c r="J1425" s="47" t="s">
        <v>4115</v>
      </c>
      <c r="K1425" s="49">
        <v>1</v>
      </c>
      <c r="L1425" s="49" t="s">
        <v>2614</v>
      </c>
      <c r="M1425" s="46" t="s">
        <v>117</v>
      </c>
      <c r="N1425" s="50">
        <v>0</v>
      </c>
      <c r="O1425" s="50">
        <v>0</v>
      </c>
      <c r="P1425" s="50">
        <v>0</v>
      </c>
      <c r="Q1425" s="46" t="s">
        <v>102</v>
      </c>
      <c r="R1425" s="46" t="s">
        <v>102</v>
      </c>
      <c r="S1425" s="46" t="s">
        <v>102</v>
      </c>
      <c r="T1425" s="46" t="s">
        <v>2784</v>
      </c>
      <c r="U1425" s="51">
        <v>4</v>
      </c>
    </row>
    <row r="1426" spans="2:21" ht="14.5" outlineLevel="3">
      <c r="B1426" s="44" t="s">
        <v>4116</v>
      </c>
      <c r="C1426" s="45" t="s">
        <v>4117</v>
      </c>
      <c r="D1426" s="46" t="s">
        <v>102</v>
      </c>
      <c r="E1426" s="47" t="s">
        <v>102</v>
      </c>
      <c r="F1426" s="46" t="s">
        <v>102</v>
      </c>
      <c r="G1426" s="47" t="s">
        <v>102</v>
      </c>
      <c r="H1426" s="48">
        <v>0</v>
      </c>
      <c r="I1426" s="48">
        <v>0</v>
      </c>
      <c r="J1426" s="47" t="s">
        <v>4115</v>
      </c>
      <c r="K1426" s="49">
        <v>1</v>
      </c>
      <c r="L1426" s="49" t="s">
        <v>2614</v>
      </c>
      <c r="M1426" s="46" t="s">
        <v>117</v>
      </c>
      <c r="N1426" s="50">
        <v>0</v>
      </c>
      <c r="O1426" s="50">
        <v>0</v>
      </c>
      <c r="P1426" s="50">
        <v>0</v>
      </c>
      <c r="Q1426" s="46" t="s">
        <v>102</v>
      </c>
      <c r="R1426" s="46" t="s">
        <v>102</v>
      </c>
      <c r="S1426" s="46" t="s">
        <v>102</v>
      </c>
      <c r="T1426" s="46" t="s">
        <v>2787</v>
      </c>
      <c r="U1426" s="51">
        <v>4</v>
      </c>
    </row>
    <row r="1427" spans="2:21" ht="14.5" outlineLevel="3">
      <c r="B1427" s="44" t="s">
        <v>4118</v>
      </c>
      <c r="C1427" s="45" t="s">
        <v>4119</v>
      </c>
      <c r="D1427" s="46" t="s">
        <v>102</v>
      </c>
      <c r="E1427" s="47" t="s">
        <v>102</v>
      </c>
      <c r="F1427" s="46" t="s">
        <v>102</v>
      </c>
      <c r="G1427" s="47" t="s">
        <v>102</v>
      </c>
      <c r="H1427" s="48">
        <v>0</v>
      </c>
      <c r="I1427" s="48">
        <v>0</v>
      </c>
      <c r="J1427" s="47" t="s">
        <v>4115</v>
      </c>
      <c r="K1427" s="49">
        <v>1</v>
      </c>
      <c r="L1427" s="49" t="s">
        <v>2614</v>
      </c>
      <c r="M1427" s="46" t="s">
        <v>117</v>
      </c>
      <c r="N1427" s="50">
        <v>0</v>
      </c>
      <c r="O1427" s="50">
        <v>0</v>
      </c>
      <c r="P1427" s="50">
        <v>0</v>
      </c>
      <c r="Q1427" s="46" t="s">
        <v>102</v>
      </c>
      <c r="R1427" s="46" t="s">
        <v>102</v>
      </c>
      <c r="S1427" s="46" t="s">
        <v>102</v>
      </c>
      <c r="T1427" s="46" t="s">
        <v>3746</v>
      </c>
      <c r="U1427" s="51">
        <v>4</v>
      </c>
    </row>
    <row r="1428" spans="2:21" ht="14.5" outlineLevel="3">
      <c r="B1428" s="44" t="s">
        <v>4120</v>
      </c>
      <c r="C1428" s="45" t="s">
        <v>4121</v>
      </c>
      <c r="D1428" s="46" t="s">
        <v>102</v>
      </c>
      <c r="E1428" s="47" t="s">
        <v>102</v>
      </c>
      <c r="F1428" s="46" t="s">
        <v>102</v>
      </c>
      <c r="G1428" s="47" t="s">
        <v>102</v>
      </c>
      <c r="H1428" s="48">
        <v>0</v>
      </c>
      <c r="I1428" s="48">
        <v>0</v>
      </c>
      <c r="J1428" s="47" t="s">
        <v>4084</v>
      </c>
      <c r="K1428" s="49">
        <v>1</v>
      </c>
      <c r="L1428" s="49" t="s">
        <v>2614</v>
      </c>
      <c r="M1428" s="46" t="s">
        <v>117</v>
      </c>
      <c r="N1428" s="50">
        <v>0</v>
      </c>
      <c r="O1428" s="50">
        <v>0</v>
      </c>
      <c r="P1428" s="50">
        <v>0</v>
      </c>
      <c r="Q1428" s="46" t="s">
        <v>102</v>
      </c>
      <c r="R1428" s="46" t="s">
        <v>102</v>
      </c>
      <c r="S1428" s="46" t="s">
        <v>102</v>
      </c>
      <c r="T1428" s="46" t="s">
        <v>466</v>
      </c>
      <c r="U1428" s="51">
        <v>4</v>
      </c>
    </row>
    <row r="1429" spans="2:21" ht="14.5" outlineLevel="3">
      <c r="B1429" s="44" t="s">
        <v>4122</v>
      </c>
      <c r="C1429" s="45" t="s">
        <v>4123</v>
      </c>
      <c r="D1429" s="46" t="s">
        <v>102</v>
      </c>
      <c r="E1429" s="47" t="s">
        <v>102</v>
      </c>
      <c r="F1429" s="46" t="s">
        <v>102</v>
      </c>
      <c r="G1429" s="47" t="s">
        <v>102</v>
      </c>
      <c r="H1429" s="48">
        <v>0</v>
      </c>
      <c r="I1429" s="48">
        <v>0</v>
      </c>
      <c r="J1429" s="47" t="s">
        <v>4084</v>
      </c>
      <c r="K1429" s="49">
        <v>1</v>
      </c>
      <c r="L1429" s="49" t="s">
        <v>2614</v>
      </c>
      <c r="M1429" s="46" t="s">
        <v>117</v>
      </c>
      <c r="N1429" s="50">
        <v>0</v>
      </c>
      <c r="O1429" s="50">
        <v>0</v>
      </c>
      <c r="P1429" s="50">
        <v>0</v>
      </c>
      <c r="Q1429" s="46" t="s">
        <v>102</v>
      </c>
      <c r="R1429" s="46" t="s">
        <v>102</v>
      </c>
      <c r="S1429" s="46" t="s">
        <v>102</v>
      </c>
      <c r="T1429" s="46" t="s">
        <v>472</v>
      </c>
      <c r="U1429" s="51">
        <v>4</v>
      </c>
    </row>
    <row r="1430" spans="2:21" ht="14.5" outlineLevel="3">
      <c r="B1430" s="44" t="s">
        <v>4124</v>
      </c>
      <c r="C1430" s="45" t="s">
        <v>4125</v>
      </c>
      <c r="D1430" s="46" t="s">
        <v>102</v>
      </c>
      <c r="E1430" s="47" t="s">
        <v>102</v>
      </c>
      <c r="F1430" s="46" t="s">
        <v>102</v>
      </c>
      <c r="G1430" s="47" t="s">
        <v>102</v>
      </c>
      <c r="H1430" s="48">
        <v>0</v>
      </c>
      <c r="I1430" s="48">
        <v>0</v>
      </c>
      <c r="J1430" s="47" t="s">
        <v>4084</v>
      </c>
      <c r="K1430" s="49">
        <v>1</v>
      </c>
      <c r="L1430" s="49" t="s">
        <v>2614</v>
      </c>
      <c r="M1430" s="46" t="s">
        <v>117</v>
      </c>
      <c r="N1430" s="50">
        <v>0</v>
      </c>
      <c r="O1430" s="50">
        <v>0</v>
      </c>
      <c r="P1430" s="50">
        <v>0</v>
      </c>
      <c r="Q1430" s="46" t="s">
        <v>102</v>
      </c>
      <c r="R1430" s="46" t="s">
        <v>102</v>
      </c>
      <c r="S1430" s="46" t="s">
        <v>102</v>
      </c>
      <c r="T1430" s="46" t="s">
        <v>2666</v>
      </c>
      <c r="U1430" s="51">
        <v>4</v>
      </c>
    </row>
    <row r="1431" spans="2:21" ht="14.5" outlineLevel="3">
      <c r="B1431" s="44" t="s">
        <v>4126</v>
      </c>
      <c r="C1431" s="45" t="s">
        <v>4127</v>
      </c>
      <c r="D1431" s="46" t="s">
        <v>102</v>
      </c>
      <c r="E1431" s="47" t="s">
        <v>102</v>
      </c>
      <c r="F1431" s="46" t="s">
        <v>102</v>
      </c>
      <c r="G1431" s="47" t="s">
        <v>102</v>
      </c>
      <c r="H1431" s="48">
        <v>0</v>
      </c>
      <c r="I1431" s="48">
        <v>0</v>
      </c>
      <c r="J1431" s="47" t="s">
        <v>4084</v>
      </c>
      <c r="K1431" s="49">
        <v>1</v>
      </c>
      <c r="L1431" s="49" t="s">
        <v>2614</v>
      </c>
      <c r="M1431" s="46" t="s">
        <v>117</v>
      </c>
      <c r="N1431" s="50">
        <v>0</v>
      </c>
      <c r="O1431" s="50">
        <v>0</v>
      </c>
      <c r="P1431" s="50">
        <v>0</v>
      </c>
      <c r="Q1431" s="46" t="s">
        <v>102</v>
      </c>
      <c r="R1431" s="46" t="s">
        <v>102</v>
      </c>
      <c r="S1431" s="46" t="s">
        <v>102</v>
      </c>
      <c r="T1431" s="46" t="s">
        <v>3504</v>
      </c>
      <c r="U1431" s="51">
        <v>4</v>
      </c>
    </row>
    <row r="1432" spans="2:21" ht="14.5" outlineLevel="3">
      <c r="B1432" s="44" t="s">
        <v>4128</v>
      </c>
      <c r="C1432" s="45" t="s">
        <v>4129</v>
      </c>
      <c r="D1432" s="46" t="s">
        <v>102</v>
      </c>
      <c r="E1432" s="47" t="s">
        <v>102</v>
      </c>
      <c r="F1432" s="46" t="s">
        <v>102</v>
      </c>
      <c r="G1432" s="47" t="s">
        <v>102</v>
      </c>
      <c r="H1432" s="48">
        <v>0</v>
      </c>
      <c r="I1432" s="48">
        <v>0</v>
      </c>
      <c r="J1432" s="47" t="s">
        <v>4084</v>
      </c>
      <c r="K1432" s="49">
        <v>1</v>
      </c>
      <c r="L1432" s="49" t="s">
        <v>2614</v>
      </c>
      <c r="M1432" s="46" t="s">
        <v>117</v>
      </c>
      <c r="N1432" s="50">
        <v>0</v>
      </c>
      <c r="O1432" s="50">
        <v>0</v>
      </c>
      <c r="P1432" s="50">
        <v>0</v>
      </c>
      <c r="Q1432" s="46" t="s">
        <v>102</v>
      </c>
      <c r="R1432" s="46" t="s">
        <v>102</v>
      </c>
      <c r="S1432" s="46" t="s">
        <v>102</v>
      </c>
      <c r="T1432" s="46" t="s">
        <v>3773</v>
      </c>
      <c r="U1432" s="51">
        <v>4</v>
      </c>
    </row>
    <row r="1433" spans="2:21" ht="14.5" outlineLevel="3">
      <c r="B1433" s="44" t="s">
        <v>4130</v>
      </c>
      <c r="C1433" s="45" t="s">
        <v>4131</v>
      </c>
      <c r="D1433" s="46" t="s">
        <v>102</v>
      </c>
      <c r="E1433" s="47" t="s">
        <v>102</v>
      </c>
      <c r="F1433" s="46" t="s">
        <v>102</v>
      </c>
      <c r="G1433" s="47" t="s">
        <v>102</v>
      </c>
      <c r="H1433" s="48">
        <v>0</v>
      </c>
      <c r="I1433" s="48">
        <v>0</v>
      </c>
      <c r="J1433" s="47" t="s">
        <v>4084</v>
      </c>
      <c r="K1433" s="49">
        <v>1</v>
      </c>
      <c r="L1433" s="49" t="s">
        <v>2614</v>
      </c>
      <c r="M1433" s="46" t="s">
        <v>117</v>
      </c>
      <c r="N1433" s="50">
        <v>0</v>
      </c>
      <c r="O1433" s="50">
        <v>0</v>
      </c>
      <c r="P1433" s="50">
        <v>0</v>
      </c>
      <c r="Q1433" s="46" t="s">
        <v>102</v>
      </c>
      <c r="R1433" s="46" t="s">
        <v>102</v>
      </c>
      <c r="S1433" s="46" t="s">
        <v>102</v>
      </c>
      <c r="T1433" s="46" t="s">
        <v>3088</v>
      </c>
      <c r="U1433" s="51">
        <v>4</v>
      </c>
    </row>
    <row r="1434" spans="2:21" ht="14.5" outlineLevel="3">
      <c r="B1434" s="44" t="s">
        <v>4132</v>
      </c>
      <c r="C1434" s="45" t="s">
        <v>4133</v>
      </c>
      <c r="D1434" s="46" t="s">
        <v>102</v>
      </c>
      <c r="E1434" s="47" t="s">
        <v>102</v>
      </c>
      <c r="F1434" s="46" t="s">
        <v>102</v>
      </c>
      <c r="G1434" s="47" t="s">
        <v>102</v>
      </c>
      <c r="H1434" s="48">
        <v>0</v>
      </c>
      <c r="I1434" s="48">
        <v>0</v>
      </c>
      <c r="J1434" s="47" t="s">
        <v>4084</v>
      </c>
      <c r="K1434" s="49">
        <v>1</v>
      </c>
      <c r="L1434" s="49" t="s">
        <v>2614</v>
      </c>
      <c r="M1434" s="46" t="s">
        <v>117</v>
      </c>
      <c r="N1434" s="50">
        <v>0</v>
      </c>
      <c r="O1434" s="50">
        <v>0</v>
      </c>
      <c r="P1434" s="50">
        <v>0</v>
      </c>
      <c r="Q1434" s="46" t="s">
        <v>102</v>
      </c>
      <c r="R1434" s="46" t="s">
        <v>102</v>
      </c>
      <c r="S1434" s="46" t="s">
        <v>102</v>
      </c>
      <c r="T1434" s="46" t="s">
        <v>3091</v>
      </c>
      <c r="U1434" s="51">
        <v>4</v>
      </c>
    </row>
    <row r="1435" spans="2:21" ht="14.5" outlineLevel="3">
      <c r="B1435" s="44" t="s">
        <v>4134</v>
      </c>
      <c r="C1435" s="45" t="s">
        <v>4135</v>
      </c>
      <c r="D1435" s="46" t="s">
        <v>102</v>
      </c>
      <c r="E1435" s="47" t="s">
        <v>102</v>
      </c>
      <c r="F1435" s="46" t="s">
        <v>102</v>
      </c>
      <c r="G1435" s="47" t="s">
        <v>102</v>
      </c>
      <c r="H1435" s="48">
        <v>0</v>
      </c>
      <c r="I1435" s="48">
        <v>0</v>
      </c>
      <c r="J1435" s="47" t="s">
        <v>4084</v>
      </c>
      <c r="K1435" s="49">
        <v>1</v>
      </c>
      <c r="L1435" s="49" t="s">
        <v>2614</v>
      </c>
      <c r="M1435" s="46" t="s">
        <v>117</v>
      </c>
      <c r="N1435" s="50">
        <v>0</v>
      </c>
      <c r="O1435" s="50">
        <v>0</v>
      </c>
      <c r="P1435" s="50">
        <v>0</v>
      </c>
      <c r="Q1435" s="46" t="s">
        <v>102</v>
      </c>
      <c r="R1435" s="46" t="s">
        <v>102</v>
      </c>
      <c r="S1435" s="46" t="s">
        <v>102</v>
      </c>
      <c r="T1435" s="46" t="s">
        <v>3780</v>
      </c>
      <c r="U1435" s="51">
        <v>4</v>
      </c>
    </row>
    <row r="1436" spans="2:21" ht="14.5" outlineLevel="2">
      <c r="B1436" s="36" t="s">
        <v>4136</v>
      </c>
      <c r="C1436" s="37" t="s">
        <v>4137</v>
      </c>
      <c r="D1436" s="38" t="s">
        <v>102</v>
      </c>
      <c r="E1436" s="39" t="s">
        <v>102</v>
      </c>
      <c r="F1436" s="38" t="s">
        <v>102</v>
      </c>
      <c r="G1436" s="39" t="s">
        <v>102</v>
      </c>
      <c r="H1436" s="40">
        <v>0</v>
      </c>
      <c r="I1436" s="40">
        <v>0</v>
      </c>
      <c r="J1436" s="39" t="s">
        <v>4084</v>
      </c>
      <c r="K1436" s="41">
        <v>1</v>
      </c>
      <c r="L1436" s="41" t="s">
        <v>2614</v>
      </c>
      <c r="M1436" s="38" t="s">
        <v>117</v>
      </c>
      <c r="N1436" s="42">
        <v>0</v>
      </c>
      <c r="O1436" s="42">
        <v>0</v>
      </c>
      <c r="P1436" s="42">
        <v>0</v>
      </c>
      <c r="Q1436" s="38" t="s">
        <v>102</v>
      </c>
      <c r="R1436" s="38" t="s">
        <v>102</v>
      </c>
      <c r="S1436" s="38" t="s">
        <v>102</v>
      </c>
      <c r="T1436" s="38" t="s">
        <v>3783</v>
      </c>
      <c r="U1436" s="43">
        <v>4</v>
      </c>
    </row>
    <row r="1437" spans="2:21" ht="14.5" outlineLevel="3">
      <c r="B1437" s="44" t="s">
        <v>4138</v>
      </c>
      <c r="C1437" s="45" t="s">
        <v>4139</v>
      </c>
      <c r="D1437" s="46" t="s">
        <v>102</v>
      </c>
      <c r="E1437" s="47" t="s">
        <v>102</v>
      </c>
      <c r="F1437" s="46" t="s">
        <v>102</v>
      </c>
      <c r="G1437" s="47" t="s">
        <v>102</v>
      </c>
      <c r="H1437" s="48">
        <v>0</v>
      </c>
      <c r="I1437" s="48">
        <v>0</v>
      </c>
      <c r="J1437" s="47" t="s">
        <v>4084</v>
      </c>
      <c r="K1437" s="49">
        <v>1</v>
      </c>
      <c r="L1437" s="49" t="s">
        <v>2614</v>
      </c>
      <c r="M1437" s="46" t="s">
        <v>117</v>
      </c>
      <c r="N1437" s="50">
        <v>0</v>
      </c>
      <c r="O1437" s="50">
        <v>0</v>
      </c>
      <c r="P1437" s="50">
        <v>0</v>
      </c>
      <c r="Q1437" s="46" t="s">
        <v>102</v>
      </c>
      <c r="R1437" s="46" t="s">
        <v>102</v>
      </c>
      <c r="S1437" s="46" t="s">
        <v>102</v>
      </c>
      <c r="T1437" s="46" t="s">
        <v>3094</v>
      </c>
      <c r="U1437" s="51">
        <v>4</v>
      </c>
    </row>
    <row r="1438" spans="2:21" ht="14.5" outlineLevel="3">
      <c r="B1438" s="44" t="s">
        <v>4140</v>
      </c>
      <c r="C1438" s="45" t="s">
        <v>4141</v>
      </c>
      <c r="D1438" s="46" t="s">
        <v>102</v>
      </c>
      <c r="E1438" s="47" t="s">
        <v>102</v>
      </c>
      <c r="F1438" s="46" t="s">
        <v>102</v>
      </c>
      <c r="G1438" s="47" t="s">
        <v>102</v>
      </c>
      <c r="H1438" s="48">
        <v>0</v>
      </c>
      <c r="I1438" s="48">
        <v>0</v>
      </c>
      <c r="J1438" s="47" t="s">
        <v>4084</v>
      </c>
      <c r="K1438" s="49">
        <v>1</v>
      </c>
      <c r="L1438" s="49" t="s">
        <v>2614</v>
      </c>
      <c r="M1438" s="46" t="s">
        <v>117</v>
      </c>
      <c r="N1438" s="50">
        <v>0</v>
      </c>
      <c r="O1438" s="50">
        <v>0</v>
      </c>
      <c r="P1438" s="50">
        <v>0</v>
      </c>
      <c r="Q1438" s="46" t="s">
        <v>102</v>
      </c>
      <c r="R1438" s="46" t="s">
        <v>102</v>
      </c>
      <c r="S1438" s="46" t="s">
        <v>102</v>
      </c>
      <c r="T1438" s="46" t="s">
        <v>3789</v>
      </c>
      <c r="U1438" s="51">
        <v>4</v>
      </c>
    </row>
    <row r="1439" spans="2:21" ht="14.5" outlineLevel="3">
      <c r="B1439" s="44" t="s">
        <v>4142</v>
      </c>
      <c r="C1439" s="45" t="s">
        <v>4143</v>
      </c>
      <c r="D1439" s="46" t="s">
        <v>102</v>
      </c>
      <c r="E1439" s="47" t="s">
        <v>102</v>
      </c>
      <c r="F1439" s="46" t="s">
        <v>102</v>
      </c>
      <c r="G1439" s="47" t="s">
        <v>102</v>
      </c>
      <c r="H1439" s="48">
        <v>0</v>
      </c>
      <c r="I1439" s="48">
        <v>0</v>
      </c>
      <c r="J1439" s="47" t="s">
        <v>4084</v>
      </c>
      <c r="K1439" s="49">
        <v>1</v>
      </c>
      <c r="L1439" s="49" t="s">
        <v>2614</v>
      </c>
      <c r="M1439" s="46" t="s">
        <v>117</v>
      </c>
      <c r="N1439" s="50">
        <v>0</v>
      </c>
      <c r="O1439" s="50">
        <v>0</v>
      </c>
      <c r="P1439" s="50">
        <v>0</v>
      </c>
      <c r="Q1439" s="46" t="s">
        <v>102</v>
      </c>
      <c r="R1439" s="46" t="s">
        <v>102</v>
      </c>
      <c r="S1439" s="46" t="s">
        <v>102</v>
      </c>
      <c r="T1439" s="46" t="s">
        <v>3792</v>
      </c>
      <c r="U1439" s="51">
        <v>4</v>
      </c>
    </row>
    <row r="1440" spans="2:21" ht="14.5" outlineLevel="3">
      <c r="B1440" s="44" t="s">
        <v>4144</v>
      </c>
      <c r="C1440" s="45" t="s">
        <v>4145</v>
      </c>
      <c r="D1440" s="46" t="s">
        <v>102</v>
      </c>
      <c r="E1440" s="47" t="s">
        <v>102</v>
      </c>
      <c r="F1440" s="46" t="s">
        <v>102</v>
      </c>
      <c r="G1440" s="47" t="s">
        <v>102</v>
      </c>
      <c r="H1440" s="48">
        <v>0</v>
      </c>
      <c r="I1440" s="48">
        <v>0</v>
      </c>
      <c r="J1440" s="47" t="s">
        <v>4084</v>
      </c>
      <c r="K1440" s="49">
        <v>1</v>
      </c>
      <c r="L1440" s="49" t="s">
        <v>2614</v>
      </c>
      <c r="M1440" s="46" t="s">
        <v>117</v>
      </c>
      <c r="N1440" s="50">
        <v>0</v>
      </c>
      <c r="O1440" s="50">
        <v>0</v>
      </c>
      <c r="P1440" s="50">
        <v>0</v>
      </c>
      <c r="Q1440" s="46" t="s">
        <v>102</v>
      </c>
      <c r="R1440" s="46" t="s">
        <v>102</v>
      </c>
      <c r="S1440" s="46" t="s">
        <v>102</v>
      </c>
      <c r="T1440" s="46" t="s">
        <v>3431</v>
      </c>
      <c r="U1440" s="51">
        <v>4</v>
      </c>
    </row>
    <row r="1441" spans="2:21" ht="14.5" outlineLevel="3">
      <c r="B1441" s="44" t="s">
        <v>4146</v>
      </c>
      <c r="C1441" s="45" t="s">
        <v>4147</v>
      </c>
      <c r="D1441" s="46" t="s">
        <v>102</v>
      </c>
      <c r="E1441" s="47" t="s">
        <v>102</v>
      </c>
      <c r="F1441" s="46" t="s">
        <v>102</v>
      </c>
      <c r="G1441" s="47" t="s">
        <v>102</v>
      </c>
      <c r="H1441" s="48">
        <v>0</v>
      </c>
      <c r="I1441" s="48">
        <v>0</v>
      </c>
      <c r="J1441" s="47" t="s">
        <v>4084</v>
      </c>
      <c r="K1441" s="49">
        <v>1</v>
      </c>
      <c r="L1441" s="49" t="s">
        <v>2614</v>
      </c>
      <c r="M1441" s="46" t="s">
        <v>117</v>
      </c>
      <c r="N1441" s="50">
        <v>0</v>
      </c>
      <c r="O1441" s="50">
        <v>0</v>
      </c>
      <c r="P1441" s="50">
        <v>0</v>
      </c>
      <c r="Q1441" s="46" t="s">
        <v>102</v>
      </c>
      <c r="R1441" s="46" t="s">
        <v>102</v>
      </c>
      <c r="S1441" s="46" t="s">
        <v>102</v>
      </c>
      <c r="T1441" s="46" t="s">
        <v>3434</v>
      </c>
      <c r="U1441" s="51">
        <v>4</v>
      </c>
    </row>
    <row r="1442" spans="2:21" ht="14.5" outlineLevel="3">
      <c r="B1442" s="44" t="s">
        <v>4148</v>
      </c>
      <c r="C1442" s="45" t="s">
        <v>4149</v>
      </c>
      <c r="D1442" s="46" t="s">
        <v>102</v>
      </c>
      <c r="E1442" s="47" t="s">
        <v>102</v>
      </c>
      <c r="F1442" s="46" t="s">
        <v>102</v>
      </c>
      <c r="G1442" s="47" t="s">
        <v>102</v>
      </c>
      <c r="H1442" s="48">
        <v>0</v>
      </c>
      <c r="I1442" s="48">
        <v>0</v>
      </c>
      <c r="J1442" s="47" t="s">
        <v>102</v>
      </c>
      <c r="K1442" s="49">
        <v>0</v>
      </c>
      <c r="L1442" s="49" t="s">
        <v>102</v>
      </c>
      <c r="M1442" s="46" t="s">
        <v>102</v>
      </c>
      <c r="N1442" s="50">
        <v>0</v>
      </c>
      <c r="O1442" s="50">
        <v>0</v>
      </c>
      <c r="P1442" s="50">
        <v>0</v>
      </c>
      <c r="Q1442" s="46" t="s">
        <v>102</v>
      </c>
      <c r="R1442" s="46" t="s">
        <v>102</v>
      </c>
      <c r="S1442" s="46" t="s">
        <v>4150</v>
      </c>
      <c r="T1442" s="46" t="s">
        <v>102</v>
      </c>
      <c r="U1442" s="51">
        <v>3</v>
      </c>
    </row>
    <row r="1443" spans="2:21" ht="14.5" outlineLevel="3">
      <c r="B1443" s="44" t="s">
        <v>4151</v>
      </c>
      <c r="C1443" s="45" t="s">
        <v>4152</v>
      </c>
      <c r="D1443" s="46" t="s">
        <v>102</v>
      </c>
      <c r="E1443" s="47" t="s">
        <v>102</v>
      </c>
      <c r="F1443" s="46" t="s">
        <v>102</v>
      </c>
      <c r="G1443" s="47" t="s">
        <v>102</v>
      </c>
      <c r="H1443" s="48">
        <v>0</v>
      </c>
      <c r="I1443" s="48">
        <v>0</v>
      </c>
      <c r="J1443" s="47" t="s">
        <v>3682</v>
      </c>
      <c r="K1443" s="49">
        <v>0</v>
      </c>
      <c r="L1443" s="49" t="s">
        <v>116</v>
      </c>
      <c r="M1443" s="46" t="s">
        <v>117</v>
      </c>
      <c r="N1443" s="50">
        <v>0</v>
      </c>
      <c r="O1443" s="50">
        <v>0</v>
      </c>
      <c r="P1443" s="50">
        <v>0</v>
      </c>
      <c r="Q1443" s="46" t="s">
        <v>102</v>
      </c>
      <c r="R1443" s="46" t="s">
        <v>102</v>
      </c>
      <c r="S1443" s="46" t="s">
        <v>102</v>
      </c>
      <c r="T1443" s="46" t="s">
        <v>223</v>
      </c>
      <c r="U1443" s="51">
        <v>4</v>
      </c>
    </row>
    <row r="1444" spans="2:21" ht="14.5" outlineLevel="3">
      <c r="B1444" s="44" t="s">
        <v>4153</v>
      </c>
      <c r="C1444" s="45" t="s">
        <v>4154</v>
      </c>
      <c r="D1444" s="46" t="s">
        <v>102</v>
      </c>
      <c r="E1444" s="47" t="s">
        <v>102</v>
      </c>
      <c r="F1444" s="46" t="s">
        <v>102</v>
      </c>
      <c r="G1444" s="47" t="s">
        <v>102</v>
      </c>
      <c r="H1444" s="48">
        <v>0</v>
      </c>
      <c r="I1444" s="48">
        <v>0</v>
      </c>
      <c r="J1444" s="47" t="s">
        <v>3682</v>
      </c>
      <c r="K1444" s="49">
        <v>0</v>
      </c>
      <c r="L1444" s="49" t="s">
        <v>116</v>
      </c>
      <c r="M1444" s="46" t="s">
        <v>117</v>
      </c>
      <c r="N1444" s="50">
        <v>0</v>
      </c>
      <c r="O1444" s="50">
        <v>0</v>
      </c>
      <c r="P1444" s="50">
        <v>0</v>
      </c>
      <c r="Q1444" s="46" t="s">
        <v>102</v>
      </c>
      <c r="R1444" s="46" t="s">
        <v>102</v>
      </c>
      <c r="S1444" s="46" t="s">
        <v>102</v>
      </c>
      <c r="T1444" s="46" t="s">
        <v>778</v>
      </c>
      <c r="U1444" s="51">
        <v>4</v>
      </c>
    </row>
    <row r="1445" spans="2:21" ht="14.5" outlineLevel="3">
      <c r="B1445" s="44" t="s">
        <v>4155</v>
      </c>
      <c r="C1445" s="45" t="s">
        <v>4156</v>
      </c>
      <c r="D1445" s="46" t="s">
        <v>102</v>
      </c>
      <c r="E1445" s="47" t="s">
        <v>102</v>
      </c>
      <c r="F1445" s="46" t="s">
        <v>102</v>
      </c>
      <c r="G1445" s="47" t="s">
        <v>102</v>
      </c>
      <c r="H1445" s="48">
        <v>0</v>
      </c>
      <c r="I1445" s="48">
        <v>0</v>
      </c>
      <c r="J1445" s="47" t="s">
        <v>3682</v>
      </c>
      <c r="K1445" s="49">
        <v>0</v>
      </c>
      <c r="L1445" s="49" t="s">
        <v>116</v>
      </c>
      <c r="M1445" s="46" t="s">
        <v>117</v>
      </c>
      <c r="N1445" s="50">
        <v>0</v>
      </c>
      <c r="O1445" s="50">
        <v>0</v>
      </c>
      <c r="P1445" s="50">
        <v>0</v>
      </c>
      <c r="Q1445" s="46" t="s">
        <v>102</v>
      </c>
      <c r="R1445" s="46" t="s">
        <v>102</v>
      </c>
      <c r="S1445" s="46" t="s">
        <v>102</v>
      </c>
      <c r="T1445" s="46" t="s">
        <v>831</v>
      </c>
      <c r="U1445" s="51">
        <v>4</v>
      </c>
    </row>
    <row r="1446" spans="2:21" ht="14.5" outlineLevel="3">
      <c r="B1446" s="44" t="s">
        <v>4157</v>
      </c>
      <c r="C1446" s="45" t="s">
        <v>4158</v>
      </c>
      <c r="D1446" s="46" t="s">
        <v>102</v>
      </c>
      <c r="E1446" s="47" t="s">
        <v>102</v>
      </c>
      <c r="F1446" s="46" t="s">
        <v>102</v>
      </c>
      <c r="G1446" s="47" t="s">
        <v>102</v>
      </c>
      <c r="H1446" s="48">
        <v>0</v>
      </c>
      <c r="I1446" s="48">
        <v>0</v>
      </c>
      <c r="J1446" s="47" t="s">
        <v>3682</v>
      </c>
      <c r="K1446" s="49">
        <v>0</v>
      </c>
      <c r="L1446" s="49" t="s">
        <v>116</v>
      </c>
      <c r="M1446" s="46" t="s">
        <v>117</v>
      </c>
      <c r="N1446" s="50">
        <v>0</v>
      </c>
      <c r="O1446" s="50">
        <v>0</v>
      </c>
      <c r="P1446" s="50">
        <v>0</v>
      </c>
      <c r="Q1446" s="46" t="s">
        <v>102</v>
      </c>
      <c r="R1446" s="46" t="s">
        <v>102</v>
      </c>
      <c r="S1446" s="46" t="s">
        <v>102</v>
      </c>
      <c r="T1446" s="46" t="s">
        <v>835</v>
      </c>
      <c r="U1446" s="51">
        <v>4</v>
      </c>
    </row>
    <row r="1447" spans="2:21" ht="14.5" outlineLevel="3">
      <c r="B1447" s="44" t="s">
        <v>4159</v>
      </c>
      <c r="C1447" s="45" t="s">
        <v>4160</v>
      </c>
      <c r="D1447" s="46" t="s">
        <v>102</v>
      </c>
      <c r="E1447" s="47" t="s">
        <v>102</v>
      </c>
      <c r="F1447" s="46" t="s">
        <v>102</v>
      </c>
      <c r="G1447" s="47" t="s">
        <v>102</v>
      </c>
      <c r="H1447" s="48">
        <v>0</v>
      </c>
      <c r="I1447" s="48">
        <v>0</v>
      </c>
      <c r="J1447" s="47" t="s">
        <v>3682</v>
      </c>
      <c r="K1447" s="49">
        <v>0</v>
      </c>
      <c r="L1447" s="49" t="s">
        <v>116</v>
      </c>
      <c r="M1447" s="46" t="s">
        <v>117</v>
      </c>
      <c r="N1447" s="50">
        <v>0</v>
      </c>
      <c r="O1447" s="50">
        <v>0</v>
      </c>
      <c r="P1447" s="50">
        <v>0</v>
      </c>
      <c r="Q1447" s="46" t="s">
        <v>102</v>
      </c>
      <c r="R1447" s="46" t="s">
        <v>102</v>
      </c>
      <c r="S1447" s="46" t="s">
        <v>102</v>
      </c>
      <c r="T1447" s="46" t="s">
        <v>840</v>
      </c>
      <c r="U1447" s="51">
        <v>4</v>
      </c>
    </row>
    <row r="1448" spans="2:21" ht="14.5" outlineLevel="3">
      <c r="B1448" s="44" t="s">
        <v>4161</v>
      </c>
      <c r="C1448" s="45" t="s">
        <v>4162</v>
      </c>
      <c r="D1448" s="46" t="s">
        <v>102</v>
      </c>
      <c r="E1448" s="47" t="s">
        <v>102</v>
      </c>
      <c r="F1448" s="46" t="s">
        <v>102</v>
      </c>
      <c r="G1448" s="47" t="s">
        <v>102</v>
      </c>
      <c r="H1448" s="48">
        <v>0</v>
      </c>
      <c r="I1448" s="48">
        <v>0</v>
      </c>
      <c r="J1448" s="47" t="s">
        <v>3682</v>
      </c>
      <c r="K1448" s="49">
        <v>0</v>
      </c>
      <c r="L1448" s="49" t="s">
        <v>116</v>
      </c>
      <c r="M1448" s="46" t="s">
        <v>117</v>
      </c>
      <c r="N1448" s="50">
        <v>0</v>
      </c>
      <c r="O1448" s="50">
        <v>0</v>
      </c>
      <c r="P1448" s="50">
        <v>0</v>
      </c>
      <c r="Q1448" s="46" t="s">
        <v>102</v>
      </c>
      <c r="R1448" s="46" t="s">
        <v>102</v>
      </c>
      <c r="S1448" s="46" t="s">
        <v>102</v>
      </c>
      <c r="T1448" s="46" t="s">
        <v>860</v>
      </c>
      <c r="U1448" s="51">
        <v>4</v>
      </c>
    </row>
    <row r="1449" spans="2:21" ht="14.5" outlineLevel="3">
      <c r="B1449" s="44" t="s">
        <v>4163</v>
      </c>
      <c r="C1449" s="45" t="s">
        <v>4164</v>
      </c>
      <c r="D1449" s="46" t="s">
        <v>102</v>
      </c>
      <c r="E1449" s="47" t="s">
        <v>102</v>
      </c>
      <c r="F1449" s="46" t="s">
        <v>102</v>
      </c>
      <c r="G1449" s="47" t="s">
        <v>102</v>
      </c>
      <c r="H1449" s="48">
        <v>0</v>
      </c>
      <c r="I1449" s="48">
        <v>0</v>
      </c>
      <c r="J1449" s="47" t="s">
        <v>3682</v>
      </c>
      <c r="K1449" s="49">
        <v>0</v>
      </c>
      <c r="L1449" s="49" t="s">
        <v>116</v>
      </c>
      <c r="M1449" s="46" t="s">
        <v>117</v>
      </c>
      <c r="N1449" s="50">
        <v>0</v>
      </c>
      <c r="O1449" s="50">
        <v>0</v>
      </c>
      <c r="P1449" s="50">
        <v>0</v>
      </c>
      <c r="Q1449" s="46" t="s">
        <v>102</v>
      </c>
      <c r="R1449" s="46" t="s">
        <v>102</v>
      </c>
      <c r="S1449" s="46" t="s">
        <v>102</v>
      </c>
      <c r="T1449" s="46" t="s">
        <v>450</v>
      </c>
      <c r="U1449" s="51">
        <v>4</v>
      </c>
    </row>
    <row r="1450" spans="2:21" ht="14.5" outlineLevel="3">
      <c r="B1450" s="44" t="s">
        <v>4165</v>
      </c>
      <c r="C1450" s="45" t="s">
        <v>4166</v>
      </c>
      <c r="D1450" s="46" t="s">
        <v>102</v>
      </c>
      <c r="E1450" s="47" t="s">
        <v>102</v>
      </c>
      <c r="F1450" s="46" t="s">
        <v>102</v>
      </c>
      <c r="G1450" s="47" t="s">
        <v>102</v>
      </c>
      <c r="H1450" s="48">
        <v>0</v>
      </c>
      <c r="I1450" s="48">
        <v>0</v>
      </c>
      <c r="J1450" s="47" t="s">
        <v>3682</v>
      </c>
      <c r="K1450" s="49">
        <v>0</v>
      </c>
      <c r="L1450" s="49" t="s">
        <v>116</v>
      </c>
      <c r="M1450" s="46" t="s">
        <v>117</v>
      </c>
      <c r="N1450" s="50">
        <v>0</v>
      </c>
      <c r="O1450" s="50">
        <v>0</v>
      </c>
      <c r="P1450" s="50">
        <v>0</v>
      </c>
      <c r="Q1450" s="46" t="s">
        <v>102</v>
      </c>
      <c r="R1450" s="46" t="s">
        <v>102</v>
      </c>
      <c r="S1450" s="46" t="s">
        <v>102</v>
      </c>
      <c r="T1450" s="46" t="s">
        <v>923</v>
      </c>
      <c r="U1450" s="51">
        <v>4</v>
      </c>
    </row>
    <row r="1451" spans="2:21" ht="14.5" outlineLevel="1">
      <c r="B1451" s="28" t="s">
        <v>4167</v>
      </c>
      <c r="C1451" s="29" t="s">
        <v>4168</v>
      </c>
      <c r="D1451" s="30" t="s">
        <v>102</v>
      </c>
      <c r="E1451" s="31" t="s">
        <v>102</v>
      </c>
      <c r="F1451" s="30" t="s">
        <v>102</v>
      </c>
      <c r="G1451" s="31" t="s">
        <v>102</v>
      </c>
      <c r="H1451" s="32">
        <v>0</v>
      </c>
      <c r="I1451" s="32">
        <v>0</v>
      </c>
      <c r="J1451" s="31" t="s">
        <v>3682</v>
      </c>
      <c r="K1451" s="33">
        <v>0</v>
      </c>
      <c r="L1451" s="33" t="s">
        <v>116</v>
      </c>
      <c r="M1451" s="30" t="s">
        <v>117</v>
      </c>
      <c r="N1451" s="34">
        <v>0</v>
      </c>
      <c r="O1451" s="34">
        <v>0</v>
      </c>
      <c r="P1451" s="34">
        <v>0</v>
      </c>
      <c r="Q1451" s="30" t="s">
        <v>102</v>
      </c>
      <c r="R1451" s="30" t="s">
        <v>102</v>
      </c>
      <c r="S1451" s="30" t="s">
        <v>102</v>
      </c>
      <c r="T1451" s="30" t="s">
        <v>455</v>
      </c>
      <c r="U1451" s="35">
        <v>4</v>
      </c>
    </row>
    <row r="1452" spans="2:21" ht="14.5" outlineLevel="2">
      <c r="B1452" s="36" t="s">
        <v>4169</v>
      </c>
      <c r="C1452" s="37" t="s">
        <v>4170</v>
      </c>
      <c r="D1452" s="38" t="s">
        <v>102</v>
      </c>
      <c r="E1452" s="39" t="s">
        <v>102</v>
      </c>
      <c r="F1452" s="38" t="s">
        <v>102</v>
      </c>
      <c r="G1452" s="39" t="s">
        <v>102</v>
      </c>
      <c r="H1452" s="40">
        <v>0</v>
      </c>
      <c r="I1452" s="40">
        <v>0</v>
      </c>
      <c r="J1452" s="39" t="s">
        <v>3682</v>
      </c>
      <c r="K1452" s="41">
        <v>0</v>
      </c>
      <c r="L1452" s="41" t="s">
        <v>116</v>
      </c>
      <c r="M1452" s="38" t="s">
        <v>117</v>
      </c>
      <c r="N1452" s="42">
        <v>0</v>
      </c>
      <c r="O1452" s="42">
        <v>0</v>
      </c>
      <c r="P1452" s="42">
        <v>0</v>
      </c>
      <c r="Q1452" s="38" t="s">
        <v>102</v>
      </c>
      <c r="R1452" s="38" t="s">
        <v>102</v>
      </c>
      <c r="S1452" s="38" t="s">
        <v>102</v>
      </c>
      <c r="T1452" s="38" t="s">
        <v>3729</v>
      </c>
      <c r="U1452" s="43">
        <v>4</v>
      </c>
    </row>
    <row r="1453" spans="2:21" ht="14.5" outlineLevel="3">
      <c r="B1453" s="44" t="s">
        <v>4171</v>
      </c>
      <c r="C1453" s="45" t="s">
        <v>4172</v>
      </c>
      <c r="D1453" s="46" t="s">
        <v>102</v>
      </c>
      <c r="E1453" s="47" t="s">
        <v>102</v>
      </c>
      <c r="F1453" s="46" t="s">
        <v>102</v>
      </c>
      <c r="G1453" s="47" t="s">
        <v>102</v>
      </c>
      <c r="H1453" s="48">
        <v>0</v>
      </c>
      <c r="I1453" s="48">
        <v>0</v>
      </c>
      <c r="J1453" s="47" t="s">
        <v>3682</v>
      </c>
      <c r="K1453" s="49">
        <v>0</v>
      </c>
      <c r="L1453" s="49" t="s">
        <v>116</v>
      </c>
      <c r="M1453" s="46" t="s">
        <v>117</v>
      </c>
      <c r="N1453" s="50">
        <v>0</v>
      </c>
      <c r="O1453" s="50">
        <v>0</v>
      </c>
      <c r="P1453" s="50">
        <v>0</v>
      </c>
      <c r="Q1453" s="46" t="s">
        <v>102</v>
      </c>
      <c r="R1453" s="46" t="s">
        <v>102</v>
      </c>
      <c r="S1453" s="46" t="s">
        <v>102</v>
      </c>
      <c r="T1453" s="46" t="s">
        <v>995</v>
      </c>
      <c r="U1453" s="51">
        <v>4</v>
      </c>
    </row>
    <row r="1454" spans="2:21" ht="14.5" outlineLevel="1">
      <c r="B1454" s="28" t="s">
        <v>4173</v>
      </c>
      <c r="C1454" s="29" t="s">
        <v>4174</v>
      </c>
      <c r="D1454" s="30" t="s">
        <v>102</v>
      </c>
      <c r="E1454" s="31" t="s">
        <v>102</v>
      </c>
      <c r="F1454" s="30" t="s">
        <v>102</v>
      </c>
      <c r="G1454" s="31" t="s">
        <v>102</v>
      </c>
      <c r="H1454" s="32">
        <v>0</v>
      </c>
      <c r="I1454" s="32">
        <v>0</v>
      </c>
      <c r="J1454" s="31" t="s">
        <v>3682</v>
      </c>
      <c r="K1454" s="33">
        <v>0</v>
      </c>
      <c r="L1454" s="33" t="s">
        <v>116</v>
      </c>
      <c r="M1454" s="30" t="s">
        <v>117</v>
      </c>
      <c r="N1454" s="34">
        <v>0</v>
      </c>
      <c r="O1454" s="34">
        <v>0</v>
      </c>
      <c r="P1454" s="34">
        <v>0</v>
      </c>
      <c r="Q1454" s="30" t="s">
        <v>102</v>
      </c>
      <c r="R1454" s="30" t="s">
        <v>102</v>
      </c>
      <c r="S1454" s="30" t="s">
        <v>102</v>
      </c>
      <c r="T1454" s="30" t="s">
        <v>1019</v>
      </c>
      <c r="U1454" s="35">
        <v>4</v>
      </c>
    </row>
    <row r="1455" spans="2:21" ht="14.5" outlineLevel="2">
      <c r="B1455" s="36" t="s">
        <v>4175</v>
      </c>
      <c r="C1455" s="37" t="s">
        <v>4176</v>
      </c>
      <c r="D1455" s="38" t="s">
        <v>102</v>
      </c>
      <c r="E1455" s="39" t="s">
        <v>102</v>
      </c>
      <c r="F1455" s="38" t="s">
        <v>102</v>
      </c>
      <c r="G1455" s="39" t="s">
        <v>102</v>
      </c>
      <c r="H1455" s="40">
        <v>0</v>
      </c>
      <c r="I1455" s="40">
        <v>0</v>
      </c>
      <c r="J1455" s="39" t="s">
        <v>3682</v>
      </c>
      <c r="K1455" s="41">
        <v>0</v>
      </c>
      <c r="L1455" s="41" t="s">
        <v>116</v>
      </c>
      <c r="M1455" s="38" t="s">
        <v>117</v>
      </c>
      <c r="N1455" s="42">
        <v>0</v>
      </c>
      <c r="O1455" s="42">
        <v>0</v>
      </c>
      <c r="P1455" s="42">
        <v>0</v>
      </c>
      <c r="Q1455" s="38" t="s">
        <v>102</v>
      </c>
      <c r="R1455" s="38" t="s">
        <v>102</v>
      </c>
      <c r="S1455" s="38" t="s">
        <v>102</v>
      </c>
      <c r="T1455" s="38" t="s">
        <v>2781</v>
      </c>
      <c r="U1455" s="43">
        <v>4</v>
      </c>
    </row>
    <row r="1456" spans="2:21" ht="14.5" outlineLevel="3">
      <c r="B1456" s="44" t="s">
        <v>4177</v>
      </c>
      <c r="C1456" s="45" t="s">
        <v>4178</v>
      </c>
      <c r="D1456" s="46" t="s">
        <v>102</v>
      </c>
      <c r="E1456" s="47" t="s">
        <v>102</v>
      </c>
      <c r="F1456" s="46" t="s">
        <v>102</v>
      </c>
      <c r="G1456" s="47" t="s">
        <v>102</v>
      </c>
      <c r="H1456" s="48">
        <v>0</v>
      </c>
      <c r="I1456" s="48">
        <v>0</v>
      </c>
      <c r="J1456" s="47" t="s">
        <v>3682</v>
      </c>
      <c r="K1456" s="49">
        <v>0</v>
      </c>
      <c r="L1456" s="49" t="s">
        <v>116</v>
      </c>
      <c r="M1456" s="46" t="s">
        <v>117</v>
      </c>
      <c r="N1456" s="50">
        <v>0</v>
      </c>
      <c r="O1456" s="50">
        <v>0</v>
      </c>
      <c r="P1456" s="50">
        <v>0</v>
      </c>
      <c r="Q1456" s="46" t="s">
        <v>102</v>
      </c>
      <c r="R1456" s="46" t="s">
        <v>102</v>
      </c>
      <c r="S1456" s="46" t="s">
        <v>102</v>
      </c>
      <c r="T1456" s="46" t="s">
        <v>466</v>
      </c>
      <c r="U1456" s="51">
        <v>4</v>
      </c>
    </row>
    <row r="1457" spans="2:21" ht="14.5" outlineLevel="3">
      <c r="B1457" s="44" t="s">
        <v>4179</v>
      </c>
      <c r="C1457" s="45" t="s">
        <v>4180</v>
      </c>
      <c r="D1457" s="46" t="s">
        <v>102</v>
      </c>
      <c r="E1457" s="47" t="s">
        <v>102</v>
      </c>
      <c r="F1457" s="46" t="s">
        <v>102</v>
      </c>
      <c r="G1457" s="47" t="s">
        <v>102</v>
      </c>
      <c r="H1457" s="48">
        <v>0</v>
      </c>
      <c r="I1457" s="48">
        <v>0</v>
      </c>
      <c r="J1457" s="47" t="s">
        <v>102</v>
      </c>
      <c r="K1457" s="49">
        <v>0</v>
      </c>
      <c r="L1457" s="49" t="s">
        <v>102</v>
      </c>
      <c r="M1457" s="46" t="s">
        <v>102</v>
      </c>
      <c r="N1457" s="50">
        <v>0</v>
      </c>
      <c r="O1457" s="50">
        <v>0</v>
      </c>
      <c r="P1457" s="50">
        <v>0</v>
      </c>
      <c r="Q1457" s="46" t="s">
        <v>102</v>
      </c>
      <c r="R1457" s="46" t="s">
        <v>4181</v>
      </c>
      <c r="S1457" s="46" t="s">
        <v>102</v>
      </c>
      <c r="T1457" s="46" t="s">
        <v>102</v>
      </c>
      <c r="U1457" s="51">
        <v>2</v>
      </c>
    </row>
    <row r="1458" spans="2:21" ht="14.5" outlineLevel="3">
      <c r="B1458" s="44" t="s">
        <v>4182</v>
      </c>
      <c r="C1458" s="45" t="s">
        <v>4183</v>
      </c>
      <c r="D1458" s="46" t="s">
        <v>102</v>
      </c>
      <c r="E1458" s="47" t="s">
        <v>102</v>
      </c>
      <c r="F1458" s="46" t="s">
        <v>102</v>
      </c>
      <c r="G1458" s="47" t="s">
        <v>102</v>
      </c>
      <c r="H1458" s="48">
        <v>0</v>
      </c>
      <c r="I1458" s="48">
        <v>0</v>
      </c>
      <c r="J1458" s="47" t="s">
        <v>102</v>
      </c>
      <c r="K1458" s="49">
        <v>0</v>
      </c>
      <c r="L1458" s="49" t="s">
        <v>102</v>
      </c>
      <c r="M1458" s="46" t="s">
        <v>102</v>
      </c>
      <c r="N1458" s="50">
        <v>0</v>
      </c>
      <c r="O1458" s="50">
        <v>0</v>
      </c>
      <c r="P1458" s="50">
        <v>0</v>
      </c>
      <c r="Q1458" s="46" t="s">
        <v>102</v>
      </c>
      <c r="R1458" s="46" t="s">
        <v>102</v>
      </c>
      <c r="S1458" s="46" t="s">
        <v>4184</v>
      </c>
      <c r="T1458" s="46" t="s">
        <v>102</v>
      </c>
      <c r="U1458" s="51">
        <v>3</v>
      </c>
    </row>
    <row r="1459" spans="2:21" ht="14.5" outlineLevel="3">
      <c r="B1459" s="44" t="s">
        <v>4185</v>
      </c>
      <c r="C1459" s="45" t="s">
        <v>4186</v>
      </c>
      <c r="D1459" s="46" t="s">
        <v>392</v>
      </c>
      <c r="E1459" s="47" t="s">
        <v>102</v>
      </c>
      <c r="F1459" s="46" t="s">
        <v>102</v>
      </c>
      <c r="G1459" s="47" t="s">
        <v>102</v>
      </c>
      <c r="H1459" s="48">
        <v>0</v>
      </c>
      <c r="I1459" s="48">
        <v>0</v>
      </c>
      <c r="J1459" s="47" t="s">
        <v>2662</v>
      </c>
      <c r="K1459" s="49">
        <v>1</v>
      </c>
      <c r="L1459" s="49" t="s">
        <v>2614</v>
      </c>
      <c r="M1459" s="46" t="s">
        <v>117</v>
      </c>
      <c r="N1459" s="50">
        <v>0</v>
      </c>
      <c r="O1459" s="50">
        <v>0</v>
      </c>
      <c r="P1459" s="50">
        <v>0</v>
      </c>
      <c r="Q1459" s="46" t="s">
        <v>102</v>
      </c>
      <c r="R1459" s="46" t="s">
        <v>102</v>
      </c>
      <c r="S1459" s="46" t="s">
        <v>102</v>
      </c>
      <c r="T1459" s="46" t="s">
        <v>2781</v>
      </c>
      <c r="U1459" s="51">
        <v>4</v>
      </c>
    </row>
    <row r="1460" spans="2:21" ht="14.5" outlineLevel="3">
      <c r="B1460" s="44" t="s">
        <v>4187</v>
      </c>
      <c r="C1460" s="45" t="s">
        <v>4188</v>
      </c>
      <c r="D1460" s="46" t="s">
        <v>102</v>
      </c>
      <c r="E1460" s="47" t="s">
        <v>102</v>
      </c>
      <c r="F1460" s="46" t="s">
        <v>102</v>
      </c>
      <c r="G1460" s="47" t="s">
        <v>102</v>
      </c>
      <c r="H1460" s="48">
        <v>0</v>
      </c>
      <c r="I1460" s="48">
        <v>0</v>
      </c>
      <c r="J1460" s="47" t="s">
        <v>102</v>
      </c>
      <c r="K1460" s="49">
        <v>0</v>
      </c>
      <c r="L1460" s="49" t="s">
        <v>102</v>
      </c>
      <c r="M1460" s="46" t="s">
        <v>102</v>
      </c>
      <c r="N1460" s="50">
        <v>0</v>
      </c>
      <c r="O1460" s="50">
        <v>0</v>
      </c>
      <c r="P1460" s="50">
        <v>0</v>
      </c>
      <c r="Q1460" s="46" t="s">
        <v>102</v>
      </c>
      <c r="R1460" s="46" t="s">
        <v>4189</v>
      </c>
      <c r="S1460" s="46" t="s">
        <v>102</v>
      </c>
      <c r="T1460" s="46" t="s">
        <v>102</v>
      </c>
      <c r="U1460" s="51">
        <v>2</v>
      </c>
    </row>
    <row r="1461" spans="2:21" ht="14.5" outlineLevel="3">
      <c r="B1461" s="44" t="s">
        <v>4190</v>
      </c>
      <c r="C1461" s="45" t="s">
        <v>4191</v>
      </c>
      <c r="D1461" s="46" t="s">
        <v>102</v>
      </c>
      <c r="E1461" s="47" t="s">
        <v>102</v>
      </c>
      <c r="F1461" s="46" t="s">
        <v>102</v>
      </c>
      <c r="G1461" s="47" t="s">
        <v>102</v>
      </c>
      <c r="H1461" s="48">
        <v>0</v>
      </c>
      <c r="I1461" s="48">
        <v>0</v>
      </c>
      <c r="J1461" s="47" t="s">
        <v>102</v>
      </c>
      <c r="K1461" s="49">
        <v>0</v>
      </c>
      <c r="L1461" s="49" t="s">
        <v>102</v>
      </c>
      <c r="M1461" s="46" t="s">
        <v>102</v>
      </c>
      <c r="N1461" s="50">
        <v>0</v>
      </c>
      <c r="O1461" s="50">
        <v>0</v>
      </c>
      <c r="P1461" s="50">
        <v>0</v>
      </c>
      <c r="Q1461" s="46" t="s">
        <v>102</v>
      </c>
      <c r="R1461" s="46" t="s">
        <v>102</v>
      </c>
      <c r="S1461" s="46" t="s">
        <v>4192</v>
      </c>
      <c r="T1461" s="46" t="s">
        <v>102</v>
      </c>
      <c r="U1461" s="51">
        <v>3</v>
      </c>
    </row>
    <row r="1462" spans="2:21" ht="14.5" outlineLevel="3">
      <c r="B1462" s="44" t="s">
        <v>4193</v>
      </c>
      <c r="C1462" s="45" t="s">
        <v>4194</v>
      </c>
      <c r="D1462" s="46" t="s">
        <v>4002</v>
      </c>
      <c r="E1462" s="47" t="s">
        <v>102</v>
      </c>
      <c r="F1462" s="46" t="s">
        <v>102</v>
      </c>
      <c r="G1462" s="47" t="s">
        <v>102</v>
      </c>
      <c r="H1462" s="48">
        <v>0</v>
      </c>
      <c r="I1462" s="48">
        <v>0</v>
      </c>
      <c r="J1462" s="47" t="s">
        <v>4195</v>
      </c>
      <c r="K1462" s="49">
        <v>1</v>
      </c>
      <c r="L1462" s="49" t="s">
        <v>2614</v>
      </c>
      <c r="M1462" s="46" t="s">
        <v>117</v>
      </c>
      <c r="N1462" s="50">
        <v>0</v>
      </c>
      <c r="O1462" s="50">
        <v>0</v>
      </c>
      <c r="P1462" s="50">
        <v>0</v>
      </c>
      <c r="Q1462" s="46" t="s">
        <v>102</v>
      </c>
      <c r="R1462" s="46" t="s">
        <v>102</v>
      </c>
      <c r="S1462" s="46" t="s">
        <v>102</v>
      </c>
      <c r="T1462" s="46" t="s">
        <v>1019</v>
      </c>
      <c r="U1462" s="51">
        <v>4</v>
      </c>
    </row>
    <row r="1463" spans="2:21" ht="14.5" outlineLevel="3">
      <c r="B1463" s="44" t="s">
        <v>4196</v>
      </c>
      <c r="C1463" s="45" t="s">
        <v>4197</v>
      </c>
      <c r="D1463" s="46" t="s">
        <v>392</v>
      </c>
      <c r="E1463" s="47" t="s">
        <v>102</v>
      </c>
      <c r="F1463" s="46" t="s">
        <v>102</v>
      </c>
      <c r="G1463" s="47" t="s">
        <v>102</v>
      </c>
      <c r="H1463" s="48">
        <v>0</v>
      </c>
      <c r="I1463" s="48">
        <v>0</v>
      </c>
      <c r="J1463" s="47" t="s">
        <v>4195</v>
      </c>
      <c r="K1463" s="49">
        <v>1</v>
      </c>
      <c r="L1463" s="49" t="s">
        <v>2614</v>
      </c>
      <c r="M1463" s="46" t="s">
        <v>117</v>
      </c>
      <c r="N1463" s="50">
        <v>0</v>
      </c>
      <c r="O1463" s="50">
        <v>0</v>
      </c>
      <c r="P1463" s="50">
        <v>0</v>
      </c>
      <c r="Q1463" s="46" t="s">
        <v>102</v>
      </c>
      <c r="R1463" s="46" t="s">
        <v>102</v>
      </c>
      <c r="S1463" s="46" t="s">
        <v>102</v>
      </c>
      <c r="T1463" s="46" t="s">
        <v>2815</v>
      </c>
      <c r="U1463" s="51">
        <v>4</v>
      </c>
    </row>
    <row r="1464" spans="2:21" ht="14.5" outlineLevel="3">
      <c r="B1464" s="44" t="s">
        <v>4198</v>
      </c>
      <c r="C1464" s="45" t="s">
        <v>4199</v>
      </c>
      <c r="D1464" s="46" t="s">
        <v>4002</v>
      </c>
      <c r="E1464" s="47" t="s">
        <v>102</v>
      </c>
      <c r="F1464" s="46" t="s">
        <v>102</v>
      </c>
      <c r="G1464" s="47" t="s">
        <v>102</v>
      </c>
      <c r="H1464" s="48">
        <v>0</v>
      </c>
      <c r="I1464" s="48">
        <v>0</v>
      </c>
      <c r="J1464" s="47" t="s">
        <v>4195</v>
      </c>
      <c r="K1464" s="49">
        <v>1</v>
      </c>
      <c r="L1464" s="49" t="s">
        <v>116</v>
      </c>
      <c r="M1464" s="46" t="s">
        <v>117</v>
      </c>
      <c r="N1464" s="50">
        <v>0</v>
      </c>
      <c r="O1464" s="50">
        <v>0</v>
      </c>
      <c r="P1464" s="50">
        <v>0</v>
      </c>
      <c r="Q1464" s="46" t="s">
        <v>102</v>
      </c>
      <c r="R1464" s="46" t="s">
        <v>102</v>
      </c>
      <c r="S1464" s="46" t="s">
        <v>102</v>
      </c>
      <c r="T1464" s="46" t="s">
        <v>2825</v>
      </c>
      <c r="U1464" s="51">
        <v>4</v>
      </c>
    </row>
    <row r="1465" spans="2:21" ht="14.5" outlineLevel="3">
      <c r="B1465" s="44" t="s">
        <v>4200</v>
      </c>
      <c r="C1465" s="45" t="s">
        <v>4201</v>
      </c>
      <c r="D1465" s="46" t="s">
        <v>392</v>
      </c>
      <c r="E1465" s="47" t="s">
        <v>102</v>
      </c>
      <c r="F1465" s="46" t="s">
        <v>102</v>
      </c>
      <c r="G1465" s="47" t="s">
        <v>102</v>
      </c>
      <c r="H1465" s="48">
        <v>0</v>
      </c>
      <c r="I1465" s="48">
        <v>0</v>
      </c>
      <c r="J1465" s="47" t="s">
        <v>4195</v>
      </c>
      <c r="K1465" s="49">
        <v>1</v>
      </c>
      <c r="L1465" s="49" t="s">
        <v>116</v>
      </c>
      <c r="M1465" s="46" t="s">
        <v>117</v>
      </c>
      <c r="N1465" s="50">
        <v>0</v>
      </c>
      <c r="O1465" s="50">
        <v>0</v>
      </c>
      <c r="P1465" s="50">
        <v>0</v>
      </c>
      <c r="Q1465" s="46" t="s">
        <v>102</v>
      </c>
      <c r="R1465" s="46" t="s">
        <v>102</v>
      </c>
      <c r="S1465" s="46" t="s">
        <v>102</v>
      </c>
      <c r="T1465" s="46" t="s">
        <v>461</v>
      </c>
      <c r="U1465" s="51">
        <v>4</v>
      </c>
    </row>
    <row r="1466" spans="2:21" ht="14.5" outlineLevel="3">
      <c r="B1466" s="44" t="s">
        <v>4202</v>
      </c>
      <c r="C1466" s="45" t="s">
        <v>4203</v>
      </c>
      <c r="D1466" s="46" t="s">
        <v>392</v>
      </c>
      <c r="E1466" s="47" t="s">
        <v>102</v>
      </c>
      <c r="F1466" s="46" t="s">
        <v>102</v>
      </c>
      <c r="G1466" s="47" t="s">
        <v>102</v>
      </c>
      <c r="H1466" s="48">
        <v>0</v>
      </c>
      <c r="I1466" s="48">
        <v>0</v>
      </c>
      <c r="J1466" s="47" t="s">
        <v>4195</v>
      </c>
      <c r="K1466" s="49">
        <v>1</v>
      </c>
      <c r="L1466" s="49" t="s">
        <v>2614</v>
      </c>
      <c r="M1466" s="46" t="s">
        <v>117</v>
      </c>
      <c r="N1466" s="50">
        <v>0</v>
      </c>
      <c r="O1466" s="50">
        <v>0</v>
      </c>
      <c r="P1466" s="50">
        <v>0</v>
      </c>
      <c r="Q1466" s="46" t="s">
        <v>102</v>
      </c>
      <c r="R1466" s="46" t="s">
        <v>102</v>
      </c>
      <c r="S1466" s="46" t="s">
        <v>102</v>
      </c>
      <c r="T1466" s="46" t="s">
        <v>2828</v>
      </c>
      <c r="U1466" s="51">
        <v>4</v>
      </c>
    </row>
    <row r="1467" spans="2:21" ht="14.5" outlineLevel="2">
      <c r="B1467" s="36" t="s">
        <v>4204</v>
      </c>
      <c r="C1467" s="37" t="s">
        <v>4205</v>
      </c>
      <c r="D1467" s="38" t="s">
        <v>392</v>
      </c>
      <c r="E1467" s="39" t="s">
        <v>102</v>
      </c>
      <c r="F1467" s="38" t="s">
        <v>102</v>
      </c>
      <c r="G1467" s="39" t="s">
        <v>102</v>
      </c>
      <c r="H1467" s="40">
        <v>0</v>
      </c>
      <c r="I1467" s="40">
        <v>0</v>
      </c>
      <c r="J1467" s="39" t="s">
        <v>4195</v>
      </c>
      <c r="K1467" s="41">
        <v>1</v>
      </c>
      <c r="L1467" s="41" t="s">
        <v>2614</v>
      </c>
      <c r="M1467" s="38" t="s">
        <v>117</v>
      </c>
      <c r="N1467" s="42">
        <v>0</v>
      </c>
      <c r="O1467" s="42">
        <v>0</v>
      </c>
      <c r="P1467" s="42">
        <v>0</v>
      </c>
      <c r="Q1467" s="38" t="s">
        <v>102</v>
      </c>
      <c r="R1467" s="38" t="s">
        <v>102</v>
      </c>
      <c r="S1467" s="38" t="s">
        <v>102</v>
      </c>
      <c r="T1467" s="38" t="s">
        <v>2773</v>
      </c>
      <c r="U1467" s="43">
        <v>4</v>
      </c>
    </row>
    <row r="1468" spans="2:21" ht="14.5" outlineLevel="3">
      <c r="B1468" s="44" t="s">
        <v>4206</v>
      </c>
      <c r="C1468" s="45" t="s">
        <v>4207</v>
      </c>
      <c r="D1468" s="46" t="s">
        <v>392</v>
      </c>
      <c r="E1468" s="47" t="s">
        <v>102</v>
      </c>
      <c r="F1468" s="46" t="s">
        <v>102</v>
      </c>
      <c r="G1468" s="47" t="s">
        <v>102</v>
      </c>
      <c r="H1468" s="48">
        <v>0</v>
      </c>
      <c r="I1468" s="48">
        <v>0</v>
      </c>
      <c r="J1468" s="47" t="s">
        <v>4195</v>
      </c>
      <c r="K1468" s="49">
        <v>1</v>
      </c>
      <c r="L1468" s="49" t="s">
        <v>2614</v>
      </c>
      <c r="M1468" s="46" t="s">
        <v>117</v>
      </c>
      <c r="N1468" s="50">
        <v>0</v>
      </c>
      <c r="O1468" s="50">
        <v>0</v>
      </c>
      <c r="P1468" s="50">
        <v>0</v>
      </c>
      <c r="Q1468" s="46" t="s">
        <v>102</v>
      </c>
      <c r="R1468" s="46" t="s">
        <v>102</v>
      </c>
      <c r="S1468" s="46" t="s">
        <v>102</v>
      </c>
      <c r="T1468" s="46" t="s">
        <v>3066</v>
      </c>
      <c r="U1468" s="51">
        <v>4</v>
      </c>
    </row>
    <row r="1469" spans="2:21" ht="14.5" outlineLevel="2">
      <c r="B1469" s="36" t="s">
        <v>4208</v>
      </c>
      <c r="C1469" s="37" t="s">
        <v>4209</v>
      </c>
      <c r="D1469" s="38" t="s">
        <v>392</v>
      </c>
      <c r="E1469" s="39" t="s">
        <v>102</v>
      </c>
      <c r="F1469" s="38" t="s">
        <v>102</v>
      </c>
      <c r="G1469" s="39" t="s">
        <v>102</v>
      </c>
      <c r="H1469" s="40">
        <v>0</v>
      </c>
      <c r="I1469" s="40">
        <v>0</v>
      </c>
      <c r="J1469" s="39" t="s">
        <v>4195</v>
      </c>
      <c r="K1469" s="41">
        <v>1</v>
      </c>
      <c r="L1469" s="41" t="s">
        <v>2614</v>
      </c>
      <c r="M1469" s="38" t="s">
        <v>117</v>
      </c>
      <c r="N1469" s="42">
        <v>0</v>
      </c>
      <c r="O1469" s="42">
        <v>0</v>
      </c>
      <c r="P1469" s="42">
        <v>0</v>
      </c>
      <c r="Q1469" s="38" t="s">
        <v>102</v>
      </c>
      <c r="R1469" s="38" t="s">
        <v>102</v>
      </c>
      <c r="S1469" s="38" t="s">
        <v>102</v>
      </c>
      <c r="T1469" s="38" t="s">
        <v>3069</v>
      </c>
      <c r="U1469" s="43">
        <v>4</v>
      </c>
    </row>
    <row r="1470" spans="2:21" ht="14.5" outlineLevel="3">
      <c r="B1470" s="44" t="s">
        <v>4210</v>
      </c>
      <c r="C1470" s="45" t="s">
        <v>4211</v>
      </c>
      <c r="D1470" s="46" t="s">
        <v>392</v>
      </c>
      <c r="E1470" s="47" t="s">
        <v>102</v>
      </c>
      <c r="F1470" s="46" t="s">
        <v>102</v>
      </c>
      <c r="G1470" s="47" t="s">
        <v>102</v>
      </c>
      <c r="H1470" s="48">
        <v>0</v>
      </c>
      <c r="I1470" s="48">
        <v>0</v>
      </c>
      <c r="J1470" s="47" t="s">
        <v>4195</v>
      </c>
      <c r="K1470" s="49">
        <v>1</v>
      </c>
      <c r="L1470" s="49" t="s">
        <v>2614</v>
      </c>
      <c r="M1470" s="46" t="s">
        <v>117</v>
      </c>
      <c r="N1470" s="50">
        <v>0</v>
      </c>
      <c r="O1470" s="50">
        <v>0</v>
      </c>
      <c r="P1470" s="50">
        <v>0</v>
      </c>
      <c r="Q1470" s="46" t="s">
        <v>102</v>
      </c>
      <c r="R1470" s="46" t="s">
        <v>102</v>
      </c>
      <c r="S1470" s="46" t="s">
        <v>102</v>
      </c>
      <c r="T1470" s="46" t="s">
        <v>3072</v>
      </c>
      <c r="U1470" s="51">
        <v>4</v>
      </c>
    </row>
    <row r="1471" spans="2:21" ht="14.5" outlineLevel="2">
      <c r="B1471" s="36" t="s">
        <v>4212</v>
      </c>
      <c r="C1471" s="37" t="s">
        <v>4213</v>
      </c>
      <c r="D1471" s="38" t="s">
        <v>392</v>
      </c>
      <c r="E1471" s="39" t="s">
        <v>102</v>
      </c>
      <c r="F1471" s="38" t="s">
        <v>102</v>
      </c>
      <c r="G1471" s="39" t="s">
        <v>102</v>
      </c>
      <c r="H1471" s="40">
        <v>0</v>
      </c>
      <c r="I1471" s="40">
        <v>0</v>
      </c>
      <c r="J1471" s="39" t="s">
        <v>4195</v>
      </c>
      <c r="K1471" s="41">
        <v>1</v>
      </c>
      <c r="L1471" s="41" t="s">
        <v>2614</v>
      </c>
      <c r="M1471" s="38" t="s">
        <v>117</v>
      </c>
      <c r="N1471" s="42">
        <v>0</v>
      </c>
      <c r="O1471" s="42">
        <v>0</v>
      </c>
      <c r="P1471" s="42">
        <v>0</v>
      </c>
      <c r="Q1471" s="38" t="s">
        <v>102</v>
      </c>
      <c r="R1471" s="38" t="s">
        <v>102</v>
      </c>
      <c r="S1471" s="38" t="s">
        <v>102</v>
      </c>
      <c r="T1471" s="38" t="s">
        <v>3075</v>
      </c>
      <c r="U1471" s="43">
        <v>4</v>
      </c>
    </row>
    <row r="1472" spans="2:21" ht="14.5" outlineLevel="3">
      <c r="B1472" s="44" t="s">
        <v>4214</v>
      </c>
      <c r="C1472" s="45" t="s">
        <v>4215</v>
      </c>
      <c r="D1472" s="46" t="s">
        <v>392</v>
      </c>
      <c r="E1472" s="47" t="s">
        <v>102</v>
      </c>
      <c r="F1472" s="46" t="s">
        <v>102</v>
      </c>
      <c r="G1472" s="47" t="s">
        <v>102</v>
      </c>
      <c r="H1472" s="48">
        <v>0</v>
      </c>
      <c r="I1472" s="48">
        <v>0</v>
      </c>
      <c r="J1472" s="47" t="s">
        <v>4195</v>
      </c>
      <c r="K1472" s="49">
        <v>1</v>
      </c>
      <c r="L1472" s="49" t="s">
        <v>2614</v>
      </c>
      <c r="M1472" s="46" t="s">
        <v>117</v>
      </c>
      <c r="N1472" s="50">
        <v>0</v>
      </c>
      <c r="O1472" s="50">
        <v>0</v>
      </c>
      <c r="P1472" s="50">
        <v>0</v>
      </c>
      <c r="Q1472" s="46" t="s">
        <v>102</v>
      </c>
      <c r="R1472" s="46" t="s">
        <v>102</v>
      </c>
      <c r="S1472" s="46" t="s">
        <v>102</v>
      </c>
      <c r="T1472" s="46" t="s">
        <v>3078</v>
      </c>
      <c r="U1472" s="51">
        <v>4</v>
      </c>
    </row>
    <row r="1473" spans="2:21" ht="14.5" outlineLevel="3">
      <c r="B1473" s="44" t="s">
        <v>4216</v>
      </c>
      <c r="C1473" s="45" t="s">
        <v>4217</v>
      </c>
      <c r="D1473" s="46" t="s">
        <v>102</v>
      </c>
      <c r="E1473" s="47" t="s">
        <v>102</v>
      </c>
      <c r="F1473" s="46" t="s">
        <v>102</v>
      </c>
      <c r="G1473" s="47" t="s">
        <v>102</v>
      </c>
      <c r="H1473" s="48">
        <v>0</v>
      </c>
      <c r="I1473" s="48">
        <v>0</v>
      </c>
      <c r="J1473" s="47" t="s">
        <v>102</v>
      </c>
      <c r="K1473" s="49">
        <v>0</v>
      </c>
      <c r="L1473" s="49" t="s">
        <v>102</v>
      </c>
      <c r="M1473" s="46" t="s">
        <v>102</v>
      </c>
      <c r="N1473" s="50">
        <v>0</v>
      </c>
      <c r="O1473" s="50">
        <v>0</v>
      </c>
      <c r="P1473" s="50">
        <v>0</v>
      </c>
      <c r="Q1473" s="46" t="s">
        <v>102</v>
      </c>
      <c r="R1473" s="46" t="s">
        <v>102</v>
      </c>
      <c r="S1473" s="46" t="s">
        <v>4218</v>
      </c>
      <c r="T1473" s="46" t="s">
        <v>102</v>
      </c>
      <c r="U1473" s="51">
        <v>3</v>
      </c>
    </row>
    <row r="1474" spans="2:21" ht="14.5" outlineLevel="3">
      <c r="B1474" s="44" t="s">
        <v>4219</v>
      </c>
      <c r="C1474" s="45" t="s">
        <v>4220</v>
      </c>
      <c r="D1474" s="46" t="s">
        <v>392</v>
      </c>
      <c r="E1474" s="47" t="s">
        <v>102</v>
      </c>
      <c r="F1474" s="46" t="s">
        <v>102</v>
      </c>
      <c r="G1474" s="47" t="s">
        <v>102</v>
      </c>
      <c r="H1474" s="48">
        <v>0</v>
      </c>
      <c r="I1474" s="48">
        <v>0</v>
      </c>
      <c r="J1474" s="47" t="s">
        <v>2662</v>
      </c>
      <c r="K1474" s="49">
        <v>1</v>
      </c>
      <c r="L1474" s="49" t="s">
        <v>2614</v>
      </c>
      <c r="M1474" s="46" t="s">
        <v>117</v>
      </c>
      <c r="N1474" s="50">
        <v>0</v>
      </c>
      <c r="O1474" s="50">
        <v>0</v>
      </c>
      <c r="P1474" s="50">
        <v>0</v>
      </c>
      <c r="Q1474" s="46" t="s">
        <v>102</v>
      </c>
      <c r="R1474" s="46" t="s">
        <v>102</v>
      </c>
      <c r="S1474" s="46" t="s">
        <v>102</v>
      </c>
      <c r="T1474" s="46" t="s">
        <v>1019</v>
      </c>
      <c r="U1474" s="51">
        <v>4</v>
      </c>
    </row>
    <row r="1475" spans="2:21" ht="14.5" outlineLevel="2">
      <c r="B1475" s="36" t="s">
        <v>4221</v>
      </c>
      <c r="C1475" s="37" t="s">
        <v>4222</v>
      </c>
      <c r="D1475" s="38" t="s">
        <v>102</v>
      </c>
      <c r="E1475" s="39" t="s">
        <v>102</v>
      </c>
      <c r="F1475" s="38" t="s">
        <v>102</v>
      </c>
      <c r="G1475" s="39" t="s">
        <v>102</v>
      </c>
      <c r="H1475" s="40">
        <v>0</v>
      </c>
      <c r="I1475" s="40">
        <v>0</v>
      </c>
      <c r="J1475" s="39" t="s">
        <v>102</v>
      </c>
      <c r="K1475" s="41">
        <v>0</v>
      </c>
      <c r="L1475" s="41" t="s">
        <v>102</v>
      </c>
      <c r="M1475" s="38" t="s">
        <v>102</v>
      </c>
      <c r="N1475" s="42">
        <v>0</v>
      </c>
      <c r="O1475" s="42">
        <v>0</v>
      </c>
      <c r="P1475" s="42">
        <v>0</v>
      </c>
      <c r="Q1475" s="38" t="s">
        <v>102</v>
      </c>
      <c r="R1475" s="38" t="s">
        <v>102</v>
      </c>
      <c r="S1475" s="38" t="s">
        <v>4223</v>
      </c>
      <c r="T1475" s="38" t="s">
        <v>102</v>
      </c>
      <c r="U1475" s="43">
        <v>3</v>
      </c>
    </row>
    <row r="1476" spans="2:21" ht="14.5" outlineLevel="3">
      <c r="B1476" s="44" t="s">
        <v>4224</v>
      </c>
      <c r="C1476" s="45" t="s">
        <v>4225</v>
      </c>
      <c r="D1476" s="46" t="s">
        <v>392</v>
      </c>
      <c r="E1476" s="47" t="s">
        <v>102</v>
      </c>
      <c r="F1476" s="46" t="s">
        <v>102</v>
      </c>
      <c r="G1476" s="47" t="s">
        <v>102</v>
      </c>
      <c r="H1476" s="48">
        <v>0</v>
      </c>
      <c r="I1476" s="48">
        <v>0</v>
      </c>
      <c r="J1476" s="47" t="s">
        <v>4195</v>
      </c>
      <c r="K1476" s="49">
        <v>1</v>
      </c>
      <c r="L1476" s="49" t="s">
        <v>2614</v>
      </c>
      <c r="M1476" s="46" t="s">
        <v>117</v>
      </c>
      <c r="N1476" s="50">
        <v>0</v>
      </c>
      <c r="O1476" s="50">
        <v>0</v>
      </c>
      <c r="P1476" s="50">
        <v>0</v>
      </c>
      <c r="Q1476" s="46" t="s">
        <v>102</v>
      </c>
      <c r="R1476" s="46" t="s">
        <v>102</v>
      </c>
      <c r="S1476" s="46" t="s">
        <v>102</v>
      </c>
      <c r="T1476" s="46" t="s">
        <v>1019</v>
      </c>
      <c r="U1476" s="51">
        <v>4</v>
      </c>
    </row>
    <row r="1477" spans="2:21" ht="14.5" outlineLevel="3">
      <c r="B1477" s="44" t="s">
        <v>4226</v>
      </c>
      <c r="C1477" s="45" t="s">
        <v>4227</v>
      </c>
      <c r="D1477" s="46" t="s">
        <v>102</v>
      </c>
      <c r="E1477" s="47" t="s">
        <v>102</v>
      </c>
      <c r="F1477" s="46" t="s">
        <v>102</v>
      </c>
      <c r="G1477" s="47" t="s">
        <v>102</v>
      </c>
      <c r="H1477" s="48">
        <v>0</v>
      </c>
      <c r="I1477" s="48">
        <v>0</v>
      </c>
      <c r="J1477" s="47" t="s">
        <v>102</v>
      </c>
      <c r="K1477" s="49">
        <v>0</v>
      </c>
      <c r="L1477" s="49" t="s">
        <v>102</v>
      </c>
      <c r="M1477" s="46" t="s">
        <v>102</v>
      </c>
      <c r="N1477" s="50">
        <v>0</v>
      </c>
      <c r="O1477" s="50">
        <v>0</v>
      </c>
      <c r="P1477" s="50">
        <v>0</v>
      </c>
      <c r="Q1477" s="46" t="s">
        <v>102</v>
      </c>
      <c r="R1477" s="46" t="s">
        <v>102</v>
      </c>
      <c r="S1477" s="46" t="s">
        <v>4228</v>
      </c>
      <c r="T1477" s="46" t="s">
        <v>102</v>
      </c>
      <c r="U1477" s="51">
        <v>3</v>
      </c>
    </row>
    <row r="1478" spans="2:21" ht="14.5" outlineLevel="3">
      <c r="B1478" s="44" t="s">
        <v>4229</v>
      </c>
      <c r="C1478" s="45" t="s">
        <v>4230</v>
      </c>
      <c r="D1478" s="46" t="s">
        <v>392</v>
      </c>
      <c r="E1478" s="47" t="s">
        <v>102</v>
      </c>
      <c r="F1478" s="46" t="s">
        <v>102</v>
      </c>
      <c r="G1478" s="47" t="s">
        <v>102</v>
      </c>
      <c r="H1478" s="48">
        <v>0</v>
      </c>
      <c r="I1478" s="48">
        <v>0</v>
      </c>
      <c r="J1478" s="47" t="s">
        <v>4195</v>
      </c>
      <c r="K1478" s="49">
        <v>1</v>
      </c>
      <c r="L1478" s="49" t="s">
        <v>2614</v>
      </c>
      <c r="M1478" s="46" t="s">
        <v>117</v>
      </c>
      <c r="N1478" s="50">
        <v>0</v>
      </c>
      <c r="O1478" s="50">
        <v>0</v>
      </c>
      <c r="P1478" s="50">
        <v>0</v>
      </c>
      <c r="Q1478" s="46" t="s">
        <v>102</v>
      </c>
      <c r="R1478" s="46" t="s">
        <v>102</v>
      </c>
      <c r="S1478" s="46" t="s">
        <v>102</v>
      </c>
      <c r="T1478" s="46" t="s">
        <v>1019</v>
      </c>
      <c r="U1478" s="51">
        <v>4</v>
      </c>
    </row>
    <row r="1479" spans="2:21" ht="14.5" outlineLevel="3">
      <c r="B1479" s="44" t="s">
        <v>4231</v>
      </c>
      <c r="C1479" s="45" t="s">
        <v>4232</v>
      </c>
      <c r="D1479" s="46" t="s">
        <v>392</v>
      </c>
      <c r="E1479" s="47" t="s">
        <v>102</v>
      </c>
      <c r="F1479" s="46" t="s">
        <v>102</v>
      </c>
      <c r="G1479" s="47" t="s">
        <v>102</v>
      </c>
      <c r="H1479" s="48">
        <v>0</v>
      </c>
      <c r="I1479" s="48">
        <v>0</v>
      </c>
      <c r="J1479" s="47" t="s">
        <v>4195</v>
      </c>
      <c r="K1479" s="49">
        <v>1</v>
      </c>
      <c r="L1479" s="49" t="s">
        <v>2614</v>
      </c>
      <c r="M1479" s="46" t="s">
        <v>117</v>
      </c>
      <c r="N1479" s="50">
        <v>0</v>
      </c>
      <c r="O1479" s="50">
        <v>0</v>
      </c>
      <c r="P1479" s="50">
        <v>0</v>
      </c>
      <c r="Q1479" s="46" t="s">
        <v>102</v>
      </c>
      <c r="R1479" s="46" t="s">
        <v>102</v>
      </c>
      <c r="S1479" s="46" t="s">
        <v>102</v>
      </c>
      <c r="T1479" s="46" t="s">
        <v>2815</v>
      </c>
      <c r="U1479" s="51">
        <v>4</v>
      </c>
    </row>
    <row r="1480" spans="2:21" ht="14.5" outlineLevel="3">
      <c r="B1480" s="44" t="s">
        <v>4233</v>
      </c>
      <c r="C1480" s="45" t="s">
        <v>4234</v>
      </c>
      <c r="D1480" s="46" t="s">
        <v>392</v>
      </c>
      <c r="E1480" s="47" t="s">
        <v>102</v>
      </c>
      <c r="F1480" s="46" t="s">
        <v>102</v>
      </c>
      <c r="G1480" s="47" t="s">
        <v>102</v>
      </c>
      <c r="H1480" s="48">
        <v>0</v>
      </c>
      <c r="I1480" s="48">
        <v>0</v>
      </c>
      <c r="J1480" s="47" t="s">
        <v>4195</v>
      </c>
      <c r="K1480" s="49">
        <v>1</v>
      </c>
      <c r="L1480" s="49" t="s">
        <v>2614</v>
      </c>
      <c r="M1480" s="46" t="s">
        <v>117</v>
      </c>
      <c r="N1480" s="50">
        <v>0</v>
      </c>
      <c r="O1480" s="50">
        <v>0</v>
      </c>
      <c r="P1480" s="50">
        <v>0</v>
      </c>
      <c r="Q1480" s="46" t="s">
        <v>102</v>
      </c>
      <c r="R1480" s="46" t="s">
        <v>102</v>
      </c>
      <c r="S1480" s="46" t="s">
        <v>102</v>
      </c>
      <c r="T1480" s="46" t="s">
        <v>461</v>
      </c>
      <c r="U1480" s="51">
        <v>4</v>
      </c>
    </row>
    <row r="1481" spans="2:21" ht="14.5" outlineLevel="3">
      <c r="B1481" s="44" t="s">
        <v>4235</v>
      </c>
      <c r="C1481" s="45" t="s">
        <v>4236</v>
      </c>
      <c r="D1481" s="46" t="s">
        <v>102</v>
      </c>
      <c r="E1481" s="47" t="s">
        <v>102</v>
      </c>
      <c r="F1481" s="46" t="s">
        <v>102</v>
      </c>
      <c r="G1481" s="47" t="s">
        <v>102</v>
      </c>
      <c r="H1481" s="48">
        <v>0</v>
      </c>
      <c r="I1481" s="48">
        <v>0</v>
      </c>
      <c r="J1481" s="47" t="s">
        <v>102</v>
      </c>
      <c r="K1481" s="49">
        <v>0</v>
      </c>
      <c r="L1481" s="49" t="s">
        <v>102</v>
      </c>
      <c r="M1481" s="46" t="s">
        <v>102</v>
      </c>
      <c r="N1481" s="50">
        <v>0</v>
      </c>
      <c r="O1481" s="50">
        <v>0</v>
      </c>
      <c r="P1481" s="50">
        <v>0</v>
      </c>
      <c r="Q1481" s="46" t="s">
        <v>102</v>
      </c>
      <c r="R1481" s="46" t="s">
        <v>102</v>
      </c>
      <c r="S1481" s="46" t="s">
        <v>2530</v>
      </c>
      <c r="T1481" s="46" t="s">
        <v>102</v>
      </c>
      <c r="U1481" s="51">
        <v>3</v>
      </c>
    </row>
    <row r="1482" spans="2:21" ht="14.5" outlineLevel="3">
      <c r="B1482" s="44" t="s">
        <v>4237</v>
      </c>
      <c r="C1482" s="45" t="s">
        <v>4238</v>
      </c>
      <c r="D1482" s="46" t="s">
        <v>4002</v>
      </c>
      <c r="E1482" s="47" t="s">
        <v>102</v>
      </c>
      <c r="F1482" s="46" t="s">
        <v>102</v>
      </c>
      <c r="G1482" s="47" t="s">
        <v>102</v>
      </c>
      <c r="H1482" s="48">
        <v>0</v>
      </c>
      <c r="I1482" s="48">
        <v>0</v>
      </c>
      <c r="J1482" s="47" t="s">
        <v>4195</v>
      </c>
      <c r="K1482" s="49">
        <v>1</v>
      </c>
      <c r="L1482" s="49" t="s">
        <v>2614</v>
      </c>
      <c r="M1482" s="46" t="s">
        <v>117</v>
      </c>
      <c r="N1482" s="50">
        <v>0</v>
      </c>
      <c r="O1482" s="50">
        <v>0</v>
      </c>
      <c r="P1482" s="50">
        <v>0</v>
      </c>
      <c r="Q1482" s="46" t="s">
        <v>102</v>
      </c>
      <c r="R1482" s="46" t="s">
        <v>102</v>
      </c>
      <c r="S1482" s="46" t="s">
        <v>102</v>
      </c>
      <c r="T1482" s="46" t="s">
        <v>1019</v>
      </c>
      <c r="U1482" s="51">
        <v>4</v>
      </c>
    </row>
    <row r="1483" spans="2:21" ht="14.5" outlineLevel="3">
      <c r="B1483" s="44" t="s">
        <v>4239</v>
      </c>
      <c r="C1483" s="45" t="s">
        <v>4240</v>
      </c>
      <c r="D1483" s="46" t="s">
        <v>4002</v>
      </c>
      <c r="E1483" s="47" t="s">
        <v>102</v>
      </c>
      <c r="F1483" s="46" t="s">
        <v>102</v>
      </c>
      <c r="G1483" s="47" t="s">
        <v>102</v>
      </c>
      <c r="H1483" s="48">
        <v>0</v>
      </c>
      <c r="I1483" s="48">
        <v>0</v>
      </c>
      <c r="J1483" s="47" t="s">
        <v>4195</v>
      </c>
      <c r="K1483" s="49">
        <v>1</v>
      </c>
      <c r="L1483" s="49" t="s">
        <v>2614</v>
      </c>
      <c r="M1483" s="46" t="s">
        <v>117</v>
      </c>
      <c r="N1483" s="50">
        <v>0</v>
      </c>
      <c r="O1483" s="50">
        <v>0</v>
      </c>
      <c r="P1483" s="50">
        <v>0</v>
      </c>
      <c r="Q1483" s="46" t="s">
        <v>102</v>
      </c>
      <c r="R1483" s="46" t="s">
        <v>102</v>
      </c>
      <c r="S1483" s="46" t="s">
        <v>102</v>
      </c>
      <c r="T1483" s="46" t="s">
        <v>2828</v>
      </c>
      <c r="U1483" s="51">
        <v>4</v>
      </c>
    </row>
    <row r="1484" spans="2:21" ht="14.5" outlineLevel="3">
      <c r="B1484" s="44" t="s">
        <v>4241</v>
      </c>
      <c r="C1484" s="45" t="s">
        <v>4242</v>
      </c>
      <c r="D1484" s="46" t="s">
        <v>392</v>
      </c>
      <c r="E1484" s="47" t="s">
        <v>102</v>
      </c>
      <c r="F1484" s="46" t="s">
        <v>102</v>
      </c>
      <c r="G1484" s="47" t="s">
        <v>102</v>
      </c>
      <c r="H1484" s="48">
        <v>0</v>
      </c>
      <c r="I1484" s="48">
        <v>0</v>
      </c>
      <c r="J1484" s="47" t="s">
        <v>4195</v>
      </c>
      <c r="K1484" s="49">
        <v>1</v>
      </c>
      <c r="L1484" s="49" t="s">
        <v>2614</v>
      </c>
      <c r="M1484" s="46" t="s">
        <v>117</v>
      </c>
      <c r="N1484" s="50">
        <v>0</v>
      </c>
      <c r="O1484" s="50">
        <v>0</v>
      </c>
      <c r="P1484" s="50">
        <v>0</v>
      </c>
      <c r="Q1484" s="46" t="s">
        <v>102</v>
      </c>
      <c r="R1484" s="46" t="s">
        <v>102</v>
      </c>
      <c r="S1484" s="46" t="s">
        <v>102</v>
      </c>
      <c r="T1484" s="46" t="s">
        <v>2773</v>
      </c>
      <c r="U1484" s="51">
        <v>4</v>
      </c>
    </row>
    <row r="1485" spans="2:21" ht="14.5" outlineLevel="3">
      <c r="B1485" s="44" t="s">
        <v>4243</v>
      </c>
      <c r="C1485" s="45" t="s">
        <v>4244</v>
      </c>
      <c r="D1485" s="46" t="s">
        <v>4002</v>
      </c>
      <c r="E1485" s="47" t="s">
        <v>102</v>
      </c>
      <c r="F1485" s="46" t="s">
        <v>102</v>
      </c>
      <c r="G1485" s="47" t="s">
        <v>102</v>
      </c>
      <c r="H1485" s="48">
        <v>0</v>
      </c>
      <c r="I1485" s="48">
        <v>0</v>
      </c>
      <c r="J1485" s="47" t="s">
        <v>4195</v>
      </c>
      <c r="K1485" s="49">
        <v>1</v>
      </c>
      <c r="L1485" s="49" t="s">
        <v>2614</v>
      </c>
      <c r="M1485" s="46" t="s">
        <v>117</v>
      </c>
      <c r="N1485" s="50">
        <v>0</v>
      </c>
      <c r="O1485" s="50">
        <v>0</v>
      </c>
      <c r="P1485" s="50">
        <v>0</v>
      </c>
      <c r="Q1485" s="46" t="s">
        <v>102</v>
      </c>
      <c r="R1485" s="46" t="s">
        <v>102</v>
      </c>
      <c r="S1485" s="46" t="s">
        <v>102</v>
      </c>
      <c r="T1485" s="46" t="s">
        <v>2831</v>
      </c>
      <c r="U1485" s="51">
        <v>4</v>
      </c>
    </row>
    <row r="1486" spans="2:21" ht="14.5" outlineLevel="1">
      <c r="B1486" s="28" t="s">
        <v>4245</v>
      </c>
      <c r="C1486" s="29" t="s">
        <v>4246</v>
      </c>
      <c r="D1486" s="30" t="s">
        <v>392</v>
      </c>
      <c r="E1486" s="31" t="s">
        <v>102</v>
      </c>
      <c r="F1486" s="30" t="s">
        <v>102</v>
      </c>
      <c r="G1486" s="31" t="s">
        <v>102</v>
      </c>
      <c r="H1486" s="32">
        <v>0</v>
      </c>
      <c r="I1486" s="32">
        <v>0</v>
      </c>
      <c r="J1486" s="31" t="s">
        <v>4195</v>
      </c>
      <c r="K1486" s="33">
        <v>1</v>
      </c>
      <c r="L1486" s="33" t="s">
        <v>2614</v>
      </c>
      <c r="M1486" s="30" t="s">
        <v>117</v>
      </c>
      <c r="N1486" s="34">
        <v>0</v>
      </c>
      <c r="O1486" s="34">
        <v>0</v>
      </c>
      <c r="P1486" s="34">
        <v>0</v>
      </c>
      <c r="Q1486" s="30" t="s">
        <v>102</v>
      </c>
      <c r="R1486" s="30" t="s">
        <v>102</v>
      </c>
      <c r="S1486" s="30" t="s">
        <v>102</v>
      </c>
      <c r="T1486" s="30" t="s">
        <v>527</v>
      </c>
      <c r="U1486" s="35">
        <v>4</v>
      </c>
    </row>
    <row r="1487" spans="2:21" ht="14.5" outlineLevel="2">
      <c r="B1487" s="36" t="s">
        <v>4247</v>
      </c>
      <c r="C1487" s="37" t="s">
        <v>4248</v>
      </c>
      <c r="D1487" s="38" t="s">
        <v>392</v>
      </c>
      <c r="E1487" s="39" t="s">
        <v>102</v>
      </c>
      <c r="F1487" s="38" t="s">
        <v>102</v>
      </c>
      <c r="G1487" s="39" t="s">
        <v>102</v>
      </c>
      <c r="H1487" s="40">
        <v>0</v>
      </c>
      <c r="I1487" s="40">
        <v>0</v>
      </c>
      <c r="J1487" s="39" t="s">
        <v>4195</v>
      </c>
      <c r="K1487" s="41">
        <v>1</v>
      </c>
      <c r="L1487" s="41" t="s">
        <v>2614</v>
      </c>
      <c r="M1487" s="38" t="s">
        <v>117</v>
      </c>
      <c r="N1487" s="42">
        <v>0</v>
      </c>
      <c r="O1487" s="42">
        <v>0</v>
      </c>
      <c r="P1487" s="42">
        <v>0</v>
      </c>
      <c r="Q1487" s="38" t="s">
        <v>102</v>
      </c>
      <c r="R1487" s="38" t="s">
        <v>102</v>
      </c>
      <c r="S1487" s="38" t="s">
        <v>102</v>
      </c>
      <c r="T1487" s="38" t="s">
        <v>2666</v>
      </c>
      <c r="U1487" s="43">
        <v>4</v>
      </c>
    </row>
    <row r="1488" spans="2:21" ht="14.5" outlineLevel="3">
      <c r="B1488" s="44" t="s">
        <v>4249</v>
      </c>
      <c r="C1488" s="45" t="s">
        <v>4250</v>
      </c>
      <c r="D1488" s="46" t="s">
        <v>392</v>
      </c>
      <c r="E1488" s="47" t="s">
        <v>102</v>
      </c>
      <c r="F1488" s="46" t="s">
        <v>102</v>
      </c>
      <c r="G1488" s="47" t="s">
        <v>102</v>
      </c>
      <c r="H1488" s="48">
        <v>0</v>
      </c>
      <c r="I1488" s="48">
        <v>0</v>
      </c>
      <c r="J1488" s="47" t="s">
        <v>4195</v>
      </c>
      <c r="K1488" s="49">
        <v>1</v>
      </c>
      <c r="L1488" s="49" t="s">
        <v>2614</v>
      </c>
      <c r="M1488" s="46" t="s">
        <v>117</v>
      </c>
      <c r="N1488" s="50">
        <v>0</v>
      </c>
      <c r="O1488" s="50">
        <v>0</v>
      </c>
      <c r="P1488" s="50">
        <v>0</v>
      </c>
      <c r="Q1488" s="46" t="s">
        <v>102</v>
      </c>
      <c r="R1488" s="46" t="s">
        <v>102</v>
      </c>
      <c r="S1488" s="46" t="s">
        <v>102</v>
      </c>
      <c r="T1488" s="46" t="s">
        <v>3407</v>
      </c>
      <c r="U1488" s="51">
        <v>4</v>
      </c>
    </row>
    <row r="1489" spans="2:21" ht="14.5" outlineLevel="3">
      <c r="B1489" s="44" t="s">
        <v>4251</v>
      </c>
      <c r="C1489" s="45" t="s">
        <v>4252</v>
      </c>
      <c r="D1489" s="46" t="s">
        <v>392</v>
      </c>
      <c r="E1489" s="47" t="s">
        <v>102</v>
      </c>
      <c r="F1489" s="46" t="s">
        <v>102</v>
      </c>
      <c r="G1489" s="47" t="s">
        <v>102</v>
      </c>
      <c r="H1489" s="48">
        <v>0</v>
      </c>
      <c r="I1489" s="48">
        <v>0</v>
      </c>
      <c r="J1489" s="47" t="s">
        <v>4195</v>
      </c>
      <c r="K1489" s="49">
        <v>1</v>
      </c>
      <c r="L1489" s="49" t="s">
        <v>2614</v>
      </c>
      <c r="M1489" s="46" t="s">
        <v>117</v>
      </c>
      <c r="N1489" s="50">
        <v>0</v>
      </c>
      <c r="O1489" s="50">
        <v>0</v>
      </c>
      <c r="P1489" s="50">
        <v>0</v>
      </c>
      <c r="Q1489" s="46" t="s">
        <v>102</v>
      </c>
      <c r="R1489" s="46" t="s">
        <v>102</v>
      </c>
      <c r="S1489" s="46" t="s">
        <v>102</v>
      </c>
      <c r="T1489" s="46" t="s">
        <v>4253</v>
      </c>
      <c r="U1489" s="51">
        <v>4</v>
      </c>
    </row>
    <row r="1490" spans="2:21" ht="14.5" outlineLevel="3">
      <c r="B1490" s="44" t="s">
        <v>4254</v>
      </c>
      <c r="C1490" s="45" t="s">
        <v>4255</v>
      </c>
      <c r="D1490" s="46" t="s">
        <v>392</v>
      </c>
      <c r="E1490" s="47" t="s">
        <v>102</v>
      </c>
      <c r="F1490" s="46" t="s">
        <v>102</v>
      </c>
      <c r="G1490" s="47" t="s">
        <v>102</v>
      </c>
      <c r="H1490" s="48">
        <v>0</v>
      </c>
      <c r="I1490" s="48">
        <v>0</v>
      </c>
      <c r="J1490" s="47" t="s">
        <v>4195</v>
      </c>
      <c r="K1490" s="49">
        <v>1</v>
      </c>
      <c r="L1490" s="49" t="s">
        <v>2614</v>
      </c>
      <c r="M1490" s="46" t="s">
        <v>117</v>
      </c>
      <c r="N1490" s="50">
        <v>0</v>
      </c>
      <c r="O1490" s="50">
        <v>0</v>
      </c>
      <c r="P1490" s="50">
        <v>0</v>
      </c>
      <c r="Q1490" s="46" t="s">
        <v>102</v>
      </c>
      <c r="R1490" s="46" t="s">
        <v>102</v>
      </c>
      <c r="S1490" s="46" t="s">
        <v>102</v>
      </c>
      <c r="T1490" s="46" t="s">
        <v>3415</v>
      </c>
      <c r="U1490" s="51">
        <v>4</v>
      </c>
    </row>
    <row r="1491" spans="2:21" ht="14.5" outlineLevel="3">
      <c r="B1491" s="44" t="s">
        <v>4256</v>
      </c>
      <c r="C1491" s="45" t="s">
        <v>4257</v>
      </c>
      <c r="D1491" s="46" t="s">
        <v>392</v>
      </c>
      <c r="E1491" s="47" t="s">
        <v>102</v>
      </c>
      <c r="F1491" s="46" t="s">
        <v>102</v>
      </c>
      <c r="G1491" s="47" t="s">
        <v>102</v>
      </c>
      <c r="H1491" s="48">
        <v>0</v>
      </c>
      <c r="I1491" s="48">
        <v>0</v>
      </c>
      <c r="J1491" s="47" t="s">
        <v>4195</v>
      </c>
      <c r="K1491" s="49">
        <v>1</v>
      </c>
      <c r="L1491" s="49" t="s">
        <v>2614</v>
      </c>
      <c r="M1491" s="46" t="s">
        <v>117</v>
      </c>
      <c r="N1491" s="50">
        <v>0</v>
      </c>
      <c r="O1491" s="50">
        <v>0</v>
      </c>
      <c r="P1491" s="50">
        <v>0</v>
      </c>
      <c r="Q1491" s="46" t="s">
        <v>102</v>
      </c>
      <c r="R1491" s="46" t="s">
        <v>102</v>
      </c>
      <c r="S1491" s="46" t="s">
        <v>102</v>
      </c>
      <c r="T1491" s="46" t="s">
        <v>2854</v>
      </c>
      <c r="U1491" s="51">
        <v>4</v>
      </c>
    </row>
    <row r="1492" spans="2:21" ht="14.5" outlineLevel="3">
      <c r="B1492" s="44" t="s">
        <v>4258</v>
      </c>
      <c r="C1492" s="45" t="s">
        <v>4259</v>
      </c>
      <c r="D1492" s="46" t="s">
        <v>102</v>
      </c>
      <c r="E1492" s="47" t="s">
        <v>102</v>
      </c>
      <c r="F1492" s="46" t="s">
        <v>102</v>
      </c>
      <c r="G1492" s="47" t="s">
        <v>102</v>
      </c>
      <c r="H1492" s="48">
        <v>0</v>
      </c>
      <c r="I1492" s="48">
        <v>0</v>
      </c>
      <c r="J1492" s="47" t="s">
        <v>102</v>
      </c>
      <c r="K1492" s="49">
        <v>0</v>
      </c>
      <c r="L1492" s="49" t="s">
        <v>102</v>
      </c>
      <c r="M1492" s="46" t="s">
        <v>102</v>
      </c>
      <c r="N1492" s="50">
        <v>0</v>
      </c>
      <c r="O1492" s="50">
        <v>0</v>
      </c>
      <c r="P1492" s="50">
        <v>0</v>
      </c>
      <c r="Q1492" s="46" t="s">
        <v>102</v>
      </c>
      <c r="R1492" s="46" t="s">
        <v>4260</v>
      </c>
      <c r="S1492" s="46" t="s">
        <v>102</v>
      </c>
      <c r="T1492" s="46" t="s">
        <v>102</v>
      </c>
      <c r="U1492" s="51">
        <v>2</v>
      </c>
    </row>
    <row r="1493" spans="2:21" ht="14.5" outlineLevel="3">
      <c r="B1493" s="44" t="s">
        <v>4261</v>
      </c>
      <c r="C1493" s="45" t="s">
        <v>4262</v>
      </c>
      <c r="D1493" s="46" t="s">
        <v>102</v>
      </c>
      <c r="E1493" s="47" t="s">
        <v>102</v>
      </c>
      <c r="F1493" s="46" t="s">
        <v>102</v>
      </c>
      <c r="G1493" s="47" t="s">
        <v>102</v>
      </c>
      <c r="H1493" s="48">
        <v>0</v>
      </c>
      <c r="I1493" s="48">
        <v>0</v>
      </c>
      <c r="J1493" s="47" t="s">
        <v>102</v>
      </c>
      <c r="K1493" s="49">
        <v>0</v>
      </c>
      <c r="L1493" s="49" t="s">
        <v>102</v>
      </c>
      <c r="M1493" s="46" t="s">
        <v>102</v>
      </c>
      <c r="N1493" s="50">
        <v>0</v>
      </c>
      <c r="O1493" s="50">
        <v>0</v>
      </c>
      <c r="P1493" s="50">
        <v>0</v>
      </c>
      <c r="Q1493" s="46" t="s">
        <v>102</v>
      </c>
      <c r="R1493" s="46" t="s">
        <v>102</v>
      </c>
      <c r="S1493" s="46" t="s">
        <v>4263</v>
      </c>
      <c r="T1493" s="46" t="s">
        <v>102</v>
      </c>
      <c r="U1493" s="51">
        <v>3</v>
      </c>
    </row>
    <row r="1494" spans="2:21" ht="14.5" outlineLevel="2">
      <c r="B1494" s="36" t="s">
        <v>4264</v>
      </c>
      <c r="C1494" s="37" t="s">
        <v>4265</v>
      </c>
      <c r="D1494" s="38" t="s">
        <v>4002</v>
      </c>
      <c r="E1494" s="39" t="s">
        <v>102</v>
      </c>
      <c r="F1494" s="38" t="s">
        <v>102</v>
      </c>
      <c r="G1494" s="39" t="s">
        <v>102</v>
      </c>
      <c r="H1494" s="40">
        <v>0</v>
      </c>
      <c r="I1494" s="40">
        <v>0</v>
      </c>
      <c r="J1494" s="39" t="s">
        <v>3682</v>
      </c>
      <c r="K1494" s="41">
        <v>11</v>
      </c>
      <c r="L1494" s="41" t="s">
        <v>2614</v>
      </c>
      <c r="M1494" s="38" t="s">
        <v>117</v>
      </c>
      <c r="N1494" s="42">
        <v>0</v>
      </c>
      <c r="O1494" s="42">
        <v>0</v>
      </c>
      <c r="P1494" s="42">
        <v>0</v>
      </c>
      <c r="Q1494" s="38" t="s">
        <v>102</v>
      </c>
      <c r="R1494" s="38" t="s">
        <v>102</v>
      </c>
      <c r="S1494" s="38" t="s">
        <v>102</v>
      </c>
      <c r="T1494" s="38" t="s">
        <v>1019</v>
      </c>
      <c r="U1494" s="43">
        <v>4</v>
      </c>
    </row>
    <row r="1495" spans="2:21" ht="14.5" outlineLevel="3">
      <c r="B1495" s="44" t="s">
        <v>4266</v>
      </c>
      <c r="C1495" s="45" t="s">
        <v>4267</v>
      </c>
      <c r="D1495" s="46" t="s">
        <v>4002</v>
      </c>
      <c r="E1495" s="47" t="s">
        <v>102</v>
      </c>
      <c r="F1495" s="46" t="s">
        <v>102</v>
      </c>
      <c r="G1495" s="47" t="s">
        <v>102</v>
      </c>
      <c r="H1495" s="48">
        <v>0</v>
      </c>
      <c r="I1495" s="48">
        <v>0</v>
      </c>
      <c r="J1495" s="47" t="s">
        <v>3682</v>
      </c>
      <c r="K1495" s="49">
        <v>1</v>
      </c>
      <c r="L1495" s="49" t="s">
        <v>2614</v>
      </c>
      <c r="M1495" s="46" t="s">
        <v>117</v>
      </c>
      <c r="N1495" s="50">
        <v>0</v>
      </c>
      <c r="O1495" s="50">
        <v>0</v>
      </c>
      <c r="P1495" s="50">
        <v>0</v>
      </c>
      <c r="Q1495" s="46" t="s">
        <v>102</v>
      </c>
      <c r="R1495" s="46" t="s">
        <v>102</v>
      </c>
      <c r="S1495" s="46" t="s">
        <v>102</v>
      </c>
      <c r="T1495" s="46" t="s">
        <v>2815</v>
      </c>
      <c r="U1495" s="51">
        <v>4</v>
      </c>
    </row>
    <row r="1496" spans="2:21" ht="14.5" outlineLevel="2">
      <c r="B1496" s="36" t="s">
        <v>4268</v>
      </c>
      <c r="C1496" s="37" t="s">
        <v>4269</v>
      </c>
      <c r="D1496" s="38" t="s">
        <v>4002</v>
      </c>
      <c r="E1496" s="39" t="s">
        <v>102</v>
      </c>
      <c r="F1496" s="38" t="s">
        <v>102</v>
      </c>
      <c r="G1496" s="39" t="s">
        <v>102</v>
      </c>
      <c r="H1496" s="40">
        <v>0</v>
      </c>
      <c r="I1496" s="40">
        <v>0</v>
      </c>
      <c r="J1496" s="39" t="s">
        <v>3682</v>
      </c>
      <c r="K1496" s="41">
        <v>1</v>
      </c>
      <c r="L1496" s="41" t="s">
        <v>2614</v>
      </c>
      <c r="M1496" s="38" t="s">
        <v>117</v>
      </c>
      <c r="N1496" s="42">
        <v>0</v>
      </c>
      <c r="O1496" s="42">
        <v>0</v>
      </c>
      <c r="P1496" s="42">
        <v>0</v>
      </c>
      <c r="Q1496" s="38" t="s">
        <v>102</v>
      </c>
      <c r="R1496" s="38" t="s">
        <v>102</v>
      </c>
      <c r="S1496" s="38" t="s">
        <v>102</v>
      </c>
      <c r="T1496" s="38" t="s">
        <v>2828</v>
      </c>
      <c r="U1496" s="43">
        <v>4</v>
      </c>
    </row>
    <row r="1497" spans="2:21" ht="14.5" outlineLevel="3">
      <c r="B1497" s="44" t="s">
        <v>4270</v>
      </c>
      <c r="C1497" s="45" t="s">
        <v>4271</v>
      </c>
      <c r="D1497" s="46" t="s">
        <v>392</v>
      </c>
      <c r="E1497" s="47" t="s">
        <v>102</v>
      </c>
      <c r="F1497" s="46" t="s">
        <v>102</v>
      </c>
      <c r="G1497" s="47" t="s">
        <v>102</v>
      </c>
      <c r="H1497" s="48">
        <v>0</v>
      </c>
      <c r="I1497" s="48">
        <v>0</v>
      </c>
      <c r="J1497" s="47" t="s">
        <v>3682</v>
      </c>
      <c r="K1497" s="49">
        <v>1</v>
      </c>
      <c r="L1497" s="49" t="s">
        <v>2614</v>
      </c>
      <c r="M1497" s="46" t="s">
        <v>117</v>
      </c>
      <c r="N1497" s="50">
        <v>0</v>
      </c>
      <c r="O1497" s="50">
        <v>0</v>
      </c>
      <c r="P1497" s="50">
        <v>0</v>
      </c>
      <c r="Q1497" s="46" t="s">
        <v>102</v>
      </c>
      <c r="R1497" s="46" t="s">
        <v>102</v>
      </c>
      <c r="S1497" s="46" t="s">
        <v>102</v>
      </c>
      <c r="T1497" s="46" t="s">
        <v>2831</v>
      </c>
      <c r="U1497" s="51">
        <v>4</v>
      </c>
    </row>
    <row r="1498" spans="2:21" ht="14.5" outlineLevel="3">
      <c r="B1498" s="44" t="s">
        <v>4272</v>
      </c>
      <c r="C1498" s="45" t="s">
        <v>4273</v>
      </c>
      <c r="D1498" s="46" t="s">
        <v>4002</v>
      </c>
      <c r="E1498" s="47" t="s">
        <v>102</v>
      </c>
      <c r="F1498" s="46" t="s">
        <v>102</v>
      </c>
      <c r="G1498" s="47" t="s">
        <v>102</v>
      </c>
      <c r="H1498" s="48">
        <v>0</v>
      </c>
      <c r="I1498" s="48">
        <v>0</v>
      </c>
      <c r="J1498" s="47" t="s">
        <v>3788</v>
      </c>
      <c r="K1498" s="49">
        <v>1</v>
      </c>
      <c r="L1498" s="49" t="s">
        <v>2614</v>
      </c>
      <c r="M1498" s="46" t="s">
        <v>117</v>
      </c>
      <c r="N1498" s="50">
        <v>0</v>
      </c>
      <c r="O1498" s="50">
        <v>0</v>
      </c>
      <c r="P1498" s="50">
        <v>0</v>
      </c>
      <c r="Q1498" s="46" t="s">
        <v>102</v>
      </c>
      <c r="R1498" s="46" t="s">
        <v>102</v>
      </c>
      <c r="S1498" s="46" t="s">
        <v>102</v>
      </c>
      <c r="T1498" s="46" t="s">
        <v>2666</v>
      </c>
      <c r="U1498" s="51">
        <v>4</v>
      </c>
    </row>
    <row r="1499" spans="2:21" ht="14.5" outlineLevel="3">
      <c r="B1499" s="44" t="s">
        <v>4274</v>
      </c>
      <c r="C1499" s="45" t="s">
        <v>4275</v>
      </c>
      <c r="D1499" s="46" t="s">
        <v>392</v>
      </c>
      <c r="E1499" s="47" t="s">
        <v>102</v>
      </c>
      <c r="F1499" s="46" t="s">
        <v>102</v>
      </c>
      <c r="G1499" s="47" t="s">
        <v>102</v>
      </c>
      <c r="H1499" s="48">
        <v>0</v>
      </c>
      <c r="I1499" s="48">
        <v>0</v>
      </c>
      <c r="J1499" s="47" t="s">
        <v>3682</v>
      </c>
      <c r="K1499" s="49">
        <v>1</v>
      </c>
      <c r="L1499" s="49" t="s">
        <v>2614</v>
      </c>
      <c r="M1499" s="46" t="s">
        <v>117</v>
      </c>
      <c r="N1499" s="50">
        <v>0</v>
      </c>
      <c r="O1499" s="50">
        <v>0</v>
      </c>
      <c r="P1499" s="50">
        <v>0</v>
      </c>
      <c r="Q1499" s="46" t="s">
        <v>102</v>
      </c>
      <c r="R1499" s="46" t="s">
        <v>102</v>
      </c>
      <c r="S1499" s="46" t="s">
        <v>102</v>
      </c>
      <c r="T1499" s="46" t="s">
        <v>2854</v>
      </c>
      <c r="U1499" s="51">
        <v>4</v>
      </c>
    </row>
    <row r="1500" spans="2:21" ht="14.5" outlineLevel="3">
      <c r="B1500" s="44" t="s">
        <v>4276</v>
      </c>
      <c r="C1500" s="45" t="s">
        <v>4277</v>
      </c>
      <c r="D1500" s="46" t="s">
        <v>102</v>
      </c>
      <c r="E1500" s="47" t="s">
        <v>102</v>
      </c>
      <c r="F1500" s="46" t="s">
        <v>102</v>
      </c>
      <c r="G1500" s="47" t="s">
        <v>102</v>
      </c>
      <c r="H1500" s="48">
        <v>0</v>
      </c>
      <c r="I1500" s="48">
        <v>0</v>
      </c>
      <c r="J1500" s="47" t="s">
        <v>102</v>
      </c>
      <c r="K1500" s="49">
        <v>0</v>
      </c>
      <c r="L1500" s="49" t="s">
        <v>102</v>
      </c>
      <c r="M1500" s="46" t="s">
        <v>102</v>
      </c>
      <c r="N1500" s="50">
        <v>0</v>
      </c>
      <c r="O1500" s="50">
        <v>0</v>
      </c>
      <c r="P1500" s="50">
        <v>0</v>
      </c>
      <c r="Q1500" s="46" t="s">
        <v>102</v>
      </c>
      <c r="R1500" s="46" t="s">
        <v>102</v>
      </c>
      <c r="S1500" s="46" t="s">
        <v>4278</v>
      </c>
      <c r="T1500" s="46" t="s">
        <v>102</v>
      </c>
      <c r="U1500" s="51">
        <v>3</v>
      </c>
    </row>
    <row r="1501" spans="2:21" ht="14.5" outlineLevel="3">
      <c r="B1501" s="44" t="s">
        <v>4279</v>
      </c>
      <c r="C1501" s="45" t="s">
        <v>4280</v>
      </c>
      <c r="D1501" s="46" t="s">
        <v>4002</v>
      </c>
      <c r="E1501" s="47" t="s">
        <v>102</v>
      </c>
      <c r="F1501" s="46" t="s">
        <v>102</v>
      </c>
      <c r="G1501" s="47" t="s">
        <v>102</v>
      </c>
      <c r="H1501" s="48">
        <v>0</v>
      </c>
      <c r="I1501" s="48">
        <v>0</v>
      </c>
      <c r="J1501" s="47" t="s">
        <v>4281</v>
      </c>
      <c r="K1501" s="49">
        <v>1</v>
      </c>
      <c r="L1501" s="49" t="s">
        <v>2614</v>
      </c>
      <c r="M1501" s="46" t="s">
        <v>117</v>
      </c>
      <c r="N1501" s="50">
        <v>0</v>
      </c>
      <c r="O1501" s="50">
        <v>0</v>
      </c>
      <c r="P1501" s="50">
        <v>0</v>
      </c>
      <c r="Q1501" s="46" t="s">
        <v>102</v>
      </c>
      <c r="R1501" s="46" t="s">
        <v>102</v>
      </c>
      <c r="S1501" s="46" t="s">
        <v>102</v>
      </c>
      <c r="T1501" s="46" t="s">
        <v>1019</v>
      </c>
      <c r="U1501" s="51">
        <v>4</v>
      </c>
    </row>
    <row r="1502" spans="2:21" ht="14.5" outlineLevel="3">
      <c r="B1502" s="44" t="s">
        <v>4282</v>
      </c>
      <c r="C1502" s="45" t="s">
        <v>4283</v>
      </c>
      <c r="D1502" s="46" t="s">
        <v>102</v>
      </c>
      <c r="E1502" s="47" t="s">
        <v>102</v>
      </c>
      <c r="F1502" s="46" t="s">
        <v>102</v>
      </c>
      <c r="G1502" s="47" t="s">
        <v>102</v>
      </c>
      <c r="H1502" s="48">
        <v>0</v>
      </c>
      <c r="I1502" s="48">
        <v>0</v>
      </c>
      <c r="J1502" s="47" t="s">
        <v>102</v>
      </c>
      <c r="K1502" s="49">
        <v>0</v>
      </c>
      <c r="L1502" s="49" t="s">
        <v>102</v>
      </c>
      <c r="M1502" s="46" t="s">
        <v>102</v>
      </c>
      <c r="N1502" s="50">
        <v>0</v>
      </c>
      <c r="O1502" s="50">
        <v>0</v>
      </c>
      <c r="P1502" s="50">
        <v>0</v>
      </c>
      <c r="Q1502" s="46" t="s">
        <v>102</v>
      </c>
      <c r="R1502" s="46" t="s">
        <v>102</v>
      </c>
      <c r="S1502" s="46" t="s">
        <v>4284</v>
      </c>
      <c r="T1502" s="46" t="s">
        <v>102</v>
      </c>
      <c r="U1502" s="51">
        <v>3</v>
      </c>
    </row>
    <row r="1503" spans="2:21" ht="14.5" outlineLevel="3">
      <c r="B1503" s="44" t="s">
        <v>4285</v>
      </c>
      <c r="C1503" s="45" t="s">
        <v>4286</v>
      </c>
      <c r="D1503" s="46" t="s">
        <v>4002</v>
      </c>
      <c r="E1503" s="47" t="s">
        <v>102</v>
      </c>
      <c r="F1503" s="46" t="s">
        <v>102</v>
      </c>
      <c r="G1503" s="47" t="s">
        <v>102</v>
      </c>
      <c r="H1503" s="48">
        <v>0</v>
      </c>
      <c r="I1503" s="48">
        <v>0</v>
      </c>
      <c r="J1503" s="47" t="s">
        <v>4287</v>
      </c>
      <c r="K1503" s="49">
        <v>1</v>
      </c>
      <c r="L1503" s="49" t="s">
        <v>2614</v>
      </c>
      <c r="M1503" s="46" t="s">
        <v>117</v>
      </c>
      <c r="N1503" s="50">
        <v>0</v>
      </c>
      <c r="O1503" s="50">
        <v>0</v>
      </c>
      <c r="P1503" s="50">
        <v>0</v>
      </c>
      <c r="Q1503" s="46" t="s">
        <v>102</v>
      </c>
      <c r="R1503" s="46" t="s">
        <v>102</v>
      </c>
      <c r="S1503" s="46" t="s">
        <v>102</v>
      </c>
      <c r="T1503" s="46" t="s">
        <v>1019</v>
      </c>
      <c r="U1503" s="51">
        <v>4</v>
      </c>
    </row>
    <row r="1504" spans="2:21" ht="14.5" outlineLevel="3">
      <c r="B1504" s="44" t="s">
        <v>4288</v>
      </c>
      <c r="C1504" s="45" t="s">
        <v>4289</v>
      </c>
      <c r="D1504" s="46" t="s">
        <v>4002</v>
      </c>
      <c r="E1504" s="47" t="s">
        <v>102</v>
      </c>
      <c r="F1504" s="46" t="s">
        <v>102</v>
      </c>
      <c r="G1504" s="47" t="s">
        <v>102</v>
      </c>
      <c r="H1504" s="48">
        <v>0</v>
      </c>
      <c r="I1504" s="48">
        <v>0</v>
      </c>
      <c r="J1504" s="47" t="s">
        <v>4287</v>
      </c>
      <c r="K1504" s="49">
        <v>1</v>
      </c>
      <c r="L1504" s="49" t="s">
        <v>2614</v>
      </c>
      <c r="M1504" s="46" t="s">
        <v>117</v>
      </c>
      <c r="N1504" s="50">
        <v>0</v>
      </c>
      <c r="O1504" s="50">
        <v>0</v>
      </c>
      <c r="P1504" s="50">
        <v>0</v>
      </c>
      <c r="Q1504" s="46" t="s">
        <v>102</v>
      </c>
      <c r="R1504" s="46" t="s">
        <v>102</v>
      </c>
      <c r="S1504" s="46" t="s">
        <v>102</v>
      </c>
      <c r="T1504" s="46" t="s">
        <v>2828</v>
      </c>
      <c r="U1504" s="51">
        <v>4</v>
      </c>
    </row>
    <row r="1505" spans="2:21" ht="14.5" outlineLevel="3">
      <c r="B1505" s="44" t="s">
        <v>4290</v>
      </c>
      <c r="C1505" s="45" t="s">
        <v>4291</v>
      </c>
      <c r="D1505" s="46" t="s">
        <v>4002</v>
      </c>
      <c r="E1505" s="47" t="s">
        <v>102</v>
      </c>
      <c r="F1505" s="46" t="s">
        <v>102</v>
      </c>
      <c r="G1505" s="47" t="s">
        <v>102</v>
      </c>
      <c r="H1505" s="48">
        <v>0</v>
      </c>
      <c r="I1505" s="48">
        <v>0</v>
      </c>
      <c r="J1505" s="47" t="s">
        <v>4287</v>
      </c>
      <c r="K1505" s="49">
        <v>1</v>
      </c>
      <c r="L1505" s="49" t="s">
        <v>2614</v>
      </c>
      <c r="M1505" s="46" t="s">
        <v>117</v>
      </c>
      <c r="N1505" s="50">
        <v>0</v>
      </c>
      <c r="O1505" s="50">
        <v>0</v>
      </c>
      <c r="P1505" s="50">
        <v>0</v>
      </c>
      <c r="Q1505" s="46" t="s">
        <v>102</v>
      </c>
      <c r="R1505" s="46" t="s">
        <v>102</v>
      </c>
      <c r="S1505" s="46" t="s">
        <v>102</v>
      </c>
      <c r="T1505" s="46" t="s">
        <v>3495</v>
      </c>
      <c r="U1505" s="51">
        <v>4</v>
      </c>
    </row>
    <row r="1506" spans="2:21" ht="14.5" outlineLevel="3">
      <c r="B1506" s="44" t="s">
        <v>4292</v>
      </c>
      <c r="C1506" s="45" t="s">
        <v>4293</v>
      </c>
      <c r="D1506" s="46" t="s">
        <v>4002</v>
      </c>
      <c r="E1506" s="47" t="s">
        <v>102</v>
      </c>
      <c r="F1506" s="46" t="s">
        <v>102</v>
      </c>
      <c r="G1506" s="47" t="s">
        <v>102</v>
      </c>
      <c r="H1506" s="48">
        <v>0</v>
      </c>
      <c r="I1506" s="48">
        <v>0</v>
      </c>
      <c r="J1506" s="47" t="s">
        <v>4287</v>
      </c>
      <c r="K1506" s="49">
        <v>1</v>
      </c>
      <c r="L1506" s="49" t="s">
        <v>2614</v>
      </c>
      <c r="M1506" s="46" t="s">
        <v>117</v>
      </c>
      <c r="N1506" s="50">
        <v>0</v>
      </c>
      <c r="O1506" s="50">
        <v>0</v>
      </c>
      <c r="P1506" s="50">
        <v>0</v>
      </c>
      <c r="Q1506" s="46" t="s">
        <v>102</v>
      </c>
      <c r="R1506" s="46" t="s">
        <v>102</v>
      </c>
      <c r="S1506" s="46" t="s">
        <v>102</v>
      </c>
      <c r="T1506" s="46" t="s">
        <v>2831</v>
      </c>
      <c r="U1506" s="51">
        <v>4</v>
      </c>
    </row>
    <row r="1507" spans="2:21" ht="14.5" outlineLevel="3">
      <c r="B1507" s="44" t="s">
        <v>4294</v>
      </c>
      <c r="C1507" s="45" t="s">
        <v>4295</v>
      </c>
      <c r="D1507" s="46" t="s">
        <v>392</v>
      </c>
      <c r="E1507" s="47" t="s">
        <v>102</v>
      </c>
      <c r="F1507" s="46" t="s">
        <v>102</v>
      </c>
      <c r="G1507" s="47" t="s">
        <v>102</v>
      </c>
      <c r="H1507" s="48">
        <v>0</v>
      </c>
      <c r="I1507" s="48">
        <v>0</v>
      </c>
      <c r="J1507" s="47" t="s">
        <v>4287</v>
      </c>
      <c r="K1507" s="49">
        <v>1</v>
      </c>
      <c r="L1507" s="49" t="s">
        <v>2614</v>
      </c>
      <c r="M1507" s="46" t="s">
        <v>117</v>
      </c>
      <c r="N1507" s="50">
        <v>0</v>
      </c>
      <c r="O1507" s="50">
        <v>0</v>
      </c>
      <c r="P1507" s="50">
        <v>0</v>
      </c>
      <c r="Q1507" s="46" t="s">
        <v>102</v>
      </c>
      <c r="R1507" s="46" t="s">
        <v>102</v>
      </c>
      <c r="S1507" s="46" t="s">
        <v>102</v>
      </c>
      <c r="T1507" s="46" t="s">
        <v>527</v>
      </c>
      <c r="U1507" s="51">
        <v>4</v>
      </c>
    </row>
    <row r="1508" spans="2:21" ht="14.5" outlineLevel="3">
      <c r="B1508" s="44" t="s">
        <v>4296</v>
      </c>
      <c r="C1508" s="45" t="s">
        <v>4297</v>
      </c>
      <c r="D1508" s="46" t="s">
        <v>392</v>
      </c>
      <c r="E1508" s="47" t="s">
        <v>102</v>
      </c>
      <c r="F1508" s="46" t="s">
        <v>102</v>
      </c>
      <c r="G1508" s="47" t="s">
        <v>102</v>
      </c>
      <c r="H1508" s="48">
        <v>0</v>
      </c>
      <c r="I1508" s="48">
        <v>0</v>
      </c>
      <c r="J1508" s="47" t="s">
        <v>4287</v>
      </c>
      <c r="K1508" s="49">
        <v>1</v>
      </c>
      <c r="L1508" s="49" t="s">
        <v>2614</v>
      </c>
      <c r="M1508" s="46" t="s">
        <v>117</v>
      </c>
      <c r="N1508" s="50">
        <v>0</v>
      </c>
      <c r="O1508" s="50">
        <v>0</v>
      </c>
      <c r="P1508" s="50">
        <v>0</v>
      </c>
      <c r="Q1508" s="46" t="s">
        <v>102</v>
      </c>
      <c r="R1508" s="46" t="s">
        <v>102</v>
      </c>
      <c r="S1508" s="46" t="s">
        <v>102</v>
      </c>
      <c r="T1508" s="46" t="s">
        <v>532</v>
      </c>
      <c r="U1508" s="51">
        <v>4</v>
      </c>
    </row>
    <row r="1509" spans="2:21" ht="14.5" outlineLevel="3">
      <c r="B1509" s="44" t="s">
        <v>4298</v>
      </c>
      <c r="C1509" s="45" t="s">
        <v>4299</v>
      </c>
      <c r="D1509" s="46" t="s">
        <v>392</v>
      </c>
      <c r="E1509" s="47" t="s">
        <v>102</v>
      </c>
      <c r="F1509" s="46" t="s">
        <v>102</v>
      </c>
      <c r="G1509" s="47" t="s">
        <v>102</v>
      </c>
      <c r="H1509" s="48">
        <v>0</v>
      </c>
      <c r="I1509" s="48">
        <v>0</v>
      </c>
      <c r="J1509" s="47" t="s">
        <v>4287</v>
      </c>
      <c r="K1509" s="49">
        <v>1</v>
      </c>
      <c r="L1509" s="49" t="s">
        <v>2614</v>
      </c>
      <c r="M1509" s="46" t="s">
        <v>117</v>
      </c>
      <c r="N1509" s="50">
        <v>0</v>
      </c>
      <c r="O1509" s="50">
        <v>0</v>
      </c>
      <c r="P1509" s="50">
        <v>0</v>
      </c>
      <c r="Q1509" s="46" t="s">
        <v>102</v>
      </c>
      <c r="R1509" s="46" t="s">
        <v>102</v>
      </c>
      <c r="S1509" s="46" t="s">
        <v>102</v>
      </c>
      <c r="T1509" s="46" t="s">
        <v>4300</v>
      </c>
      <c r="U1509" s="51">
        <v>4</v>
      </c>
    </row>
    <row r="1510" spans="2:21" ht="14.5" outlineLevel="3">
      <c r="B1510" s="44" t="s">
        <v>4301</v>
      </c>
      <c r="C1510" s="45" t="s">
        <v>4302</v>
      </c>
      <c r="D1510" s="46" t="s">
        <v>392</v>
      </c>
      <c r="E1510" s="47" t="s">
        <v>102</v>
      </c>
      <c r="F1510" s="46" t="s">
        <v>102</v>
      </c>
      <c r="G1510" s="47" t="s">
        <v>102</v>
      </c>
      <c r="H1510" s="48">
        <v>0</v>
      </c>
      <c r="I1510" s="48">
        <v>0</v>
      </c>
      <c r="J1510" s="47" t="s">
        <v>4287</v>
      </c>
      <c r="K1510" s="49">
        <v>1</v>
      </c>
      <c r="L1510" s="49" t="s">
        <v>2614</v>
      </c>
      <c r="M1510" s="46" t="s">
        <v>117</v>
      </c>
      <c r="N1510" s="50">
        <v>0</v>
      </c>
      <c r="O1510" s="50">
        <v>0</v>
      </c>
      <c r="P1510" s="50">
        <v>0</v>
      </c>
      <c r="Q1510" s="46" t="s">
        <v>102</v>
      </c>
      <c r="R1510" s="46" t="s">
        <v>102</v>
      </c>
      <c r="S1510" s="46" t="s">
        <v>102</v>
      </c>
      <c r="T1510" s="46" t="s">
        <v>4303</v>
      </c>
      <c r="U1510" s="51">
        <v>4</v>
      </c>
    </row>
    <row r="1511" spans="2:21" ht="14.5" outlineLevel="3">
      <c r="B1511" s="44" t="s">
        <v>4304</v>
      </c>
      <c r="C1511" s="45" t="s">
        <v>4305</v>
      </c>
      <c r="D1511" s="46" t="s">
        <v>392</v>
      </c>
      <c r="E1511" s="47" t="s">
        <v>102</v>
      </c>
      <c r="F1511" s="46" t="s">
        <v>102</v>
      </c>
      <c r="G1511" s="47" t="s">
        <v>102</v>
      </c>
      <c r="H1511" s="48">
        <v>0</v>
      </c>
      <c r="I1511" s="48">
        <v>0</v>
      </c>
      <c r="J1511" s="47" t="s">
        <v>4287</v>
      </c>
      <c r="K1511" s="49">
        <v>1</v>
      </c>
      <c r="L1511" s="49" t="s">
        <v>2614</v>
      </c>
      <c r="M1511" s="46" t="s">
        <v>117</v>
      </c>
      <c r="N1511" s="50">
        <v>0</v>
      </c>
      <c r="O1511" s="50">
        <v>0</v>
      </c>
      <c r="P1511" s="50">
        <v>0</v>
      </c>
      <c r="Q1511" s="46" t="s">
        <v>102</v>
      </c>
      <c r="R1511" s="46" t="s">
        <v>102</v>
      </c>
      <c r="S1511" s="46" t="s">
        <v>102</v>
      </c>
      <c r="T1511" s="46" t="s">
        <v>4306</v>
      </c>
      <c r="U1511" s="51">
        <v>4</v>
      </c>
    </row>
    <row r="1512" spans="2:21" ht="14.5" outlineLevel="3">
      <c r="B1512" s="44" t="s">
        <v>4307</v>
      </c>
      <c r="C1512" s="45" t="s">
        <v>4308</v>
      </c>
      <c r="D1512" s="46" t="s">
        <v>392</v>
      </c>
      <c r="E1512" s="47" t="s">
        <v>102</v>
      </c>
      <c r="F1512" s="46" t="s">
        <v>102</v>
      </c>
      <c r="G1512" s="47" t="s">
        <v>102</v>
      </c>
      <c r="H1512" s="48">
        <v>0</v>
      </c>
      <c r="I1512" s="48">
        <v>0</v>
      </c>
      <c r="J1512" s="47" t="s">
        <v>4287</v>
      </c>
      <c r="K1512" s="49">
        <v>1</v>
      </c>
      <c r="L1512" s="49" t="s">
        <v>2614</v>
      </c>
      <c r="M1512" s="46" t="s">
        <v>117</v>
      </c>
      <c r="N1512" s="50">
        <v>0</v>
      </c>
      <c r="O1512" s="50">
        <v>0</v>
      </c>
      <c r="P1512" s="50">
        <v>0</v>
      </c>
      <c r="Q1512" s="46" t="s">
        <v>102</v>
      </c>
      <c r="R1512" s="46" t="s">
        <v>102</v>
      </c>
      <c r="S1512" s="46" t="s">
        <v>102</v>
      </c>
      <c r="T1512" s="46" t="s">
        <v>4309</v>
      </c>
      <c r="U1512" s="51">
        <v>4</v>
      </c>
    </row>
    <row r="1513" spans="2:21" ht="14.5" outlineLevel="3">
      <c r="B1513" s="44" t="s">
        <v>4310</v>
      </c>
      <c r="C1513" s="45" t="s">
        <v>4311</v>
      </c>
      <c r="D1513" s="46" t="s">
        <v>392</v>
      </c>
      <c r="E1513" s="47" t="s">
        <v>102</v>
      </c>
      <c r="F1513" s="46" t="s">
        <v>102</v>
      </c>
      <c r="G1513" s="47" t="s">
        <v>102</v>
      </c>
      <c r="H1513" s="48">
        <v>0</v>
      </c>
      <c r="I1513" s="48">
        <v>0</v>
      </c>
      <c r="J1513" s="47" t="s">
        <v>4287</v>
      </c>
      <c r="K1513" s="49">
        <v>1</v>
      </c>
      <c r="L1513" s="49" t="s">
        <v>2614</v>
      </c>
      <c r="M1513" s="46" t="s">
        <v>117</v>
      </c>
      <c r="N1513" s="50">
        <v>0</v>
      </c>
      <c r="O1513" s="50">
        <v>0</v>
      </c>
      <c r="P1513" s="50">
        <v>0</v>
      </c>
      <c r="Q1513" s="46" t="s">
        <v>102</v>
      </c>
      <c r="R1513" s="46" t="s">
        <v>102</v>
      </c>
      <c r="S1513" s="46" t="s">
        <v>102</v>
      </c>
      <c r="T1513" s="46" t="s">
        <v>4312</v>
      </c>
      <c r="U1513" s="51">
        <v>4</v>
      </c>
    </row>
    <row r="1514" spans="2:21" ht="14.5" outlineLevel="3">
      <c r="B1514" s="44" t="s">
        <v>4313</v>
      </c>
      <c r="C1514" s="45" t="s">
        <v>4314</v>
      </c>
      <c r="D1514" s="46" t="s">
        <v>392</v>
      </c>
      <c r="E1514" s="47" t="s">
        <v>102</v>
      </c>
      <c r="F1514" s="46" t="s">
        <v>102</v>
      </c>
      <c r="G1514" s="47" t="s">
        <v>102</v>
      </c>
      <c r="H1514" s="48">
        <v>0</v>
      </c>
      <c r="I1514" s="48">
        <v>0</v>
      </c>
      <c r="J1514" s="47" t="s">
        <v>4287</v>
      </c>
      <c r="K1514" s="49">
        <v>1</v>
      </c>
      <c r="L1514" s="49" t="s">
        <v>2614</v>
      </c>
      <c r="M1514" s="46" t="s">
        <v>117</v>
      </c>
      <c r="N1514" s="50">
        <v>0</v>
      </c>
      <c r="O1514" s="50">
        <v>0</v>
      </c>
      <c r="P1514" s="50">
        <v>0</v>
      </c>
      <c r="Q1514" s="46" t="s">
        <v>102</v>
      </c>
      <c r="R1514" s="46" t="s">
        <v>102</v>
      </c>
      <c r="S1514" s="46" t="s">
        <v>102</v>
      </c>
      <c r="T1514" s="46" t="s">
        <v>4315</v>
      </c>
      <c r="U1514" s="51">
        <v>4</v>
      </c>
    </row>
    <row r="1515" spans="2:21" ht="14.5" outlineLevel="3">
      <c r="B1515" s="44" t="s">
        <v>4316</v>
      </c>
      <c r="C1515" s="45" t="s">
        <v>4317</v>
      </c>
      <c r="D1515" s="46" t="s">
        <v>458</v>
      </c>
      <c r="E1515" s="47" t="s">
        <v>102</v>
      </c>
      <c r="F1515" s="46" t="s">
        <v>102</v>
      </c>
      <c r="G1515" s="47" t="s">
        <v>102</v>
      </c>
      <c r="H1515" s="48">
        <v>0</v>
      </c>
      <c r="I1515" s="48">
        <v>0</v>
      </c>
      <c r="J1515" s="47" t="s">
        <v>4287</v>
      </c>
      <c r="K1515" s="49">
        <v>1</v>
      </c>
      <c r="L1515" s="49" t="s">
        <v>2614</v>
      </c>
      <c r="M1515" s="46" t="s">
        <v>117</v>
      </c>
      <c r="N1515" s="50">
        <v>0</v>
      </c>
      <c r="O1515" s="50">
        <v>0</v>
      </c>
      <c r="P1515" s="50">
        <v>0</v>
      </c>
      <c r="Q1515" s="46" t="s">
        <v>102</v>
      </c>
      <c r="R1515" s="46" t="s">
        <v>102</v>
      </c>
      <c r="S1515" s="46" t="s">
        <v>102</v>
      </c>
      <c r="T1515" s="46" t="s">
        <v>2666</v>
      </c>
      <c r="U1515" s="51">
        <v>4</v>
      </c>
    </row>
    <row r="1516" spans="2:21" ht="14.5" outlineLevel="3">
      <c r="B1516" s="44" t="s">
        <v>4318</v>
      </c>
      <c r="C1516" s="45" t="s">
        <v>4319</v>
      </c>
      <c r="D1516" s="46" t="s">
        <v>458</v>
      </c>
      <c r="E1516" s="47" t="s">
        <v>102</v>
      </c>
      <c r="F1516" s="46" t="s">
        <v>102</v>
      </c>
      <c r="G1516" s="47" t="s">
        <v>102</v>
      </c>
      <c r="H1516" s="48">
        <v>0</v>
      </c>
      <c r="I1516" s="48">
        <v>0</v>
      </c>
      <c r="J1516" s="47" t="s">
        <v>4287</v>
      </c>
      <c r="K1516" s="49">
        <v>1</v>
      </c>
      <c r="L1516" s="49" t="s">
        <v>2614</v>
      </c>
      <c r="M1516" s="46" t="s">
        <v>117</v>
      </c>
      <c r="N1516" s="50">
        <v>0</v>
      </c>
      <c r="O1516" s="50">
        <v>0</v>
      </c>
      <c r="P1516" s="50">
        <v>0</v>
      </c>
      <c r="Q1516" s="46" t="s">
        <v>102</v>
      </c>
      <c r="R1516" s="46" t="s">
        <v>102</v>
      </c>
      <c r="S1516" s="46" t="s">
        <v>102</v>
      </c>
      <c r="T1516" s="46" t="s">
        <v>3088</v>
      </c>
      <c r="U1516" s="51">
        <v>4</v>
      </c>
    </row>
    <row r="1517" spans="2:21" ht="14.5" outlineLevel="3">
      <c r="B1517" s="44" t="s">
        <v>4320</v>
      </c>
      <c r="C1517" s="45" t="s">
        <v>4321</v>
      </c>
      <c r="D1517" s="46" t="s">
        <v>458</v>
      </c>
      <c r="E1517" s="47" t="s">
        <v>102</v>
      </c>
      <c r="F1517" s="46" t="s">
        <v>102</v>
      </c>
      <c r="G1517" s="47" t="s">
        <v>102</v>
      </c>
      <c r="H1517" s="48">
        <v>0</v>
      </c>
      <c r="I1517" s="48">
        <v>0</v>
      </c>
      <c r="J1517" s="47" t="s">
        <v>4287</v>
      </c>
      <c r="K1517" s="49">
        <v>1</v>
      </c>
      <c r="L1517" s="49" t="s">
        <v>2614</v>
      </c>
      <c r="M1517" s="46" t="s">
        <v>117</v>
      </c>
      <c r="N1517" s="50">
        <v>0</v>
      </c>
      <c r="O1517" s="50">
        <v>0</v>
      </c>
      <c r="P1517" s="50">
        <v>0</v>
      </c>
      <c r="Q1517" s="46" t="s">
        <v>102</v>
      </c>
      <c r="R1517" s="46" t="s">
        <v>102</v>
      </c>
      <c r="S1517" s="46" t="s">
        <v>102</v>
      </c>
      <c r="T1517" s="46" t="s">
        <v>3091</v>
      </c>
      <c r="U1517" s="51">
        <v>4</v>
      </c>
    </row>
    <row r="1518" spans="2:21" ht="14.5" outlineLevel="2">
      <c r="B1518" s="36" t="s">
        <v>4322</v>
      </c>
      <c r="C1518" s="37" t="s">
        <v>4323</v>
      </c>
      <c r="D1518" s="38" t="s">
        <v>458</v>
      </c>
      <c r="E1518" s="39" t="s">
        <v>102</v>
      </c>
      <c r="F1518" s="38" t="s">
        <v>102</v>
      </c>
      <c r="G1518" s="39" t="s">
        <v>102</v>
      </c>
      <c r="H1518" s="40">
        <v>0</v>
      </c>
      <c r="I1518" s="40">
        <v>0</v>
      </c>
      <c r="J1518" s="39" t="s">
        <v>4287</v>
      </c>
      <c r="K1518" s="41">
        <v>1</v>
      </c>
      <c r="L1518" s="41" t="s">
        <v>2614</v>
      </c>
      <c r="M1518" s="38" t="s">
        <v>117</v>
      </c>
      <c r="N1518" s="42">
        <v>0</v>
      </c>
      <c r="O1518" s="42">
        <v>0</v>
      </c>
      <c r="P1518" s="42">
        <v>0</v>
      </c>
      <c r="Q1518" s="38" t="s">
        <v>102</v>
      </c>
      <c r="R1518" s="38" t="s">
        <v>102</v>
      </c>
      <c r="S1518" s="38" t="s">
        <v>102</v>
      </c>
      <c r="T1518" s="38" t="s">
        <v>3094</v>
      </c>
      <c r="U1518" s="43">
        <v>4</v>
      </c>
    </row>
    <row r="1519" spans="2:21" ht="14.5" outlineLevel="3">
      <c r="B1519" s="44" t="s">
        <v>4324</v>
      </c>
      <c r="C1519" s="45" t="s">
        <v>4325</v>
      </c>
      <c r="D1519" s="46" t="s">
        <v>392</v>
      </c>
      <c r="E1519" s="47" t="s">
        <v>102</v>
      </c>
      <c r="F1519" s="46" t="s">
        <v>102</v>
      </c>
      <c r="G1519" s="47" t="s">
        <v>102</v>
      </c>
      <c r="H1519" s="48">
        <v>0</v>
      </c>
      <c r="I1519" s="48">
        <v>0</v>
      </c>
      <c r="J1519" s="47" t="s">
        <v>4326</v>
      </c>
      <c r="K1519" s="49">
        <v>1</v>
      </c>
      <c r="L1519" s="49" t="s">
        <v>2614</v>
      </c>
      <c r="M1519" s="46" t="s">
        <v>117</v>
      </c>
      <c r="N1519" s="50">
        <v>0</v>
      </c>
      <c r="O1519" s="50">
        <v>0</v>
      </c>
      <c r="P1519" s="50">
        <v>0</v>
      </c>
      <c r="Q1519" s="46" t="s">
        <v>102</v>
      </c>
      <c r="R1519" s="46" t="s">
        <v>102</v>
      </c>
      <c r="S1519" s="46" t="s">
        <v>102</v>
      </c>
      <c r="T1519" s="46" t="s">
        <v>3407</v>
      </c>
      <c r="U1519" s="51">
        <v>4</v>
      </c>
    </row>
    <row r="1520" spans="2:21" ht="14.5" outlineLevel="2">
      <c r="B1520" s="36" t="s">
        <v>4327</v>
      </c>
      <c r="C1520" s="37" t="s">
        <v>4328</v>
      </c>
      <c r="D1520" s="38" t="s">
        <v>4002</v>
      </c>
      <c r="E1520" s="39" t="s">
        <v>102</v>
      </c>
      <c r="F1520" s="38" t="s">
        <v>102</v>
      </c>
      <c r="G1520" s="39" t="s">
        <v>102</v>
      </c>
      <c r="H1520" s="40">
        <v>0</v>
      </c>
      <c r="I1520" s="40">
        <v>0</v>
      </c>
      <c r="J1520" s="39" t="s">
        <v>4326</v>
      </c>
      <c r="K1520" s="41">
        <v>1</v>
      </c>
      <c r="L1520" s="41" t="s">
        <v>2614</v>
      </c>
      <c r="M1520" s="38" t="s">
        <v>117</v>
      </c>
      <c r="N1520" s="42">
        <v>0</v>
      </c>
      <c r="O1520" s="42">
        <v>0</v>
      </c>
      <c r="P1520" s="42">
        <v>0</v>
      </c>
      <c r="Q1520" s="38" t="s">
        <v>102</v>
      </c>
      <c r="R1520" s="38" t="s">
        <v>102</v>
      </c>
      <c r="S1520" s="38" t="s">
        <v>102</v>
      </c>
      <c r="T1520" s="38" t="s">
        <v>3410</v>
      </c>
      <c r="U1520" s="43">
        <v>4</v>
      </c>
    </row>
    <row r="1521" spans="2:21" ht="14.5" outlineLevel="3">
      <c r="B1521" s="44" t="s">
        <v>4329</v>
      </c>
      <c r="C1521" s="45" t="s">
        <v>4330</v>
      </c>
      <c r="D1521" s="46" t="s">
        <v>392</v>
      </c>
      <c r="E1521" s="47" t="s">
        <v>102</v>
      </c>
      <c r="F1521" s="46" t="s">
        <v>102</v>
      </c>
      <c r="G1521" s="47" t="s">
        <v>102</v>
      </c>
      <c r="H1521" s="48">
        <v>0</v>
      </c>
      <c r="I1521" s="48">
        <v>0</v>
      </c>
      <c r="J1521" s="47" t="s">
        <v>4287</v>
      </c>
      <c r="K1521" s="49">
        <v>1</v>
      </c>
      <c r="L1521" s="49" t="s">
        <v>2614</v>
      </c>
      <c r="M1521" s="46" t="s">
        <v>117</v>
      </c>
      <c r="N1521" s="50">
        <v>0</v>
      </c>
      <c r="O1521" s="50">
        <v>0</v>
      </c>
      <c r="P1521" s="50">
        <v>0</v>
      </c>
      <c r="Q1521" s="46" t="s">
        <v>102</v>
      </c>
      <c r="R1521" s="46" t="s">
        <v>102</v>
      </c>
      <c r="S1521" s="46" t="s">
        <v>102</v>
      </c>
      <c r="T1521" s="46" t="s">
        <v>2854</v>
      </c>
      <c r="U1521" s="51">
        <v>4</v>
      </c>
    </row>
    <row r="1522" spans="2:21" ht="14.5" outlineLevel="2">
      <c r="B1522" s="36" t="s">
        <v>4331</v>
      </c>
      <c r="C1522" s="37" t="s">
        <v>4332</v>
      </c>
      <c r="D1522" s="38" t="s">
        <v>392</v>
      </c>
      <c r="E1522" s="39" t="s">
        <v>102</v>
      </c>
      <c r="F1522" s="38" t="s">
        <v>102</v>
      </c>
      <c r="G1522" s="39" t="s">
        <v>102</v>
      </c>
      <c r="H1522" s="40">
        <v>0</v>
      </c>
      <c r="I1522" s="40">
        <v>0</v>
      </c>
      <c r="J1522" s="39" t="s">
        <v>4287</v>
      </c>
      <c r="K1522" s="41">
        <v>1</v>
      </c>
      <c r="L1522" s="41" t="s">
        <v>2614</v>
      </c>
      <c r="M1522" s="38" t="s">
        <v>117</v>
      </c>
      <c r="N1522" s="42">
        <v>0</v>
      </c>
      <c r="O1522" s="42">
        <v>0</v>
      </c>
      <c r="P1522" s="42">
        <v>0</v>
      </c>
      <c r="Q1522" s="38" t="s">
        <v>102</v>
      </c>
      <c r="R1522" s="38" t="s">
        <v>102</v>
      </c>
      <c r="S1522" s="38" t="s">
        <v>102</v>
      </c>
      <c r="T1522" s="38" t="s">
        <v>3431</v>
      </c>
      <c r="U1522" s="43">
        <v>4</v>
      </c>
    </row>
    <row r="1523" spans="2:21" ht="14.5" outlineLevel="3">
      <c r="B1523" s="44" t="s">
        <v>4333</v>
      </c>
      <c r="C1523" s="45" t="s">
        <v>4334</v>
      </c>
      <c r="D1523" s="46" t="s">
        <v>392</v>
      </c>
      <c r="E1523" s="47" t="s">
        <v>102</v>
      </c>
      <c r="F1523" s="46" t="s">
        <v>102</v>
      </c>
      <c r="G1523" s="47" t="s">
        <v>102</v>
      </c>
      <c r="H1523" s="48">
        <v>0</v>
      </c>
      <c r="I1523" s="48">
        <v>0</v>
      </c>
      <c r="J1523" s="47" t="s">
        <v>4287</v>
      </c>
      <c r="K1523" s="49">
        <v>1</v>
      </c>
      <c r="L1523" s="49" t="s">
        <v>2614</v>
      </c>
      <c r="M1523" s="46" t="s">
        <v>117</v>
      </c>
      <c r="N1523" s="50">
        <v>0</v>
      </c>
      <c r="O1523" s="50">
        <v>0</v>
      </c>
      <c r="P1523" s="50">
        <v>0</v>
      </c>
      <c r="Q1523" s="46" t="s">
        <v>102</v>
      </c>
      <c r="R1523" s="46" t="s">
        <v>102</v>
      </c>
      <c r="S1523" s="46" t="s">
        <v>102</v>
      </c>
      <c r="T1523" s="46" t="s">
        <v>2795</v>
      </c>
      <c r="U1523" s="51">
        <v>4</v>
      </c>
    </row>
    <row r="1524" spans="2:21" ht="14.5" outlineLevel="3">
      <c r="B1524" s="44" t="s">
        <v>4335</v>
      </c>
      <c r="C1524" s="45" t="s">
        <v>4336</v>
      </c>
      <c r="D1524" s="46" t="s">
        <v>102</v>
      </c>
      <c r="E1524" s="47" t="s">
        <v>102</v>
      </c>
      <c r="F1524" s="46" t="s">
        <v>102</v>
      </c>
      <c r="G1524" s="47" t="s">
        <v>102</v>
      </c>
      <c r="H1524" s="48">
        <v>0</v>
      </c>
      <c r="I1524" s="48">
        <v>0</v>
      </c>
      <c r="J1524" s="47" t="s">
        <v>102</v>
      </c>
      <c r="K1524" s="49">
        <v>0</v>
      </c>
      <c r="L1524" s="49" t="s">
        <v>102</v>
      </c>
      <c r="M1524" s="46" t="s">
        <v>102</v>
      </c>
      <c r="N1524" s="50">
        <v>0</v>
      </c>
      <c r="O1524" s="50">
        <v>0</v>
      </c>
      <c r="P1524" s="50">
        <v>0</v>
      </c>
      <c r="Q1524" s="46" t="s">
        <v>102</v>
      </c>
      <c r="R1524" s="46" t="s">
        <v>102</v>
      </c>
      <c r="S1524" s="46" t="s">
        <v>4337</v>
      </c>
      <c r="T1524" s="46" t="s">
        <v>102</v>
      </c>
      <c r="U1524" s="51">
        <v>3</v>
      </c>
    </row>
    <row r="1525" spans="2:21" ht="14.5" outlineLevel="3">
      <c r="B1525" s="44" t="s">
        <v>4338</v>
      </c>
      <c r="C1525" s="45" t="s">
        <v>4339</v>
      </c>
      <c r="D1525" s="46" t="s">
        <v>392</v>
      </c>
      <c r="E1525" s="47" t="s">
        <v>102</v>
      </c>
      <c r="F1525" s="46" t="s">
        <v>102</v>
      </c>
      <c r="G1525" s="47" t="s">
        <v>102</v>
      </c>
      <c r="H1525" s="48">
        <v>0</v>
      </c>
      <c r="I1525" s="48">
        <v>0</v>
      </c>
      <c r="J1525" s="47" t="s">
        <v>4281</v>
      </c>
      <c r="K1525" s="49">
        <v>1</v>
      </c>
      <c r="L1525" s="49" t="s">
        <v>2614</v>
      </c>
      <c r="M1525" s="46" t="s">
        <v>117</v>
      </c>
      <c r="N1525" s="50">
        <v>0</v>
      </c>
      <c r="O1525" s="50">
        <v>0</v>
      </c>
      <c r="P1525" s="50">
        <v>0</v>
      </c>
      <c r="Q1525" s="46" t="s">
        <v>102</v>
      </c>
      <c r="R1525" s="46" t="s">
        <v>102</v>
      </c>
      <c r="S1525" s="46" t="s">
        <v>102</v>
      </c>
      <c r="T1525" s="46" t="s">
        <v>2718</v>
      </c>
      <c r="U1525" s="51">
        <v>4</v>
      </c>
    </row>
    <row r="1526" spans="2:21" ht="14.5" outlineLevel="3">
      <c r="B1526" s="44" t="s">
        <v>4340</v>
      </c>
      <c r="C1526" s="45" t="s">
        <v>4341</v>
      </c>
      <c r="D1526" s="46" t="s">
        <v>102</v>
      </c>
      <c r="E1526" s="47" t="s">
        <v>102</v>
      </c>
      <c r="F1526" s="46" t="s">
        <v>102</v>
      </c>
      <c r="G1526" s="47" t="s">
        <v>102</v>
      </c>
      <c r="H1526" s="48">
        <v>0</v>
      </c>
      <c r="I1526" s="48">
        <v>0</v>
      </c>
      <c r="J1526" s="47" t="s">
        <v>102</v>
      </c>
      <c r="K1526" s="49">
        <v>0</v>
      </c>
      <c r="L1526" s="49" t="s">
        <v>102</v>
      </c>
      <c r="M1526" s="46" t="s">
        <v>102</v>
      </c>
      <c r="N1526" s="50">
        <v>0</v>
      </c>
      <c r="O1526" s="50">
        <v>0</v>
      </c>
      <c r="P1526" s="50">
        <v>0</v>
      </c>
      <c r="Q1526" s="46" t="s">
        <v>102</v>
      </c>
      <c r="R1526" s="46" t="s">
        <v>102</v>
      </c>
      <c r="S1526" s="46" t="s">
        <v>4342</v>
      </c>
      <c r="T1526" s="46" t="s">
        <v>102</v>
      </c>
      <c r="U1526" s="51">
        <v>3</v>
      </c>
    </row>
    <row r="1527" spans="2:21" ht="14.5" outlineLevel="3">
      <c r="B1527" s="44" t="s">
        <v>4343</v>
      </c>
      <c r="C1527" s="45" t="s">
        <v>4344</v>
      </c>
      <c r="D1527" s="46" t="s">
        <v>4002</v>
      </c>
      <c r="E1527" s="47" t="s">
        <v>102</v>
      </c>
      <c r="F1527" s="46" t="s">
        <v>102</v>
      </c>
      <c r="G1527" s="47" t="s">
        <v>102</v>
      </c>
      <c r="H1527" s="48">
        <v>0</v>
      </c>
      <c r="I1527" s="48">
        <v>0</v>
      </c>
      <c r="J1527" s="47" t="s">
        <v>4345</v>
      </c>
      <c r="K1527" s="49">
        <v>1</v>
      </c>
      <c r="L1527" s="49" t="s">
        <v>2614</v>
      </c>
      <c r="M1527" s="46" t="s">
        <v>117</v>
      </c>
      <c r="N1527" s="50">
        <v>0</v>
      </c>
      <c r="O1527" s="50">
        <v>0</v>
      </c>
      <c r="P1527" s="50">
        <v>0</v>
      </c>
      <c r="Q1527" s="46" t="s">
        <v>102</v>
      </c>
      <c r="R1527" s="46" t="s">
        <v>102</v>
      </c>
      <c r="S1527" s="46" t="s">
        <v>102</v>
      </c>
      <c r="T1527" s="46" t="s">
        <v>1019</v>
      </c>
      <c r="U1527" s="51">
        <v>4</v>
      </c>
    </row>
    <row r="1528" spans="2:21" ht="14.5" outlineLevel="2">
      <c r="B1528" s="36" t="s">
        <v>4346</v>
      </c>
      <c r="C1528" s="37" t="s">
        <v>4347</v>
      </c>
      <c r="D1528" s="38" t="s">
        <v>102</v>
      </c>
      <c r="E1528" s="39" t="s">
        <v>102</v>
      </c>
      <c r="F1528" s="38" t="s">
        <v>102</v>
      </c>
      <c r="G1528" s="39" t="s">
        <v>102</v>
      </c>
      <c r="H1528" s="40">
        <v>0</v>
      </c>
      <c r="I1528" s="40">
        <v>0</v>
      </c>
      <c r="J1528" s="39" t="s">
        <v>102</v>
      </c>
      <c r="K1528" s="41">
        <v>0</v>
      </c>
      <c r="L1528" s="41" t="s">
        <v>102</v>
      </c>
      <c r="M1528" s="38" t="s">
        <v>102</v>
      </c>
      <c r="N1528" s="42">
        <v>0</v>
      </c>
      <c r="O1528" s="42">
        <v>0</v>
      </c>
      <c r="P1528" s="42">
        <v>0</v>
      </c>
      <c r="Q1528" s="38" t="s">
        <v>102</v>
      </c>
      <c r="R1528" s="38" t="s">
        <v>102</v>
      </c>
      <c r="S1528" s="38" t="s">
        <v>4348</v>
      </c>
      <c r="T1528" s="38" t="s">
        <v>102</v>
      </c>
      <c r="U1528" s="43">
        <v>3</v>
      </c>
    </row>
    <row r="1529" spans="2:21" ht="14.5" outlineLevel="3">
      <c r="B1529" s="44" t="s">
        <v>4349</v>
      </c>
      <c r="C1529" s="45" t="s">
        <v>4350</v>
      </c>
      <c r="D1529" s="46" t="s">
        <v>4002</v>
      </c>
      <c r="E1529" s="47" t="s">
        <v>102</v>
      </c>
      <c r="F1529" s="46" t="s">
        <v>102</v>
      </c>
      <c r="G1529" s="47" t="s">
        <v>102</v>
      </c>
      <c r="H1529" s="48">
        <v>0</v>
      </c>
      <c r="I1529" s="48">
        <v>0</v>
      </c>
      <c r="J1529" s="47" t="s">
        <v>4345</v>
      </c>
      <c r="K1529" s="49">
        <v>1</v>
      </c>
      <c r="L1529" s="49" t="s">
        <v>2614</v>
      </c>
      <c r="M1529" s="46" t="s">
        <v>117</v>
      </c>
      <c r="N1529" s="50">
        <v>0</v>
      </c>
      <c r="O1529" s="50">
        <v>0</v>
      </c>
      <c r="P1529" s="50">
        <v>0</v>
      </c>
      <c r="Q1529" s="46" t="s">
        <v>102</v>
      </c>
      <c r="R1529" s="46" t="s">
        <v>102</v>
      </c>
      <c r="S1529" s="46" t="s">
        <v>102</v>
      </c>
      <c r="T1529" s="46" t="s">
        <v>1019</v>
      </c>
      <c r="U1529" s="51">
        <v>4</v>
      </c>
    </row>
    <row r="1530" spans="2:21" ht="14.5" outlineLevel="2">
      <c r="B1530" s="36" t="s">
        <v>4351</v>
      </c>
      <c r="C1530" s="37" t="s">
        <v>4352</v>
      </c>
      <c r="D1530" s="38" t="s">
        <v>4002</v>
      </c>
      <c r="E1530" s="39" t="s">
        <v>102</v>
      </c>
      <c r="F1530" s="38" t="s">
        <v>102</v>
      </c>
      <c r="G1530" s="39" t="s">
        <v>102</v>
      </c>
      <c r="H1530" s="40">
        <v>0</v>
      </c>
      <c r="I1530" s="40">
        <v>0</v>
      </c>
      <c r="J1530" s="39" t="s">
        <v>4345</v>
      </c>
      <c r="K1530" s="41">
        <v>1</v>
      </c>
      <c r="L1530" s="41" t="s">
        <v>2614</v>
      </c>
      <c r="M1530" s="38" t="s">
        <v>117</v>
      </c>
      <c r="N1530" s="42">
        <v>0</v>
      </c>
      <c r="O1530" s="42">
        <v>0</v>
      </c>
      <c r="P1530" s="42">
        <v>0</v>
      </c>
      <c r="Q1530" s="38" t="s">
        <v>102</v>
      </c>
      <c r="R1530" s="38" t="s">
        <v>102</v>
      </c>
      <c r="S1530" s="38" t="s">
        <v>102</v>
      </c>
      <c r="T1530" s="38" t="s">
        <v>2815</v>
      </c>
      <c r="U1530" s="43">
        <v>4</v>
      </c>
    </row>
    <row r="1531" spans="2:21" ht="14.5" outlineLevel="3">
      <c r="B1531" s="44" t="s">
        <v>4353</v>
      </c>
      <c r="C1531" s="45" t="s">
        <v>4354</v>
      </c>
      <c r="D1531" s="46" t="s">
        <v>4002</v>
      </c>
      <c r="E1531" s="47" t="s">
        <v>102</v>
      </c>
      <c r="F1531" s="46" t="s">
        <v>102</v>
      </c>
      <c r="G1531" s="47" t="s">
        <v>102</v>
      </c>
      <c r="H1531" s="48">
        <v>0</v>
      </c>
      <c r="I1531" s="48">
        <v>0</v>
      </c>
      <c r="J1531" s="47" t="s">
        <v>4345</v>
      </c>
      <c r="K1531" s="49">
        <v>1</v>
      </c>
      <c r="L1531" s="49" t="s">
        <v>2614</v>
      </c>
      <c r="M1531" s="46" t="s">
        <v>117</v>
      </c>
      <c r="N1531" s="50">
        <v>0</v>
      </c>
      <c r="O1531" s="50">
        <v>0</v>
      </c>
      <c r="P1531" s="50">
        <v>0</v>
      </c>
      <c r="Q1531" s="46" t="s">
        <v>102</v>
      </c>
      <c r="R1531" s="46" t="s">
        <v>102</v>
      </c>
      <c r="S1531" s="46" t="s">
        <v>102</v>
      </c>
      <c r="T1531" s="46" t="s">
        <v>2828</v>
      </c>
      <c r="U1531" s="51">
        <v>4</v>
      </c>
    </row>
    <row r="1532" spans="2:21" ht="14.5" outlineLevel="3">
      <c r="B1532" s="44" t="s">
        <v>4355</v>
      </c>
      <c r="C1532" s="45" t="s">
        <v>4356</v>
      </c>
      <c r="D1532" s="46" t="s">
        <v>4002</v>
      </c>
      <c r="E1532" s="47" t="s">
        <v>102</v>
      </c>
      <c r="F1532" s="46" t="s">
        <v>102</v>
      </c>
      <c r="G1532" s="47" t="s">
        <v>102</v>
      </c>
      <c r="H1532" s="48">
        <v>0</v>
      </c>
      <c r="I1532" s="48">
        <v>0</v>
      </c>
      <c r="J1532" s="47" t="s">
        <v>4345</v>
      </c>
      <c r="K1532" s="49">
        <v>1</v>
      </c>
      <c r="L1532" s="49" t="s">
        <v>2614</v>
      </c>
      <c r="M1532" s="46" t="s">
        <v>117</v>
      </c>
      <c r="N1532" s="50">
        <v>0</v>
      </c>
      <c r="O1532" s="50">
        <v>0</v>
      </c>
      <c r="P1532" s="50">
        <v>0</v>
      </c>
      <c r="Q1532" s="46" t="s">
        <v>102</v>
      </c>
      <c r="R1532" s="46" t="s">
        <v>102</v>
      </c>
      <c r="S1532" s="46" t="s">
        <v>102</v>
      </c>
      <c r="T1532" s="46" t="s">
        <v>2666</v>
      </c>
      <c r="U1532" s="51">
        <v>4</v>
      </c>
    </row>
    <row r="1533" spans="2:21" ht="14.5" outlineLevel="2">
      <c r="B1533" s="36" t="s">
        <v>4357</v>
      </c>
      <c r="C1533" s="37" t="s">
        <v>4358</v>
      </c>
      <c r="D1533" s="38" t="s">
        <v>392</v>
      </c>
      <c r="E1533" s="39" t="s">
        <v>102</v>
      </c>
      <c r="F1533" s="38" t="s">
        <v>102</v>
      </c>
      <c r="G1533" s="39" t="s">
        <v>102</v>
      </c>
      <c r="H1533" s="40">
        <v>0</v>
      </c>
      <c r="I1533" s="40">
        <v>0</v>
      </c>
      <c r="J1533" s="39" t="s">
        <v>4345</v>
      </c>
      <c r="K1533" s="41">
        <v>1</v>
      </c>
      <c r="L1533" s="41" t="s">
        <v>2614</v>
      </c>
      <c r="M1533" s="38" t="s">
        <v>117</v>
      </c>
      <c r="N1533" s="42">
        <v>0</v>
      </c>
      <c r="O1533" s="42">
        <v>0</v>
      </c>
      <c r="P1533" s="42">
        <v>0</v>
      </c>
      <c r="Q1533" s="38" t="s">
        <v>102</v>
      </c>
      <c r="R1533" s="38" t="s">
        <v>102</v>
      </c>
      <c r="S1533" s="38" t="s">
        <v>102</v>
      </c>
      <c r="T1533" s="38" t="s">
        <v>3431</v>
      </c>
      <c r="U1533" s="43">
        <v>4</v>
      </c>
    </row>
    <row r="1534" spans="2:21" ht="14.5" outlineLevel="3">
      <c r="B1534" s="44" t="s">
        <v>4359</v>
      </c>
      <c r="C1534" s="45" t="s">
        <v>4360</v>
      </c>
      <c r="D1534" s="46" t="s">
        <v>102</v>
      </c>
      <c r="E1534" s="47" t="s">
        <v>102</v>
      </c>
      <c r="F1534" s="46" t="s">
        <v>102</v>
      </c>
      <c r="G1534" s="47" t="s">
        <v>102</v>
      </c>
      <c r="H1534" s="48">
        <v>0</v>
      </c>
      <c r="I1534" s="48">
        <v>0</v>
      </c>
      <c r="J1534" s="47" t="s">
        <v>102</v>
      </c>
      <c r="K1534" s="49">
        <v>0</v>
      </c>
      <c r="L1534" s="49" t="s">
        <v>102</v>
      </c>
      <c r="M1534" s="46" t="s">
        <v>102</v>
      </c>
      <c r="N1534" s="50">
        <v>0</v>
      </c>
      <c r="O1534" s="50">
        <v>0</v>
      </c>
      <c r="P1534" s="50">
        <v>0</v>
      </c>
      <c r="Q1534" s="46" t="s">
        <v>102</v>
      </c>
      <c r="R1534" s="46" t="s">
        <v>102</v>
      </c>
      <c r="S1534" s="46" t="s">
        <v>4361</v>
      </c>
      <c r="T1534" s="46" t="s">
        <v>102</v>
      </c>
      <c r="U1534" s="51">
        <v>3</v>
      </c>
    </row>
    <row r="1535" spans="2:21" ht="14.5" outlineLevel="3">
      <c r="B1535" s="44" t="s">
        <v>4362</v>
      </c>
      <c r="C1535" s="45" t="s">
        <v>4363</v>
      </c>
      <c r="D1535" s="46" t="s">
        <v>392</v>
      </c>
      <c r="E1535" s="47" t="s">
        <v>102</v>
      </c>
      <c r="F1535" s="46" t="s">
        <v>102</v>
      </c>
      <c r="G1535" s="47" t="s">
        <v>102</v>
      </c>
      <c r="H1535" s="48">
        <v>0</v>
      </c>
      <c r="I1535" s="48">
        <v>0</v>
      </c>
      <c r="J1535" s="47" t="s">
        <v>4364</v>
      </c>
      <c r="K1535" s="49">
        <v>1</v>
      </c>
      <c r="L1535" s="49" t="s">
        <v>2614</v>
      </c>
      <c r="M1535" s="46" t="s">
        <v>117</v>
      </c>
      <c r="N1535" s="50">
        <v>0</v>
      </c>
      <c r="O1535" s="50">
        <v>0</v>
      </c>
      <c r="P1535" s="50">
        <v>0</v>
      </c>
      <c r="Q1535" s="46" t="s">
        <v>102</v>
      </c>
      <c r="R1535" s="46" t="s">
        <v>102</v>
      </c>
      <c r="S1535" s="46" t="s">
        <v>102</v>
      </c>
      <c r="T1535" s="46" t="s">
        <v>2854</v>
      </c>
      <c r="U1535" s="51">
        <v>4</v>
      </c>
    </row>
    <row r="1536" spans="2:21" ht="14.5" outlineLevel="3">
      <c r="B1536" s="44" t="s">
        <v>4365</v>
      </c>
      <c r="C1536" s="45" t="s">
        <v>4366</v>
      </c>
      <c r="D1536" s="46" t="s">
        <v>102</v>
      </c>
      <c r="E1536" s="47" t="s">
        <v>102</v>
      </c>
      <c r="F1536" s="46" t="s">
        <v>102</v>
      </c>
      <c r="G1536" s="47" t="s">
        <v>102</v>
      </c>
      <c r="H1536" s="48">
        <v>0</v>
      </c>
      <c r="I1536" s="48">
        <v>0</v>
      </c>
      <c r="J1536" s="47" t="s">
        <v>102</v>
      </c>
      <c r="K1536" s="49">
        <v>0</v>
      </c>
      <c r="L1536" s="49" t="s">
        <v>102</v>
      </c>
      <c r="M1536" s="46" t="s">
        <v>102</v>
      </c>
      <c r="N1536" s="50">
        <v>0</v>
      </c>
      <c r="O1536" s="50">
        <v>0</v>
      </c>
      <c r="P1536" s="50">
        <v>0</v>
      </c>
      <c r="Q1536" s="46" t="s">
        <v>102</v>
      </c>
      <c r="R1536" s="46" t="s">
        <v>102</v>
      </c>
      <c r="S1536" s="46" t="s">
        <v>4367</v>
      </c>
      <c r="T1536" s="46" t="s">
        <v>102</v>
      </c>
      <c r="U1536" s="51">
        <v>3</v>
      </c>
    </row>
    <row r="1537" spans="2:21" ht="14.5" outlineLevel="2">
      <c r="B1537" s="36" t="s">
        <v>4368</v>
      </c>
      <c r="C1537" s="37" t="s">
        <v>4369</v>
      </c>
      <c r="D1537" s="38" t="s">
        <v>4002</v>
      </c>
      <c r="E1537" s="39" t="s">
        <v>102</v>
      </c>
      <c r="F1537" s="38" t="s">
        <v>102</v>
      </c>
      <c r="G1537" s="39" t="s">
        <v>102</v>
      </c>
      <c r="H1537" s="40">
        <v>0</v>
      </c>
      <c r="I1537" s="40">
        <v>0</v>
      </c>
      <c r="J1537" s="39" t="s">
        <v>4370</v>
      </c>
      <c r="K1537" s="41">
        <v>1</v>
      </c>
      <c r="L1537" s="41" t="s">
        <v>2614</v>
      </c>
      <c r="M1537" s="38" t="s">
        <v>117</v>
      </c>
      <c r="N1537" s="42">
        <v>0</v>
      </c>
      <c r="O1537" s="42">
        <v>0</v>
      </c>
      <c r="P1537" s="42">
        <v>0</v>
      </c>
      <c r="Q1537" s="38" t="s">
        <v>102</v>
      </c>
      <c r="R1537" s="38" t="s">
        <v>102</v>
      </c>
      <c r="S1537" s="38" t="s">
        <v>102</v>
      </c>
      <c r="T1537" s="38" t="s">
        <v>1019</v>
      </c>
      <c r="U1537" s="43">
        <v>4</v>
      </c>
    </row>
    <row r="1538" spans="2:21" ht="14.5" outlineLevel="3">
      <c r="B1538" s="44" t="s">
        <v>4371</v>
      </c>
      <c r="C1538" s="45" t="s">
        <v>4372</v>
      </c>
      <c r="D1538" s="46" t="s">
        <v>4002</v>
      </c>
      <c r="E1538" s="47" t="s">
        <v>102</v>
      </c>
      <c r="F1538" s="46" t="s">
        <v>102</v>
      </c>
      <c r="G1538" s="47" t="s">
        <v>102</v>
      </c>
      <c r="H1538" s="48">
        <v>0</v>
      </c>
      <c r="I1538" s="48">
        <v>0</v>
      </c>
      <c r="J1538" s="47" t="s">
        <v>4370</v>
      </c>
      <c r="K1538" s="49">
        <v>1</v>
      </c>
      <c r="L1538" s="49" t="s">
        <v>2614</v>
      </c>
      <c r="M1538" s="46" t="s">
        <v>117</v>
      </c>
      <c r="N1538" s="50">
        <v>0</v>
      </c>
      <c r="O1538" s="50">
        <v>0</v>
      </c>
      <c r="P1538" s="50">
        <v>0</v>
      </c>
      <c r="Q1538" s="46" t="s">
        <v>102</v>
      </c>
      <c r="R1538" s="46" t="s">
        <v>102</v>
      </c>
      <c r="S1538" s="46" t="s">
        <v>102</v>
      </c>
      <c r="T1538" s="46" t="s">
        <v>2815</v>
      </c>
      <c r="U1538" s="51">
        <v>4</v>
      </c>
    </row>
    <row r="1539" spans="2:21" ht="14.5" outlineLevel="3">
      <c r="B1539" s="44" t="s">
        <v>4373</v>
      </c>
      <c r="C1539" s="45" t="s">
        <v>4374</v>
      </c>
      <c r="D1539" s="46" t="s">
        <v>102</v>
      </c>
      <c r="E1539" s="47" t="s">
        <v>102</v>
      </c>
      <c r="F1539" s="46" t="s">
        <v>102</v>
      </c>
      <c r="G1539" s="47" t="s">
        <v>102</v>
      </c>
      <c r="H1539" s="48">
        <v>0</v>
      </c>
      <c r="I1539" s="48">
        <v>0</v>
      </c>
      <c r="J1539" s="47" t="s">
        <v>102</v>
      </c>
      <c r="K1539" s="49">
        <v>0</v>
      </c>
      <c r="L1539" s="49" t="s">
        <v>102</v>
      </c>
      <c r="M1539" s="46" t="s">
        <v>102</v>
      </c>
      <c r="N1539" s="50">
        <v>0</v>
      </c>
      <c r="O1539" s="50">
        <v>0</v>
      </c>
      <c r="P1539" s="50">
        <v>0</v>
      </c>
      <c r="Q1539" s="46" t="s">
        <v>102</v>
      </c>
      <c r="R1539" s="46" t="s">
        <v>102</v>
      </c>
      <c r="S1539" s="46" t="s">
        <v>4375</v>
      </c>
      <c r="T1539" s="46" t="s">
        <v>102</v>
      </c>
      <c r="U1539" s="51">
        <v>3</v>
      </c>
    </row>
    <row r="1540" spans="2:21" ht="14.5" outlineLevel="3">
      <c r="B1540" s="44" t="s">
        <v>4376</v>
      </c>
      <c r="C1540" s="45" t="s">
        <v>4377</v>
      </c>
      <c r="D1540" s="46" t="s">
        <v>392</v>
      </c>
      <c r="E1540" s="47" t="s">
        <v>102</v>
      </c>
      <c r="F1540" s="46" t="s">
        <v>102</v>
      </c>
      <c r="G1540" s="47" t="s">
        <v>102</v>
      </c>
      <c r="H1540" s="48">
        <v>0</v>
      </c>
      <c r="I1540" s="48">
        <v>0</v>
      </c>
      <c r="J1540" s="47" t="s">
        <v>4378</v>
      </c>
      <c r="K1540" s="49">
        <v>1</v>
      </c>
      <c r="L1540" s="49" t="s">
        <v>2614</v>
      </c>
      <c r="M1540" s="46" t="s">
        <v>117</v>
      </c>
      <c r="N1540" s="50">
        <v>0</v>
      </c>
      <c r="O1540" s="50">
        <v>0</v>
      </c>
      <c r="P1540" s="50">
        <v>0</v>
      </c>
      <c r="Q1540" s="46" t="s">
        <v>102</v>
      </c>
      <c r="R1540" s="46" t="s">
        <v>102</v>
      </c>
      <c r="S1540" s="46" t="s">
        <v>102</v>
      </c>
      <c r="T1540" s="46" t="s">
        <v>1019</v>
      </c>
      <c r="U1540" s="51">
        <v>4</v>
      </c>
    </row>
    <row r="1541" spans="2:21" ht="14.5" outlineLevel="3">
      <c r="B1541" s="44" t="s">
        <v>4379</v>
      </c>
      <c r="C1541" s="45" t="s">
        <v>4380</v>
      </c>
      <c r="D1541" s="46" t="s">
        <v>4002</v>
      </c>
      <c r="E1541" s="47" t="s">
        <v>102</v>
      </c>
      <c r="F1541" s="46" t="s">
        <v>102</v>
      </c>
      <c r="G1541" s="47" t="s">
        <v>102</v>
      </c>
      <c r="H1541" s="48">
        <v>0</v>
      </c>
      <c r="I1541" s="48">
        <v>0</v>
      </c>
      <c r="J1541" s="47" t="s">
        <v>4378</v>
      </c>
      <c r="K1541" s="49">
        <v>1</v>
      </c>
      <c r="L1541" s="49" t="s">
        <v>2614</v>
      </c>
      <c r="M1541" s="46" t="s">
        <v>117</v>
      </c>
      <c r="N1541" s="50">
        <v>0</v>
      </c>
      <c r="O1541" s="50">
        <v>0</v>
      </c>
      <c r="P1541" s="50">
        <v>0</v>
      </c>
      <c r="Q1541" s="46" t="s">
        <v>102</v>
      </c>
      <c r="R1541" s="46" t="s">
        <v>102</v>
      </c>
      <c r="S1541" s="46" t="s">
        <v>102</v>
      </c>
      <c r="T1541" s="46" t="s">
        <v>2828</v>
      </c>
      <c r="U1541" s="51">
        <v>4</v>
      </c>
    </row>
    <row r="1542" spans="2:21" ht="14.5" outlineLevel="3">
      <c r="B1542" s="44" t="s">
        <v>4381</v>
      </c>
      <c r="C1542" s="45" t="s">
        <v>4382</v>
      </c>
      <c r="D1542" s="46" t="s">
        <v>392</v>
      </c>
      <c r="E1542" s="47" t="s">
        <v>102</v>
      </c>
      <c r="F1542" s="46" t="s">
        <v>102</v>
      </c>
      <c r="G1542" s="47" t="s">
        <v>102</v>
      </c>
      <c r="H1542" s="48">
        <v>0</v>
      </c>
      <c r="I1542" s="48">
        <v>0</v>
      </c>
      <c r="J1542" s="47" t="s">
        <v>4378</v>
      </c>
      <c r="K1542" s="49">
        <v>1</v>
      </c>
      <c r="L1542" s="49" t="s">
        <v>2614</v>
      </c>
      <c r="M1542" s="46" t="s">
        <v>117</v>
      </c>
      <c r="N1542" s="50">
        <v>0</v>
      </c>
      <c r="O1542" s="50">
        <v>0</v>
      </c>
      <c r="P1542" s="50">
        <v>0</v>
      </c>
      <c r="Q1542" s="46" t="s">
        <v>102</v>
      </c>
      <c r="R1542" s="46" t="s">
        <v>102</v>
      </c>
      <c r="S1542" s="46" t="s">
        <v>102</v>
      </c>
      <c r="T1542" s="46" t="s">
        <v>2854</v>
      </c>
      <c r="U1542" s="51">
        <v>4</v>
      </c>
    </row>
    <row r="1543" spans="2:21" ht="14.5" outlineLevel="2">
      <c r="B1543" s="36" t="s">
        <v>4383</v>
      </c>
      <c r="C1543" s="37" t="s">
        <v>4384</v>
      </c>
      <c r="D1543" s="38" t="s">
        <v>102</v>
      </c>
      <c r="E1543" s="39" t="s">
        <v>102</v>
      </c>
      <c r="F1543" s="38" t="s">
        <v>102</v>
      </c>
      <c r="G1543" s="39" t="s">
        <v>102</v>
      </c>
      <c r="H1543" s="40">
        <v>0</v>
      </c>
      <c r="I1543" s="40">
        <v>0</v>
      </c>
      <c r="J1543" s="39" t="s">
        <v>102</v>
      </c>
      <c r="K1543" s="41">
        <v>0</v>
      </c>
      <c r="L1543" s="41" t="s">
        <v>102</v>
      </c>
      <c r="M1543" s="38" t="s">
        <v>102</v>
      </c>
      <c r="N1543" s="42">
        <v>0</v>
      </c>
      <c r="O1543" s="42">
        <v>0</v>
      </c>
      <c r="P1543" s="42">
        <v>0</v>
      </c>
      <c r="Q1543" s="38" t="s">
        <v>102</v>
      </c>
      <c r="R1543" s="38" t="s">
        <v>102</v>
      </c>
      <c r="S1543" s="38" t="s">
        <v>4385</v>
      </c>
      <c r="T1543" s="38" t="s">
        <v>102</v>
      </c>
      <c r="U1543" s="43">
        <v>3</v>
      </c>
    </row>
    <row r="1544" spans="2:21" ht="14.5" outlineLevel="3">
      <c r="B1544" s="44" t="s">
        <v>4386</v>
      </c>
      <c r="C1544" s="45" t="s">
        <v>4387</v>
      </c>
      <c r="D1544" s="46" t="s">
        <v>392</v>
      </c>
      <c r="E1544" s="47" t="s">
        <v>102</v>
      </c>
      <c r="F1544" s="46" t="s">
        <v>102</v>
      </c>
      <c r="G1544" s="47" t="s">
        <v>102</v>
      </c>
      <c r="H1544" s="48">
        <v>0</v>
      </c>
      <c r="I1544" s="48">
        <v>0</v>
      </c>
      <c r="J1544" s="47" t="s">
        <v>4388</v>
      </c>
      <c r="K1544" s="49">
        <v>1</v>
      </c>
      <c r="L1544" s="49" t="s">
        <v>2614</v>
      </c>
      <c r="M1544" s="46" t="s">
        <v>117</v>
      </c>
      <c r="N1544" s="50">
        <v>0</v>
      </c>
      <c r="O1544" s="50">
        <v>0</v>
      </c>
      <c r="P1544" s="50">
        <v>0</v>
      </c>
      <c r="Q1544" s="46" t="s">
        <v>102</v>
      </c>
      <c r="R1544" s="46" t="s">
        <v>102</v>
      </c>
      <c r="S1544" s="46" t="s">
        <v>102</v>
      </c>
      <c r="T1544" s="46" t="s">
        <v>1019</v>
      </c>
      <c r="U1544" s="51">
        <v>4</v>
      </c>
    </row>
    <row r="1545" spans="2:21" ht="14.5" outlineLevel="3">
      <c r="B1545" s="44" t="s">
        <v>4389</v>
      </c>
      <c r="C1545" s="45" t="s">
        <v>4390</v>
      </c>
      <c r="D1545" s="46" t="s">
        <v>102</v>
      </c>
      <c r="E1545" s="47" t="s">
        <v>102</v>
      </c>
      <c r="F1545" s="46" t="s">
        <v>102</v>
      </c>
      <c r="G1545" s="47" t="s">
        <v>102</v>
      </c>
      <c r="H1545" s="48">
        <v>0</v>
      </c>
      <c r="I1545" s="48">
        <v>0</v>
      </c>
      <c r="J1545" s="47" t="s">
        <v>4391</v>
      </c>
      <c r="K1545" s="49">
        <v>1</v>
      </c>
      <c r="L1545" s="49" t="s">
        <v>2614</v>
      </c>
      <c r="M1545" s="46" t="s">
        <v>117</v>
      </c>
      <c r="N1545" s="50">
        <v>0</v>
      </c>
      <c r="O1545" s="50">
        <v>0</v>
      </c>
      <c r="P1545" s="50">
        <v>0</v>
      </c>
      <c r="Q1545" s="46" t="s">
        <v>102</v>
      </c>
      <c r="R1545" s="46" t="s">
        <v>102</v>
      </c>
      <c r="S1545" s="46" t="s">
        <v>102</v>
      </c>
      <c r="T1545" s="46" t="s">
        <v>2815</v>
      </c>
      <c r="U1545" s="51">
        <v>4</v>
      </c>
    </row>
    <row r="1546" spans="2:21" ht="14.5" outlineLevel="3">
      <c r="B1546" s="44" t="s">
        <v>4392</v>
      </c>
      <c r="C1546" s="45" t="s">
        <v>4393</v>
      </c>
      <c r="D1546" s="46" t="s">
        <v>392</v>
      </c>
      <c r="E1546" s="47" t="s">
        <v>102</v>
      </c>
      <c r="F1546" s="46" t="s">
        <v>102</v>
      </c>
      <c r="G1546" s="47" t="s">
        <v>102</v>
      </c>
      <c r="H1546" s="48">
        <v>0</v>
      </c>
      <c r="I1546" s="48">
        <v>0</v>
      </c>
      <c r="J1546" s="47" t="s">
        <v>4391</v>
      </c>
      <c r="K1546" s="49">
        <v>1</v>
      </c>
      <c r="L1546" s="49" t="s">
        <v>2614</v>
      </c>
      <c r="M1546" s="46" t="s">
        <v>117</v>
      </c>
      <c r="N1546" s="50">
        <v>0</v>
      </c>
      <c r="O1546" s="50">
        <v>0</v>
      </c>
      <c r="P1546" s="50">
        <v>0</v>
      </c>
      <c r="Q1546" s="46" t="s">
        <v>102</v>
      </c>
      <c r="R1546" s="46" t="s">
        <v>102</v>
      </c>
      <c r="S1546" s="46" t="s">
        <v>102</v>
      </c>
      <c r="T1546" s="46" t="s">
        <v>2828</v>
      </c>
      <c r="U1546" s="51">
        <v>4</v>
      </c>
    </row>
    <row r="1547" spans="2:21" ht="14.5" outlineLevel="2">
      <c r="B1547" s="36" t="s">
        <v>4394</v>
      </c>
      <c r="C1547" s="37" t="s">
        <v>4395</v>
      </c>
      <c r="D1547" s="38" t="s">
        <v>392</v>
      </c>
      <c r="E1547" s="39" t="s">
        <v>102</v>
      </c>
      <c r="F1547" s="38" t="s">
        <v>102</v>
      </c>
      <c r="G1547" s="39" t="s">
        <v>102</v>
      </c>
      <c r="H1547" s="40">
        <v>0</v>
      </c>
      <c r="I1547" s="40">
        <v>0</v>
      </c>
      <c r="J1547" s="39" t="s">
        <v>4391</v>
      </c>
      <c r="K1547" s="41">
        <v>1</v>
      </c>
      <c r="L1547" s="41" t="s">
        <v>2614</v>
      </c>
      <c r="M1547" s="38" t="s">
        <v>117</v>
      </c>
      <c r="N1547" s="42">
        <v>0</v>
      </c>
      <c r="O1547" s="42">
        <v>0</v>
      </c>
      <c r="P1547" s="42">
        <v>0</v>
      </c>
      <c r="Q1547" s="38" t="s">
        <v>102</v>
      </c>
      <c r="R1547" s="38" t="s">
        <v>102</v>
      </c>
      <c r="S1547" s="38" t="s">
        <v>102</v>
      </c>
      <c r="T1547" s="38" t="s">
        <v>2831</v>
      </c>
      <c r="U1547" s="43">
        <v>4</v>
      </c>
    </row>
    <row r="1548" spans="2:21" ht="14.5" outlineLevel="3">
      <c r="B1548" s="44" t="s">
        <v>4396</v>
      </c>
      <c r="C1548" s="45" t="s">
        <v>4397</v>
      </c>
      <c r="D1548" s="46" t="s">
        <v>102</v>
      </c>
      <c r="E1548" s="47" t="s">
        <v>102</v>
      </c>
      <c r="F1548" s="46" t="s">
        <v>102</v>
      </c>
      <c r="G1548" s="47" t="s">
        <v>102</v>
      </c>
      <c r="H1548" s="48">
        <v>0</v>
      </c>
      <c r="I1548" s="48">
        <v>0</v>
      </c>
      <c r="J1548" s="47" t="s">
        <v>3788</v>
      </c>
      <c r="K1548" s="49">
        <v>1</v>
      </c>
      <c r="L1548" s="49" t="s">
        <v>2614</v>
      </c>
      <c r="M1548" s="46" t="s">
        <v>117</v>
      </c>
      <c r="N1548" s="50">
        <v>0</v>
      </c>
      <c r="O1548" s="50">
        <v>0</v>
      </c>
      <c r="P1548" s="50">
        <v>0</v>
      </c>
      <c r="Q1548" s="46" t="s">
        <v>102</v>
      </c>
      <c r="R1548" s="46" t="s">
        <v>102</v>
      </c>
      <c r="S1548" s="46" t="s">
        <v>102</v>
      </c>
      <c r="T1548" s="46" t="s">
        <v>3088</v>
      </c>
      <c r="U1548" s="51">
        <v>4</v>
      </c>
    </row>
    <row r="1549" spans="2:21" ht="14.5" outlineLevel="3">
      <c r="B1549" s="44" t="s">
        <v>4398</v>
      </c>
      <c r="C1549" s="45" t="s">
        <v>4399</v>
      </c>
      <c r="D1549" s="46" t="s">
        <v>102</v>
      </c>
      <c r="E1549" s="47" t="s">
        <v>102</v>
      </c>
      <c r="F1549" s="46" t="s">
        <v>102</v>
      </c>
      <c r="G1549" s="47" t="s">
        <v>102</v>
      </c>
      <c r="H1549" s="48">
        <v>0</v>
      </c>
      <c r="I1549" s="48">
        <v>0</v>
      </c>
      <c r="J1549" s="47" t="s">
        <v>102</v>
      </c>
      <c r="K1549" s="49">
        <v>0</v>
      </c>
      <c r="L1549" s="49" t="s">
        <v>102</v>
      </c>
      <c r="M1549" s="46" t="s">
        <v>102</v>
      </c>
      <c r="N1549" s="50">
        <v>0</v>
      </c>
      <c r="O1549" s="50">
        <v>0</v>
      </c>
      <c r="P1549" s="50">
        <v>0</v>
      </c>
      <c r="Q1549" s="46" t="s">
        <v>102</v>
      </c>
      <c r="R1549" s="46" t="s">
        <v>102</v>
      </c>
      <c r="S1549" s="46" t="s">
        <v>4400</v>
      </c>
      <c r="T1549" s="46" t="s">
        <v>102</v>
      </c>
      <c r="U1549" s="51">
        <v>3</v>
      </c>
    </row>
    <row r="1550" spans="2:21" ht="14.5" outlineLevel="2">
      <c r="B1550" s="36" t="s">
        <v>4401</v>
      </c>
      <c r="C1550" s="37" t="s">
        <v>4402</v>
      </c>
      <c r="D1550" s="38" t="s">
        <v>4002</v>
      </c>
      <c r="E1550" s="39" t="s">
        <v>102</v>
      </c>
      <c r="F1550" s="38" t="s">
        <v>102</v>
      </c>
      <c r="G1550" s="39" t="s">
        <v>102</v>
      </c>
      <c r="H1550" s="40">
        <v>0</v>
      </c>
      <c r="I1550" s="40">
        <v>0</v>
      </c>
      <c r="J1550" s="39" t="s">
        <v>4403</v>
      </c>
      <c r="K1550" s="41">
        <v>1</v>
      </c>
      <c r="L1550" s="41" t="s">
        <v>2614</v>
      </c>
      <c r="M1550" s="38" t="s">
        <v>117</v>
      </c>
      <c r="N1550" s="42">
        <v>0</v>
      </c>
      <c r="O1550" s="42">
        <v>0</v>
      </c>
      <c r="P1550" s="42">
        <v>0</v>
      </c>
      <c r="Q1550" s="38" t="s">
        <v>102</v>
      </c>
      <c r="R1550" s="38" t="s">
        <v>102</v>
      </c>
      <c r="S1550" s="38" t="s">
        <v>102</v>
      </c>
      <c r="T1550" s="38" t="s">
        <v>1019</v>
      </c>
      <c r="U1550" s="43">
        <v>4</v>
      </c>
    </row>
    <row r="1551" spans="2:21" ht="14.5" outlineLevel="3">
      <c r="B1551" s="44" t="s">
        <v>4404</v>
      </c>
      <c r="C1551" s="45" t="s">
        <v>4405</v>
      </c>
      <c r="D1551" s="46" t="s">
        <v>4002</v>
      </c>
      <c r="E1551" s="47" t="s">
        <v>102</v>
      </c>
      <c r="F1551" s="46" t="s">
        <v>102</v>
      </c>
      <c r="G1551" s="47" t="s">
        <v>102</v>
      </c>
      <c r="H1551" s="48">
        <v>0</v>
      </c>
      <c r="I1551" s="48">
        <v>0</v>
      </c>
      <c r="J1551" s="47" t="s">
        <v>4403</v>
      </c>
      <c r="K1551" s="49">
        <v>1</v>
      </c>
      <c r="L1551" s="49" t="s">
        <v>2614</v>
      </c>
      <c r="M1551" s="46" t="s">
        <v>117</v>
      </c>
      <c r="N1551" s="50">
        <v>0</v>
      </c>
      <c r="O1551" s="50">
        <v>0</v>
      </c>
      <c r="P1551" s="50">
        <v>0</v>
      </c>
      <c r="Q1551" s="46" t="s">
        <v>102</v>
      </c>
      <c r="R1551" s="46" t="s">
        <v>102</v>
      </c>
      <c r="S1551" s="46" t="s">
        <v>102</v>
      </c>
      <c r="T1551" s="46" t="s">
        <v>2828</v>
      </c>
      <c r="U1551" s="51">
        <v>4</v>
      </c>
    </row>
    <row r="1552" spans="2:21" ht="14.5" outlineLevel="2">
      <c r="B1552" s="36" t="s">
        <v>4406</v>
      </c>
      <c r="C1552" s="37" t="s">
        <v>4407</v>
      </c>
      <c r="D1552" s="38" t="s">
        <v>392</v>
      </c>
      <c r="E1552" s="39" t="s">
        <v>102</v>
      </c>
      <c r="F1552" s="38" t="s">
        <v>102</v>
      </c>
      <c r="G1552" s="39" t="s">
        <v>102</v>
      </c>
      <c r="H1552" s="40">
        <v>0</v>
      </c>
      <c r="I1552" s="40">
        <v>0</v>
      </c>
      <c r="J1552" s="39" t="s">
        <v>4403</v>
      </c>
      <c r="K1552" s="41">
        <v>1</v>
      </c>
      <c r="L1552" s="41" t="s">
        <v>2614</v>
      </c>
      <c r="M1552" s="38" t="s">
        <v>117</v>
      </c>
      <c r="N1552" s="42">
        <v>0</v>
      </c>
      <c r="O1552" s="42">
        <v>0</v>
      </c>
      <c r="P1552" s="42">
        <v>0</v>
      </c>
      <c r="Q1552" s="38" t="s">
        <v>102</v>
      </c>
      <c r="R1552" s="38" t="s">
        <v>102</v>
      </c>
      <c r="S1552" s="38" t="s">
        <v>102</v>
      </c>
      <c r="T1552" s="38" t="s">
        <v>3431</v>
      </c>
      <c r="U1552" s="43">
        <v>4</v>
      </c>
    </row>
    <row r="1553" spans="2:21" ht="14.5" outlineLevel="3">
      <c r="B1553" s="44" t="s">
        <v>4408</v>
      </c>
      <c r="C1553" s="45" t="s">
        <v>4409</v>
      </c>
      <c r="D1553" s="46" t="s">
        <v>102</v>
      </c>
      <c r="E1553" s="47" t="s">
        <v>102</v>
      </c>
      <c r="F1553" s="46" t="s">
        <v>102</v>
      </c>
      <c r="G1553" s="47" t="s">
        <v>102</v>
      </c>
      <c r="H1553" s="48">
        <v>0</v>
      </c>
      <c r="I1553" s="48">
        <v>0</v>
      </c>
      <c r="J1553" s="47" t="s">
        <v>102</v>
      </c>
      <c r="K1553" s="49">
        <v>0</v>
      </c>
      <c r="L1553" s="49" t="s">
        <v>102</v>
      </c>
      <c r="M1553" s="46" t="s">
        <v>102</v>
      </c>
      <c r="N1553" s="50">
        <v>0</v>
      </c>
      <c r="O1553" s="50">
        <v>0</v>
      </c>
      <c r="P1553" s="50">
        <v>0</v>
      </c>
      <c r="Q1553" s="46" t="s">
        <v>102</v>
      </c>
      <c r="R1553" s="46" t="s">
        <v>102</v>
      </c>
      <c r="S1553" s="46" t="s">
        <v>4410</v>
      </c>
      <c r="T1553" s="46" t="s">
        <v>102</v>
      </c>
      <c r="U1553" s="51">
        <v>3</v>
      </c>
    </row>
    <row r="1554" spans="2:21" ht="14.5" outlineLevel="2">
      <c r="B1554" s="36" t="s">
        <v>4411</v>
      </c>
      <c r="C1554" s="37" t="s">
        <v>4412</v>
      </c>
      <c r="D1554" s="38" t="s">
        <v>4002</v>
      </c>
      <c r="E1554" s="39" t="s">
        <v>102</v>
      </c>
      <c r="F1554" s="38" t="s">
        <v>102</v>
      </c>
      <c r="G1554" s="39" t="s">
        <v>102</v>
      </c>
      <c r="H1554" s="40">
        <v>0</v>
      </c>
      <c r="I1554" s="40">
        <v>0</v>
      </c>
      <c r="J1554" s="39" t="s">
        <v>4115</v>
      </c>
      <c r="K1554" s="41">
        <v>1</v>
      </c>
      <c r="L1554" s="41" t="s">
        <v>2614</v>
      </c>
      <c r="M1554" s="38" t="s">
        <v>117</v>
      </c>
      <c r="N1554" s="42">
        <v>0</v>
      </c>
      <c r="O1554" s="42">
        <v>0</v>
      </c>
      <c r="P1554" s="42">
        <v>0</v>
      </c>
      <c r="Q1554" s="38" t="s">
        <v>102</v>
      </c>
      <c r="R1554" s="38" t="s">
        <v>102</v>
      </c>
      <c r="S1554" s="38" t="s">
        <v>102</v>
      </c>
      <c r="T1554" s="38" t="s">
        <v>1019</v>
      </c>
      <c r="U1554" s="43">
        <v>4</v>
      </c>
    </row>
    <row r="1555" spans="2:21" ht="14.5" outlineLevel="3">
      <c r="B1555" s="44" t="s">
        <v>4413</v>
      </c>
      <c r="C1555" s="45" t="s">
        <v>4414</v>
      </c>
      <c r="D1555" s="46" t="s">
        <v>4002</v>
      </c>
      <c r="E1555" s="47" t="s">
        <v>102</v>
      </c>
      <c r="F1555" s="46" t="s">
        <v>102</v>
      </c>
      <c r="G1555" s="47" t="s">
        <v>102</v>
      </c>
      <c r="H1555" s="48">
        <v>0</v>
      </c>
      <c r="I1555" s="48">
        <v>0</v>
      </c>
      <c r="J1555" s="47" t="s">
        <v>4115</v>
      </c>
      <c r="K1555" s="49">
        <v>1</v>
      </c>
      <c r="L1555" s="49" t="s">
        <v>2614</v>
      </c>
      <c r="M1555" s="46" t="s">
        <v>117</v>
      </c>
      <c r="N1555" s="50">
        <v>0</v>
      </c>
      <c r="O1555" s="50">
        <v>0</v>
      </c>
      <c r="P1555" s="50">
        <v>0</v>
      </c>
      <c r="Q1555" s="46" t="s">
        <v>102</v>
      </c>
      <c r="R1555" s="46" t="s">
        <v>102</v>
      </c>
      <c r="S1555" s="46" t="s">
        <v>102</v>
      </c>
      <c r="T1555" s="46" t="s">
        <v>2666</v>
      </c>
      <c r="U1555" s="51">
        <v>4</v>
      </c>
    </row>
    <row r="1556" spans="2:21" ht="14.5" outlineLevel="2">
      <c r="B1556" s="36" t="s">
        <v>4415</v>
      </c>
      <c r="C1556" s="37" t="s">
        <v>4416</v>
      </c>
      <c r="D1556" s="38" t="s">
        <v>102</v>
      </c>
      <c r="E1556" s="39" t="s">
        <v>102</v>
      </c>
      <c r="F1556" s="38" t="s">
        <v>102</v>
      </c>
      <c r="G1556" s="39" t="s">
        <v>102</v>
      </c>
      <c r="H1556" s="40">
        <v>0</v>
      </c>
      <c r="I1556" s="40">
        <v>0</v>
      </c>
      <c r="J1556" s="39" t="s">
        <v>102</v>
      </c>
      <c r="K1556" s="41">
        <v>0</v>
      </c>
      <c r="L1556" s="41" t="s">
        <v>102</v>
      </c>
      <c r="M1556" s="38" t="s">
        <v>102</v>
      </c>
      <c r="N1556" s="42">
        <v>0</v>
      </c>
      <c r="O1556" s="42">
        <v>0</v>
      </c>
      <c r="P1556" s="42">
        <v>0</v>
      </c>
      <c r="Q1556" s="38" t="s">
        <v>102</v>
      </c>
      <c r="R1556" s="38" t="s">
        <v>102</v>
      </c>
      <c r="S1556" s="38" t="s">
        <v>4417</v>
      </c>
      <c r="T1556" s="38" t="s">
        <v>102</v>
      </c>
      <c r="U1556" s="43">
        <v>3</v>
      </c>
    </row>
    <row r="1557" spans="2:21" ht="14.5" outlineLevel="3">
      <c r="B1557" s="44" t="s">
        <v>4418</v>
      </c>
      <c r="C1557" s="45" t="s">
        <v>4419</v>
      </c>
      <c r="D1557" s="46" t="s">
        <v>392</v>
      </c>
      <c r="E1557" s="47" t="s">
        <v>102</v>
      </c>
      <c r="F1557" s="46" t="s">
        <v>102</v>
      </c>
      <c r="G1557" s="47" t="s">
        <v>102</v>
      </c>
      <c r="H1557" s="48">
        <v>0</v>
      </c>
      <c r="I1557" s="48">
        <v>0</v>
      </c>
      <c r="J1557" s="47" t="s">
        <v>4281</v>
      </c>
      <c r="K1557" s="49">
        <v>1</v>
      </c>
      <c r="L1557" s="49" t="s">
        <v>2614</v>
      </c>
      <c r="M1557" s="46" t="s">
        <v>117</v>
      </c>
      <c r="N1557" s="50">
        <v>0</v>
      </c>
      <c r="O1557" s="50">
        <v>0</v>
      </c>
      <c r="P1557" s="50">
        <v>0</v>
      </c>
      <c r="Q1557" s="46" t="s">
        <v>102</v>
      </c>
      <c r="R1557" s="46" t="s">
        <v>102</v>
      </c>
      <c r="S1557" s="46" t="s">
        <v>102</v>
      </c>
      <c r="T1557" s="46" t="s">
        <v>2718</v>
      </c>
      <c r="U1557" s="51">
        <v>4</v>
      </c>
    </row>
    <row r="1558" spans="2:21" ht="14.5" outlineLevel="2">
      <c r="B1558" s="36" t="s">
        <v>4420</v>
      </c>
      <c r="C1558" s="37" t="s">
        <v>4421</v>
      </c>
      <c r="D1558" s="38" t="s">
        <v>102</v>
      </c>
      <c r="E1558" s="39" t="s">
        <v>102</v>
      </c>
      <c r="F1558" s="38" t="s">
        <v>102</v>
      </c>
      <c r="G1558" s="39" t="s">
        <v>102</v>
      </c>
      <c r="H1558" s="40">
        <v>0</v>
      </c>
      <c r="I1558" s="40">
        <v>0</v>
      </c>
      <c r="J1558" s="39" t="s">
        <v>102</v>
      </c>
      <c r="K1558" s="41">
        <v>0</v>
      </c>
      <c r="L1558" s="41" t="s">
        <v>102</v>
      </c>
      <c r="M1558" s="38" t="s">
        <v>102</v>
      </c>
      <c r="N1558" s="42">
        <v>0</v>
      </c>
      <c r="O1558" s="42">
        <v>0</v>
      </c>
      <c r="P1558" s="42">
        <v>0</v>
      </c>
      <c r="Q1558" s="38" t="s">
        <v>102</v>
      </c>
      <c r="R1558" s="38" t="s">
        <v>102</v>
      </c>
      <c r="S1558" s="38" t="s">
        <v>4422</v>
      </c>
      <c r="T1558" s="38" t="s">
        <v>102</v>
      </c>
      <c r="U1558" s="43">
        <v>3</v>
      </c>
    </row>
    <row r="1559" spans="2:21" ht="14.5" outlineLevel="3">
      <c r="B1559" s="44" t="s">
        <v>4423</v>
      </c>
      <c r="C1559" s="45" t="s">
        <v>4424</v>
      </c>
      <c r="D1559" s="46" t="s">
        <v>4002</v>
      </c>
      <c r="E1559" s="47" t="s">
        <v>102</v>
      </c>
      <c r="F1559" s="46" t="s">
        <v>102</v>
      </c>
      <c r="G1559" s="47" t="s">
        <v>102</v>
      </c>
      <c r="H1559" s="48">
        <v>0</v>
      </c>
      <c r="I1559" s="48">
        <v>0</v>
      </c>
      <c r="J1559" s="47" t="s">
        <v>4425</v>
      </c>
      <c r="K1559" s="49">
        <v>1</v>
      </c>
      <c r="L1559" s="49" t="s">
        <v>2614</v>
      </c>
      <c r="M1559" s="46" t="s">
        <v>117</v>
      </c>
      <c r="N1559" s="50">
        <v>0</v>
      </c>
      <c r="O1559" s="50">
        <v>0</v>
      </c>
      <c r="P1559" s="50">
        <v>0</v>
      </c>
      <c r="Q1559" s="46" t="s">
        <v>102</v>
      </c>
      <c r="R1559" s="46" t="s">
        <v>102</v>
      </c>
      <c r="S1559" s="46" t="s">
        <v>102</v>
      </c>
      <c r="T1559" s="46" t="s">
        <v>1019</v>
      </c>
      <c r="U1559" s="51">
        <v>4</v>
      </c>
    </row>
    <row r="1560" spans="2:21" ht="14.5" outlineLevel="2">
      <c r="B1560" s="36" t="s">
        <v>4426</v>
      </c>
      <c r="C1560" s="37" t="s">
        <v>4427</v>
      </c>
      <c r="D1560" s="38" t="s">
        <v>102</v>
      </c>
      <c r="E1560" s="39" t="s">
        <v>102</v>
      </c>
      <c r="F1560" s="38" t="s">
        <v>102</v>
      </c>
      <c r="G1560" s="39" t="s">
        <v>102</v>
      </c>
      <c r="H1560" s="40">
        <v>0</v>
      </c>
      <c r="I1560" s="40">
        <v>0</v>
      </c>
      <c r="J1560" s="39" t="s">
        <v>102</v>
      </c>
      <c r="K1560" s="41">
        <v>0</v>
      </c>
      <c r="L1560" s="41" t="s">
        <v>102</v>
      </c>
      <c r="M1560" s="38" t="s">
        <v>102</v>
      </c>
      <c r="N1560" s="42">
        <v>0</v>
      </c>
      <c r="O1560" s="42">
        <v>0</v>
      </c>
      <c r="P1560" s="42">
        <v>0</v>
      </c>
      <c r="Q1560" s="38" t="s">
        <v>102</v>
      </c>
      <c r="R1560" s="38" t="s">
        <v>102</v>
      </c>
      <c r="S1560" s="38" t="s">
        <v>4428</v>
      </c>
      <c r="T1560" s="38" t="s">
        <v>102</v>
      </c>
      <c r="U1560" s="43">
        <v>3</v>
      </c>
    </row>
    <row r="1561" spans="2:21" ht="14.5" outlineLevel="3">
      <c r="B1561" s="44" t="s">
        <v>4429</v>
      </c>
      <c r="C1561" s="45" t="s">
        <v>4430</v>
      </c>
      <c r="D1561" s="46" t="s">
        <v>392</v>
      </c>
      <c r="E1561" s="47" t="s">
        <v>102</v>
      </c>
      <c r="F1561" s="46" t="s">
        <v>102</v>
      </c>
      <c r="G1561" s="47" t="s">
        <v>102</v>
      </c>
      <c r="H1561" s="48">
        <v>0</v>
      </c>
      <c r="I1561" s="48">
        <v>0</v>
      </c>
      <c r="J1561" s="47" t="s">
        <v>4326</v>
      </c>
      <c r="K1561" s="49">
        <v>1</v>
      </c>
      <c r="L1561" s="49" t="s">
        <v>2614</v>
      </c>
      <c r="M1561" s="46" t="s">
        <v>117</v>
      </c>
      <c r="N1561" s="50">
        <v>0</v>
      </c>
      <c r="O1561" s="50">
        <v>0</v>
      </c>
      <c r="P1561" s="50">
        <v>0</v>
      </c>
      <c r="Q1561" s="46" t="s">
        <v>102</v>
      </c>
      <c r="R1561" s="46" t="s">
        <v>102</v>
      </c>
      <c r="S1561" s="46" t="s">
        <v>102</v>
      </c>
      <c r="T1561" s="46" t="s">
        <v>3431</v>
      </c>
      <c r="U1561" s="51">
        <v>4</v>
      </c>
    </row>
    <row r="1562" spans="2:21" ht="14.5" outlineLevel="3">
      <c r="B1562" s="44" t="s">
        <v>4431</v>
      </c>
      <c r="C1562" s="45" t="s">
        <v>4432</v>
      </c>
      <c r="D1562" s="46" t="s">
        <v>102</v>
      </c>
      <c r="E1562" s="47" t="s">
        <v>102</v>
      </c>
      <c r="F1562" s="46" t="s">
        <v>102</v>
      </c>
      <c r="G1562" s="47" t="s">
        <v>102</v>
      </c>
      <c r="H1562" s="48">
        <v>0</v>
      </c>
      <c r="I1562" s="48">
        <v>0</v>
      </c>
      <c r="J1562" s="47" t="s">
        <v>102</v>
      </c>
      <c r="K1562" s="49">
        <v>0</v>
      </c>
      <c r="L1562" s="49" t="s">
        <v>102</v>
      </c>
      <c r="M1562" s="46" t="s">
        <v>102</v>
      </c>
      <c r="N1562" s="50">
        <v>0</v>
      </c>
      <c r="O1562" s="50">
        <v>0</v>
      </c>
      <c r="P1562" s="50">
        <v>0</v>
      </c>
      <c r="Q1562" s="46" t="s">
        <v>102</v>
      </c>
      <c r="R1562" s="46" t="s">
        <v>102</v>
      </c>
      <c r="S1562" s="46" t="s">
        <v>4433</v>
      </c>
      <c r="T1562" s="46" t="s">
        <v>102</v>
      </c>
      <c r="U1562" s="51">
        <v>3</v>
      </c>
    </row>
    <row r="1563" spans="2:21" ht="14.5" outlineLevel="2">
      <c r="B1563" s="36" t="s">
        <v>4434</v>
      </c>
      <c r="C1563" s="37" t="s">
        <v>4435</v>
      </c>
      <c r="D1563" s="38" t="s">
        <v>392</v>
      </c>
      <c r="E1563" s="39" t="s">
        <v>102</v>
      </c>
      <c r="F1563" s="38" t="s">
        <v>102</v>
      </c>
      <c r="G1563" s="39" t="s">
        <v>102</v>
      </c>
      <c r="H1563" s="40">
        <v>0</v>
      </c>
      <c r="I1563" s="40">
        <v>0</v>
      </c>
      <c r="J1563" s="39" t="s">
        <v>4281</v>
      </c>
      <c r="K1563" s="41">
        <v>1</v>
      </c>
      <c r="L1563" s="41" t="s">
        <v>2614</v>
      </c>
      <c r="M1563" s="38" t="s">
        <v>117</v>
      </c>
      <c r="N1563" s="42">
        <v>0</v>
      </c>
      <c r="O1563" s="42">
        <v>0</v>
      </c>
      <c r="P1563" s="42">
        <v>0</v>
      </c>
      <c r="Q1563" s="38" t="s">
        <v>102</v>
      </c>
      <c r="R1563" s="38" t="s">
        <v>102</v>
      </c>
      <c r="S1563" s="38" t="s">
        <v>102</v>
      </c>
      <c r="T1563" s="38" t="s">
        <v>2718</v>
      </c>
      <c r="U1563" s="43">
        <v>4</v>
      </c>
    </row>
    <row r="1564" spans="2:21" ht="14.5" outlineLevel="3">
      <c r="B1564" s="44" t="s">
        <v>4436</v>
      </c>
      <c r="C1564" s="45" t="s">
        <v>4437</v>
      </c>
      <c r="D1564" s="46" t="s">
        <v>102</v>
      </c>
      <c r="E1564" s="47" t="s">
        <v>102</v>
      </c>
      <c r="F1564" s="46" t="s">
        <v>102</v>
      </c>
      <c r="G1564" s="47" t="s">
        <v>102</v>
      </c>
      <c r="H1564" s="48">
        <v>0</v>
      </c>
      <c r="I1564" s="48">
        <v>0</v>
      </c>
      <c r="J1564" s="47" t="s">
        <v>102</v>
      </c>
      <c r="K1564" s="49">
        <v>0</v>
      </c>
      <c r="L1564" s="49" t="s">
        <v>102</v>
      </c>
      <c r="M1564" s="46" t="s">
        <v>102</v>
      </c>
      <c r="N1564" s="50">
        <v>0</v>
      </c>
      <c r="O1564" s="50">
        <v>0</v>
      </c>
      <c r="P1564" s="50">
        <v>0</v>
      </c>
      <c r="Q1564" s="46" t="s">
        <v>102</v>
      </c>
      <c r="R1564" s="46" t="s">
        <v>102</v>
      </c>
      <c r="S1564" s="46" t="s">
        <v>4438</v>
      </c>
      <c r="T1564" s="46" t="s">
        <v>102</v>
      </c>
      <c r="U1564" s="51">
        <v>3</v>
      </c>
    </row>
    <row r="1565" spans="2:21" ht="14.5" outlineLevel="3">
      <c r="B1565" s="44" t="s">
        <v>4439</v>
      </c>
      <c r="C1565" s="45" t="s">
        <v>4440</v>
      </c>
      <c r="D1565" s="46" t="s">
        <v>392</v>
      </c>
      <c r="E1565" s="47" t="s">
        <v>102</v>
      </c>
      <c r="F1565" s="46" t="s">
        <v>102</v>
      </c>
      <c r="G1565" s="47" t="s">
        <v>102</v>
      </c>
      <c r="H1565" s="48">
        <v>0</v>
      </c>
      <c r="I1565" s="48">
        <v>0</v>
      </c>
      <c r="J1565" s="47" t="s">
        <v>4281</v>
      </c>
      <c r="K1565" s="49">
        <v>1</v>
      </c>
      <c r="L1565" s="49" t="s">
        <v>2614</v>
      </c>
      <c r="M1565" s="46" t="s">
        <v>117</v>
      </c>
      <c r="N1565" s="50">
        <v>0</v>
      </c>
      <c r="O1565" s="50">
        <v>0</v>
      </c>
      <c r="P1565" s="50">
        <v>0</v>
      </c>
      <c r="Q1565" s="46" t="s">
        <v>102</v>
      </c>
      <c r="R1565" s="46" t="s">
        <v>102</v>
      </c>
      <c r="S1565" s="46" t="s">
        <v>102</v>
      </c>
      <c r="T1565" s="46" t="s">
        <v>3431</v>
      </c>
      <c r="U1565" s="51">
        <v>4</v>
      </c>
    </row>
    <row r="1566" spans="2:21" ht="14.5" outlineLevel="2">
      <c r="B1566" s="36" t="s">
        <v>4441</v>
      </c>
      <c r="C1566" s="37" t="s">
        <v>4442</v>
      </c>
      <c r="D1566" s="38" t="s">
        <v>102</v>
      </c>
      <c r="E1566" s="39" t="s">
        <v>102</v>
      </c>
      <c r="F1566" s="38" t="s">
        <v>102</v>
      </c>
      <c r="G1566" s="39" t="s">
        <v>102</v>
      </c>
      <c r="H1566" s="40">
        <v>0</v>
      </c>
      <c r="I1566" s="40">
        <v>0</v>
      </c>
      <c r="J1566" s="39" t="s">
        <v>102</v>
      </c>
      <c r="K1566" s="41">
        <v>0</v>
      </c>
      <c r="L1566" s="41" t="s">
        <v>102</v>
      </c>
      <c r="M1566" s="38" t="s">
        <v>102</v>
      </c>
      <c r="N1566" s="42">
        <v>0</v>
      </c>
      <c r="O1566" s="42">
        <v>0</v>
      </c>
      <c r="P1566" s="42">
        <v>0</v>
      </c>
      <c r="Q1566" s="38" t="s">
        <v>102</v>
      </c>
      <c r="R1566" s="38" t="s">
        <v>102</v>
      </c>
      <c r="S1566" s="38" t="s">
        <v>4443</v>
      </c>
      <c r="T1566" s="38" t="s">
        <v>102</v>
      </c>
      <c r="U1566" s="43">
        <v>3</v>
      </c>
    </row>
    <row r="1567" spans="2:21" ht="14.5" outlineLevel="3">
      <c r="B1567" s="44" t="s">
        <v>4444</v>
      </c>
      <c r="C1567" s="45" t="s">
        <v>4445</v>
      </c>
      <c r="D1567" s="46" t="s">
        <v>4002</v>
      </c>
      <c r="E1567" s="47" t="s">
        <v>102</v>
      </c>
      <c r="F1567" s="46" t="s">
        <v>102</v>
      </c>
      <c r="G1567" s="47" t="s">
        <v>102</v>
      </c>
      <c r="H1567" s="48">
        <v>0</v>
      </c>
      <c r="I1567" s="48">
        <v>0</v>
      </c>
      <c r="J1567" s="47" t="s">
        <v>4281</v>
      </c>
      <c r="K1567" s="49">
        <v>1</v>
      </c>
      <c r="L1567" s="49" t="s">
        <v>2614</v>
      </c>
      <c r="M1567" s="46" t="s">
        <v>117</v>
      </c>
      <c r="N1567" s="50">
        <v>0</v>
      </c>
      <c r="O1567" s="50">
        <v>0</v>
      </c>
      <c r="P1567" s="50">
        <v>0</v>
      </c>
      <c r="Q1567" s="46" t="s">
        <v>102</v>
      </c>
      <c r="R1567" s="46" t="s">
        <v>102</v>
      </c>
      <c r="S1567" s="46" t="s">
        <v>102</v>
      </c>
      <c r="T1567" s="46" t="s">
        <v>1019</v>
      </c>
      <c r="U1567" s="51">
        <v>4</v>
      </c>
    </row>
    <row r="1568" spans="2:21" ht="14.5" outlineLevel="2">
      <c r="B1568" s="36" t="s">
        <v>4446</v>
      </c>
      <c r="C1568" s="37" t="s">
        <v>4447</v>
      </c>
      <c r="D1568" s="38" t="s">
        <v>4002</v>
      </c>
      <c r="E1568" s="39" t="s">
        <v>102</v>
      </c>
      <c r="F1568" s="38" t="s">
        <v>102</v>
      </c>
      <c r="G1568" s="39" t="s">
        <v>102</v>
      </c>
      <c r="H1568" s="40">
        <v>0</v>
      </c>
      <c r="I1568" s="40">
        <v>0</v>
      </c>
      <c r="J1568" s="39" t="s">
        <v>4403</v>
      </c>
      <c r="K1568" s="41">
        <v>1</v>
      </c>
      <c r="L1568" s="41" t="s">
        <v>2614</v>
      </c>
      <c r="M1568" s="38" t="s">
        <v>117</v>
      </c>
      <c r="N1568" s="42">
        <v>0</v>
      </c>
      <c r="O1568" s="42">
        <v>0</v>
      </c>
      <c r="P1568" s="42">
        <v>0</v>
      </c>
      <c r="Q1568" s="38" t="s">
        <v>102</v>
      </c>
      <c r="R1568" s="38" t="s">
        <v>102</v>
      </c>
      <c r="S1568" s="38" t="s">
        <v>102</v>
      </c>
      <c r="T1568" s="38" t="s">
        <v>2815</v>
      </c>
      <c r="U1568" s="43">
        <v>4</v>
      </c>
    </row>
    <row r="1569" spans="2:21" ht="14.5" outlineLevel="3">
      <c r="B1569" s="44" t="s">
        <v>4448</v>
      </c>
      <c r="C1569" s="45" t="s">
        <v>4449</v>
      </c>
      <c r="D1569" s="46" t="s">
        <v>102</v>
      </c>
      <c r="E1569" s="47" t="s">
        <v>102</v>
      </c>
      <c r="F1569" s="46" t="s">
        <v>102</v>
      </c>
      <c r="G1569" s="47" t="s">
        <v>102</v>
      </c>
      <c r="H1569" s="48">
        <v>0</v>
      </c>
      <c r="I1569" s="48">
        <v>0</v>
      </c>
      <c r="J1569" s="47" t="s">
        <v>102</v>
      </c>
      <c r="K1569" s="49">
        <v>0</v>
      </c>
      <c r="L1569" s="49" t="s">
        <v>102</v>
      </c>
      <c r="M1569" s="46" t="s">
        <v>102</v>
      </c>
      <c r="N1569" s="50">
        <v>0</v>
      </c>
      <c r="O1569" s="50">
        <v>0</v>
      </c>
      <c r="P1569" s="50">
        <v>0</v>
      </c>
      <c r="Q1569" s="46" t="s">
        <v>102</v>
      </c>
      <c r="R1569" s="46" t="s">
        <v>102</v>
      </c>
      <c r="S1569" s="46" t="s">
        <v>4450</v>
      </c>
      <c r="T1569" s="46" t="s">
        <v>102</v>
      </c>
      <c r="U1569" s="51">
        <v>3</v>
      </c>
    </row>
    <row r="1570" spans="2:21" ht="14.5" outlineLevel="2">
      <c r="B1570" s="36" t="s">
        <v>4451</v>
      </c>
      <c r="C1570" s="37" t="s">
        <v>4452</v>
      </c>
      <c r="D1570" s="38" t="s">
        <v>4002</v>
      </c>
      <c r="E1570" s="39" t="s">
        <v>102</v>
      </c>
      <c r="F1570" s="38" t="s">
        <v>102</v>
      </c>
      <c r="G1570" s="39" t="s">
        <v>102</v>
      </c>
      <c r="H1570" s="40">
        <v>0</v>
      </c>
      <c r="I1570" s="40">
        <v>0</v>
      </c>
      <c r="J1570" s="39" t="s">
        <v>4281</v>
      </c>
      <c r="K1570" s="41">
        <v>1</v>
      </c>
      <c r="L1570" s="41" t="s">
        <v>2614</v>
      </c>
      <c r="M1570" s="38" t="s">
        <v>117</v>
      </c>
      <c r="N1570" s="42">
        <v>0</v>
      </c>
      <c r="O1570" s="42">
        <v>0</v>
      </c>
      <c r="P1570" s="42">
        <v>0</v>
      </c>
      <c r="Q1570" s="38" t="s">
        <v>102</v>
      </c>
      <c r="R1570" s="38" t="s">
        <v>102</v>
      </c>
      <c r="S1570" s="38" t="s">
        <v>102</v>
      </c>
      <c r="T1570" s="38" t="s">
        <v>1019</v>
      </c>
      <c r="U1570" s="43">
        <v>4</v>
      </c>
    </row>
    <row r="1571" spans="2:21" ht="14.5" outlineLevel="3">
      <c r="B1571" s="44" t="s">
        <v>4453</v>
      </c>
      <c r="C1571" s="45" t="s">
        <v>4454</v>
      </c>
      <c r="D1571" s="46" t="s">
        <v>4002</v>
      </c>
      <c r="E1571" s="47" t="s">
        <v>102</v>
      </c>
      <c r="F1571" s="46" t="s">
        <v>102</v>
      </c>
      <c r="G1571" s="47" t="s">
        <v>102</v>
      </c>
      <c r="H1571" s="48">
        <v>0</v>
      </c>
      <c r="I1571" s="48">
        <v>0</v>
      </c>
      <c r="J1571" s="47" t="s">
        <v>4287</v>
      </c>
      <c r="K1571" s="49">
        <v>1</v>
      </c>
      <c r="L1571" s="49" t="s">
        <v>2614</v>
      </c>
      <c r="M1571" s="46" t="s">
        <v>117</v>
      </c>
      <c r="N1571" s="50">
        <v>0</v>
      </c>
      <c r="O1571" s="50">
        <v>0</v>
      </c>
      <c r="P1571" s="50">
        <v>0</v>
      </c>
      <c r="Q1571" s="46" t="s">
        <v>102</v>
      </c>
      <c r="R1571" s="46" t="s">
        <v>102</v>
      </c>
      <c r="S1571" s="46" t="s">
        <v>102</v>
      </c>
      <c r="T1571" s="46" t="s">
        <v>2815</v>
      </c>
      <c r="U1571" s="51">
        <v>4</v>
      </c>
    </row>
    <row r="1572" spans="2:21" ht="14.5" outlineLevel="3">
      <c r="B1572" s="44" t="s">
        <v>4455</v>
      </c>
      <c r="C1572" s="45" t="s">
        <v>4456</v>
      </c>
      <c r="D1572" s="46" t="s">
        <v>102</v>
      </c>
      <c r="E1572" s="47" t="s">
        <v>102</v>
      </c>
      <c r="F1572" s="46" t="s">
        <v>102</v>
      </c>
      <c r="G1572" s="47" t="s">
        <v>102</v>
      </c>
      <c r="H1572" s="48">
        <v>0</v>
      </c>
      <c r="I1572" s="48">
        <v>0</v>
      </c>
      <c r="J1572" s="47" t="s">
        <v>102</v>
      </c>
      <c r="K1572" s="49">
        <v>0</v>
      </c>
      <c r="L1572" s="49" t="s">
        <v>102</v>
      </c>
      <c r="M1572" s="46" t="s">
        <v>102</v>
      </c>
      <c r="N1572" s="50">
        <v>0</v>
      </c>
      <c r="O1572" s="50">
        <v>0</v>
      </c>
      <c r="P1572" s="50">
        <v>0</v>
      </c>
      <c r="Q1572" s="46" t="s">
        <v>102</v>
      </c>
      <c r="R1572" s="46" t="s">
        <v>102</v>
      </c>
      <c r="S1572" s="46" t="s">
        <v>4457</v>
      </c>
      <c r="T1572" s="46" t="s">
        <v>102</v>
      </c>
      <c r="U1572" s="51">
        <v>3</v>
      </c>
    </row>
    <row r="1573" spans="2:21" ht="14.5" outlineLevel="3">
      <c r="B1573" s="44" t="s">
        <v>4458</v>
      </c>
      <c r="C1573" s="45" t="s">
        <v>4459</v>
      </c>
      <c r="D1573" s="46" t="s">
        <v>392</v>
      </c>
      <c r="E1573" s="47" t="s">
        <v>102</v>
      </c>
      <c r="F1573" s="46" t="s">
        <v>102</v>
      </c>
      <c r="G1573" s="47" t="s">
        <v>102</v>
      </c>
      <c r="H1573" s="48">
        <v>0</v>
      </c>
      <c r="I1573" s="48">
        <v>0</v>
      </c>
      <c r="J1573" s="47" t="s">
        <v>4287</v>
      </c>
      <c r="K1573" s="49">
        <v>1</v>
      </c>
      <c r="L1573" s="49" t="s">
        <v>2614</v>
      </c>
      <c r="M1573" s="46" t="s">
        <v>117</v>
      </c>
      <c r="N1573" s="50">
        <v>0</v>
      </c>
      <c r="O1573" s="50">
        <v>0</v>
      </c>
      <c r="P1573" s="50">
        <v>0</v>
      </c>
      <c r="Q1573" s="46" t="s">
        <v>102</v>
      </c>
      <c r="R1573" s="46" t="s">
        <v>102</v>
      </c>
      <c r="S1573" s="46" t="s">
        <v>102</v>
      </c>
      <c r="T1573" s="46" t="s">
        <v>3431</v>
      </c>
      <c r="U1573" s="51">
        <v>4</v>
      </c>
    </row>
    <row r="1574" spans="2:21" ht="14.5" outlineLevel="3">
      <c r="B1574" s="44" t="s">
        <v>4460</v>
      </c>
      <c r="C1574" s="45" t="s">
        <v>4461</v>
      </c>
      <c r="D1574" s="46" t="s">
        <v>102</v>
      </c>
      <c r="E1574" s="47" t="s">
        <v>102</v>
      </c>
      <c r="F1574" s="46" t="s">
        <v>102</v>
      </c>
      <c r="G1574" s="47" t="s">
        <v>102</v>
      </c>
      <c r="H1574" s="48">
        <v>0</v>
      </c>
      <c r="I1574" s="48">
        <v>0</v>
      </c>
      <c r="J1574" s="47" t="s">
        <v>102</v>
      </c>
      <c r="K1574" s="49">
        <v>0</v>
      </c>
      <c r="L1574" s="49" t="s">
        <v>102</v>
      </c>
      <c r="M1574" s="46" t="s">
        <v>102</v>
      </c>
      <c r="N1574" s="50">
        <v>0</v>
      </c>
      <c r="O1574" s="50">
        <v>0</v>
      </c>
      <c r="P1574" s="50">
        <v>0</v>
      </c>
      <c r="Q1574" s="46" t="s">
        <v>102</v>
      </c>
      <c r="R1574" s="46" t="s">
        <v>102</v>
      </c>
      <c r="S1574" s="46" t="s">
        <v>4462</v>
      </c>
      <c r="T1574" s="46" t="s">
        <v>102</v>
      </c>
      <c r="U1574" s="51">
        <v>3</v>
      </c>
    </row>
    <row r="1575" spans="2:21" ht="14.5" outlineLevel="1">
      <c r="B1575" s="28" t="s">
        <v>4463</v>
      </c>
      <c r="C1575" s="29" t="s">
        <v>4464</v>
      </c>
      <c r="D1575" s="30" t="s">
        <v>392</v>
      </c>
      <c r="E1575" s="31" t="s">
        <v>102</v>
      </c>
      <c r="F1575" s="30" t="s">
        <v>102</v>
      </c>
      <c r="G1575" s="31" t="s">
        <v>102</v>
      </c>
      <c r="H1575" s="32">
        <v>0</v>
      </c>
      <c r="I1575" s="32">
        <v>0</v>
      </c>
      <c r="J1575" s="31" t="s">
        <v>4465</v>
      </c>
      <c r="K1575" s="33">
        <v>1</v>
      </c>
      <c r="L1575" s="33" t="s">
        <v>2614</v>
      </c>
      <c r="M1575" s="30" t="s">
        <v>117</v>
      </c>
      <c r="N1575" s="34">
        <v>0</v>
      </c>
      <c r="O1575" s="34">
        <v>0</v>
      </c>
      <c r="P1575" s="34">
        <v>0</v>
      </c>
      <c r="Q1575" s="30" t="s">
        <v>102</v>
      </c>
      <c r="R1575" s="30" t="s">
        <v>102</v>
      </c>
      <c r="S1575" s="30" t="s">
        <v>102</v>
      </c>
      <c r="T1575" s="30" t="s">
        <v>2854</v>
      </c>
      <c r="U1575" s="35">
        <v>4</v>
      </c>
    </row>
    <row r="1576" spans="2:21" ht="14.5" outlineLevel="2">
      <c r="B1576" s="36" t="s">
        <v>4466</v>
      </c>
      <c r="C1576" s="37" t="s">
        <v>4467</v>
      </c>
      <c r="D1576" s="38" t="s">
        <v>102</v>
      </c>
      <c r="E1576" s="39" t="s">
        <v>102</v>
      </c>
      <c r="F1576" s="38" t="s">
        <v>102</v>
      </c>
      <c r="G1576" s="39" t="s">
        <v>102</v>
      </c>
      <c r="H1576" s="40">
        <v>0</v>
      </c>
      <c r="I1576" s="40">
        <v>0</v>
      </c>
      <c r="J1576" s="39" t="s">
        <v>102</v>
      </c>
      <c r="K1576" s="41">
        <v>0</v>
      </c>
      <c r="L1576" s="41" t="s">
        <v>102</v>
      </c>
      <c r="M1576" s="38" t="s">
        <v>102</v>
      </c>
      <c r="N1576" s="42">
        <v>0</v>
      </c>
      <c r="O1576" s="42">
        <v>0</v>
      </c>
      <c r="P1576" s="42">
        <v>0</v>
      </c>
      <c r="Q1576" s="38" t="s">
        <v>102</v>
      </c>
      <c r="R1576" s="38" t="s">
        <v>102</v>
      </c>
      <c r="S1576" s="38" t="s">
        <v>4468</v>
      </c>
      <c r="T1576" s="38" t="s">
        <v>102</v>
      </c>
      <c r="U1576" s="43">
        <v>3</v>
      </c>
    </row>
    <row r="1577" spans="2:21" ht="14.5" outlineLevel="3">
      <c r="B1577" s="44" t="s">
        <v>4469</v>
      </c>
      <c r="C1577" s="45" t="s">
        <v>4470</v>
      </c>
      <c r="D1577" s="46" t="s">
        <v>392</v>
      </c>
      <c r="E1577" s="47" t="s">
        <v>102</v>
      </c>
      <c r="F1577" s="46" t="s">
        <v>102</v>
      </c>
      <c r="G1577" s="47" t="s">
        <v>102</v>
      </c>
      <c r="H1577" s="48">
        <v>0</v>
      </c>
      <c r="I1577" s="48">
        <v>0</v>
      </c>
      <c r="J1577" s="47" t="s">
        <v>3682</v>
      </c>
      <c r="K1577" s="49">
        <v>1</v>
      </c>
      <c r="L1577" s="49" t="s">
        <v>2614</v>
      </c>
      <c r="M1577" s="46" t="s">
        <v>117</v>
      </c>
      <c r="N1577" s="50">
        <v>0</v>
      </c>
      <c r="O1577" s="50">
        <v>0</v>
      </c>
      <c r="P1577" s="50">
        <v>0</v>
      </c>
      <c r="Q1577" s="46" t="s">
        <v>102</v>
      </c>
      <c r="R1577" s="46" t="s">
        <v>102</v>
      </c>
      <c r="S1577" s="46" t="s">
        <v>102</v>
      </c>
      <c r="T1577" s="46" t="s">
        <v>1019</v>
      </c>
      <c r="U1577" s="51">
        <v>4</v>
      </c>
    </row>
    <row r="1578" spans="2:21" ht="14.5" outlineLevel="3">
      <c r="B1578" s="44" t="s">
        <v>4471</v>
      </c>
      <c r="C1578" s="45" t="s">
        <v>4472</v>
      </c>
      <c r="D1578" s="46" t="s">
        <v>392</v>
      </c>
      <c r="E1578" s="47" t="s">
        <v>102</v>
      </c>
      <c r="F1578" s="46" t="s">
        <v>102</v>
      </c>
      <c r="G1578" s="47" t="s">
        <v>102</v>
      </c>
      <c r="H1578" s="48">
        <v>0</v>
      </c>
      <c r="I1578" s="48">
        <v>0</v>
      </c>
      <c r="J1578" s="47" t="s">
        <v>3371</v>
      </c>
      <c r="K1578" s="49">
        <v>1</v>
      </c>
      <c r="L1578" s="49" t="s">
        <v>2614</v>
      </c>
      <c r="M1578" s="46" t="s">
        <v>117</v>
      </c>
      <c r="N1578" s="50">
        <v>0</v>
      </c>
      <c r="O1578" s="50">
        <v>0</v>
      </c>
      <c r="P1578" s="50">
        <v>0</v>
      </c>
      <c r="Q1578" s="46" t="s">
        <v>102</v>
      </c>
      <c r="R1578" s="46" t="s">
        <v>102</v>
      </c>
      <c r="S1578" s="46" t="s">
        <v>102</v>
      </c>
      <c r="T1578" s="46" t="s">
        <v>2828</v>
      </c>
      <c r="U1578" s="51">
        <v>4</v>
      </c>
    </row>
    <row r="1579" spans="2:21" ht="14.5" outlineLevel="3">
      <c r="B1579" s="44" t="s">
        <v>4473</v>
      </c>
      <c r="C1579" s="45" t="s">
        <v>4474</v>
      </c>
      <c r="D1579" s="46" t="s">
        <v>4002</v>
      </c>
      <c r="E1579" s="47" t="s">
        <v>102</v>
      </c>
      <c r="F1579" s="46" t="s">
        <v>102</v>
      </c>
      <c r="G1579" s="47" t="s">
        <v>102</v>
      </c>
      <c r="H1579" s="48">
        <v>0</v>
      </c>
      <c r="I1579" s="48">
        <v>0</v>
      </c>
      <c r="J1579" s="47" t="s">
        <v>3682</v>
      </c>
      <c r="K1579" s="49">
        <v>1</v>
      </c>
      <c r="L1579" s="49" t="s">
        <v>2614</v>
      </c>
      <c r="M1579" s="46" t="s">
        <v>117</v>
      </c>
      <c r="N1579" s="50">
        <v>0</v>
      </c>
      <c r="O1579" s="50">
        <v>0</v>
      </c>
      <c r="P1579" s="50">
        <v>0</v>
      </c>
      <c r="Q1579" s="46" t="s">
        <v>102</v>
      </c>
      <c r="R1579" s="46" t="s">
        <v>102</v>
      </c>
      <c r="S1579" s="46" t="s">
        <v>102</v>
      </c>
      <c r="T1579" s="46" t="s">
        <v>2831</v>
      </c>
      <c r="U1579" s="51">
        <v>4</v>
      </c>
    </row>
    <row r="1580" spans="2:21" ht="14.5" outlineLevel="3">
      <c r="B1580" s="44" t="s">
        <v>4475</v>
      </c>
      <c r="C1580" s="45" t="s">
        <v>4476</v>
      </c>
      <c r="D1580" s="46" t="s">
        <v>4002</v>
      </c>
      <c r="E1580" s="47" t="s">
        <v>102</v>
      </c>
      <c r="F1580" s="46" t="s">
        <v>102</v>
      </c>
      <c r="G1580" s="47" t="s">
        <v>102</v>
      </c>
      <c r="H1580" s="48">
        <v>0</v>
      </c>
      <c r="I1580" s="48">
        <v>0</v>
      </c>
      <c r="J1580" s="47" t="s">
        <v>3788</v>
      </c>
      <c r="K1580" s="49">
        <v>1</v>
      </c>
      <c r="L1580" s="49" t="s">
        <v>2614</v>
      </c>
      <c r="M1580" s="46" t="s">
        <v>117</v>
      </c>
      <c r="N1580" s="50">
        <v>0</v>
      </c>
      <c r="O1580" s="50">
        <v>0</v>
      </c>
      <c r="P1580" s="50">
        <v>0</v>
      </c>
      <c r="Q1580" s="46" t="s">
        <v>102</v>
      </c>
      <c r="R1580" s="46" t="s">
        <v>102</v>
      </c>
      <c r="S1580" s="46" t="s">
        <v>102</v>
      </c>
      <c r="T1580" s="46" t="s">
        <v>2666</v>
      </c>
      <c r="U1580" s="51">
        <v>4</v>
      </c>
    </row>
    <row r="1581" spans="2:21" ht="14.5" outlineLevel="3">
      <c r="B1581" s="44" t="s">
        <v>4477</v>
      </c>
      <c r="C1581" s="45" t="s">
        <v>4478</v>
      </c>
      <c r="D1581" s="46" t="s">
        <v>102</v>
      </c>
      <c r="E1581" s="47" t="s">
        <v>102</v>
      </c>
      <c r="F1581" s="46" t="s">
        <v>102</v>
      </c>
      <c r="G1581" s="47" t="s">
        <v>102</v>
      </c>
      <c r="H1581" s="48">
        <v>0</v>
      </c>
      <c r="I1581" s="48">
        <v>0</v>
      </c>
      <c r="J1581" s="47" t="s">
        <v>102</v>
      </c>
      <c r="K1581" s="49">
        <v>0</v>
      </c>
      <c r="L1581" s="49" t="s">
        <v>102</v>
      </c>
      <c r="M1581" s="46" t="s">
        <v>102</v>
      </c>
      <c r="N1581" s="50">
        <v>0</v>
      </c>
      <c r="O1581" s="50">
        <v>0</v>
      </c>
      <c r="P1581" s="50">
        <v>0</v>
      </c>
      <c r="Q1581" s="46" t="s">
        <v>102</v>
      </c>
      <c r="R1581" s="46" t="s">
        <v>4479</v>
      </c>
      <c r="S1581" s="46" t="s">
        <v>102</v>
      </c>
      <c r="T1581" s="46" t="s">
        <v>102</v>
      </c>
      <c r="U1581" s="51">
        <v>2</v>
      </c>
    </row>
    <row r="1582" spans="2:21" ht="14.5" outlineLevel="2">
      <c r="B1582" s="36" t="s">
        <v>4480</v>
      </c>
      <c r="C1582" s="37" t="s">
        <v>4481</v>
      </c>
      <c r="D1582" s="38" t="s">
        <v>102</v>
      </c>
      <c r="E1582" s="39" t="s">
        <v>102</v>
      </c>
      <c r="F1582" s="38" t="s">
        <v>102</v>
      </c>
      <c r="G1582" s="39" t="s">
        <v>102</v>
      </c>
      <c r="H1582" s="40">
        <v>0</v>
      </c>
      <c r="I1582" s="40">
        <v>0</v>
      </c>
      <c r="J1582" s="39" t="s">
        <v>102</v>
      </c>
      <c r="K1582" s="41">
        <v>0</v>
      </c>
      <c r="L1582" s="41" t="s">
        <v>102</v>
      </c>
      <c r="M1582" s="38" t="s">
        <v>102</v>
      </c>
      <c r="N1582" s="42">
        <v>0</v>
      </c>
      <c r="O1582" s="42">
        <v>0</v>
      </c>
      <c r="P1582" s="42">
        <v>0</v>
      </c>
      <c r="Q1582" s="38" t="s">
        <v>102</v>
      </c>
      <c r="R1582" s="38" t="s">
        <v>102</v>
      </c>
      <c r="S1582" s="38" t="s">
        <v>4482</v>
      </c>
      <c r="T1582" s="38" t="s">
        <v>102</v>
      </c>
      <c r="U1582" s="43">
        <v>3</v>
      </c>
    </row>
    <row r="1583" spans="2:21" ht="14.5" outlineLevel="3">
      <c r="B1583" s="44" t="s">
        <v>4483</v>
      </c>
      <c r="C1583" s="45" t="s">
        <v>4484</v>
      </c>
      <c r="D1583" s="46" t="s">
        <v>111</v>
      </c>
      <c r="E1583" s="47" t="s">
        <v>102</v>
      </c>
      <c r="F1583" s="46" t="s">
        <v>102</v>
      </c>
      <c r="G1583" s="47" t="s">
        <v>102</v>
      </c>
      <c r="H1583" s="48">
        <v>0</v>
      </c>
      <c r="I1583" s="48">
        <v>0</v>
      </c>
      <c r="J1583" s="47" t="s">
        <v>4485</v>
      </c>
      <c r="K1583" s="49">
        <v>1</v>
      </c>
      <c r="L1583" s="49" t="s">
        <v>2614</v>
      </c>
      <c r="M1583" s="46" t="s">
        <v>117</v>
      </c>
      <c r="N1583" s="50">
        <v>0</v>
      </c>
      <c r="O1583" s="50">
        <v>0</v>
      </c>
      <c r="P1583" s="50">
        <v>0</v>
      </c>
      <c r="Q1583" s="46" t="s">
        <v>102</v>
      </c>
      <c r="R1583" s="46" t="s">
        <v>102</v>
      </c>
      <c r="S1583" s="46" t="s">
        <v>102</v>
      </c>
      <c r="T1583" s="46" t="s">
        <v>259</v>
      </c>
      <c r="U1583" s="51">
        <v>4</v>
      </c>
    </row>
    <row r="1584" spans="2:21" ht="14.5" outlineLevel="3">
      <c r="B1584" s="44" t="s">
        <v>4486</v>
      </c>
      <c r="C1584" s="45" t="s">
        <v>4487</v>
      </c>
      <c r="D1584" s="46" t="s">
        <v>111</v>
      </c>
      <c r="E1584" s="47" t="s">
        <v>102</v>
      </c>
      <c r="F1584" s="46" t="s">
        <v>102</v>
      </c>
      <c r="G1584" s="47" t="s">
        <v>102</v>
      </c>
      <c r="H1584" s="48">
        <v>0</v>
      </c>
      <c r="I1584" s="48">
        <v>0</v>
      </c>
      <c r="J1584" s="47" t="s">
        <v>4485</v>
      </c>
      <c r="K1584" s="49">
        <v>1</v>
      </c>
      <c r="L1584" s="49" t="s">
        <v>2614</v>
      </c>
      <c r="M1584" s="46" t="s">
        <v>117</v>
      </c>
      <c r="N1584" s="50">
        <v>0</v>
      </c>
      <c r="O1584" s="50">
        <v>0</v>
      </c>
      <c r="P1584" s="50">
        <v>0</v>
      </c>
      <c r="Q1584" s="46" t="s">
        <v>102</v>
      </c>
      <c r="R1584" s="46" t="s">
        <v>102</v>
      </c>
      <c r="S1584" s="46" t="s">
        <v>102</v>
      </c>
      <c r="T1584" s="46" t="s">
        <v>303</v>
      </c>
      <c r="U1584" s="51">
        <v>4</v>
      </c>
    </row>
    <row r="1585" spans="2:21" ht="14.5" outlineLevel="3">
      <c r="B1585" s="44" t="s">
        <v>4488</v>
      </c>
      <c r="C1585" s="45" t="s">
        <v>4489</v>
      </c>
      <c r="D1585" s="46" t="s">
        <v>111</v>
      </c>
      <c r="E1585" s="47" t="s">
        <v>102</v>
      </c>
      <c r="F1585" s="46" t="s">
        <v>102</v>
      </c>
      <c r="G1585" s="47" t="s">
        <v>102</v>
      </c>
      <c r="H1585" s="48">
        <v>0</v>
      </c>
      <c r="I1585" s="48">
        <v>0</v>
      </c>
      <c r="J1585" s="47" t="s">
        <v>4485</v>
      </c>
      <c r="K1585" s="49">
        <v>1</v>
      </c>
      <c r="L1585" s="49" t="s">
        <v>2614</v>
      </c>
      <c r="M1585" s="46" t="s">
        <v>117</v>
      </c>
      <c r="N1585" s="50">
        <v>0</v>
      </c>
      <c r="O1585" s="50">
        <v>0</v>
      </c>
      <c r="P1585" s="50">
        <v>0</v>
      </c>
      <c r="Q1585" s="46" t="s">
        <v>102</v>
      </c>
      <c r="R1585" s="46" t="s">
        <v>102</v>
      </c>
      <c r="S1585" s="46" t="s">
        <v>102</v>
      </c>
      <c r="T1585" s="46" t="s">
        <v>223</v>
      </c>
      <c r="U1585" s="51">
        <v>4</v>
      </c>
    </row>
    <row r="1586" spans="2:21" ht="14.5" outlineLevel="3">
      <c r="B1586" s="44" t="s">
        <v>4490</v>
      </c>
      <c r="C1586" s="45" t="s">
        <v>4491</v>
      </c>
      <c r="D1586" s="46" t="s">
        <v>111</v>
      </c>
      <c r="E1586" s="47" t="s">
        <v>102</v>
      </c>
      <c r="F1586" s="46" t="s">
        <v>102</v>
      </c>
      <c r="G1586" s="47" t="s">
        <v>102</v>
      </c>
      <c r="H1586" s="48">
        <v>0</v>
      </c>
      <c r="I1586" s="48">
        <v>0</v>
      </c>
      <c r="J1586" s="47" t="s">
        <v>4485</v>
      </c>
      <c r="K1586" s="49">
        <v>1</v>
      </c>
      <c r="L1586" s="49" t="s">
        <v>2614</v>
      </c>
      <c r="M1586" s="46" t="s">
        <v>117</v>
      </c>
      <c r="N1586" s="50">
        <v>0</v>
      </c>
      <c r="O1586" s="50">
        <v>0</v>
      </c>
      <c r="P1586" s="50">
        <v>0</v>
      </c>
      <c r="Q1586" s="46" t="s">
        <v>102</v>
      </c>
      <c r="R1586" s="46" t="s">
        <v>102</v>
      </c>
      <c r="S1586" s="46" t="s">
        <v>102</v>
      </c>
      <c r="T1586" s="46" t="s">
        <v>427</v>
      </c>
      <c r="U1586" s="51">
        <v>4</v>
      </c>
    </row>
    <row r="1587" spans="2:21" ht="14.5" outlineLevel="3">
      <c r="B1587" s="44" t="s">
        <v>4492</v>
      </c>
      <c r="C1587" s="45" t="s">
        <v>4493</v>
      </c>
      <c r="D1587" s="46" t="s">
        <v>111</v>
      </c>
      <c r="E1587" s="47" t="s">
        <v>102</v>
      </c>
      <c r="F1587" s="46" t="s">
        <v>102</v>
      </c>
      <c r="G1587" s="47" t="s">
        <v>102</v>
      </c>
      <c r="H1587" s="48">
        <v>0</v>
      </c>
      <c r="I1587" s="48">
        <v>0</v>
      </c>
      <c r="J1587" s="47" t="s">
        <v>4485</v>
      </c>
      <c r="K1587" s="49">
        <v>1</v>
      </c>
      <c r="L1587" s="49" t="s">
        <v>2614</v>
      </c>
      <c r="M1587" s="46" t="s">
        <v>117</v>
      </c>
      <c r="N1587" s="50">
        <v>0</v>
      </c>
      <c r="O1587" s="50">
        <v>0</v>
      </c>
      <c r="P1587" s="50">
        <v>0</v>
      </c>
      <c r="Q1587" s="46" t="s">
        <v>102</v>
      </c>
      <c r="R1587" s="46" t="s">
        <v>102</v>
      </c>
      <c r="S1587" s="46" t="s">
        <v>102</v>
      </c>
      <c r="T1587" s="46" t="s">
        <v>2666</v>
      </c>
      <c r="U1587" s="51">
        <v>4</v>
      </c>
    </row>
    <row r="1588" spans="2:21" ht="14.5" outlineLevel="3">
      <c r="B1588" s="44" t="s">
        <v>4494</v>
      </c>
      <c r="C1588" s="45" t="s">
        <v>4495</v>
      </c>
      <c r="D1588" s="46" t="s">
        <v>102</v>
      </c>
      <c r="E1588" s="47" t="s">
        <v>102</v>
      </c>
      <c r="F1588" s="46" t="s">
        <v>102</v>
      </c>
      <c r="G1588" s="47" t="s">
        <v>102</v>
      </c>
      <c r="H1588" s="48">
        <v>0</v>
      </c>
      <c r="I1588" s="48">
        <v>0</v>
      </c>
      <c r="J1588" s="47" t="s">
        <v>102</v>
      </c>
      <c r="K1588" s="49">
        <v>0</v>
      </c>
      <c r="L1588" s="49" t="s">
        <v>102</v>
      </c>
      <c r="M1588" s="46" t="s">
        <v>102</v>
      </c>
      <c r="N1588" s="50">
        <v>0</v>
      </c>
      <c r="O1588" s="50">
        <v>0</v>
      </c>
      <c r="P1588" s="50">
        <v>0</v>
      </c>
      <c r="Q1588" s="46" t="s">
        <v>102</v>
      </c>
      <c r="R1588" s="46" t="s">
        <v>102</v>
      </c>
      <c r="S1588" s="46" t="s">
        <v>4496</v>
      </c>
      <c r="T1588" s="46" t="s">
        <v>102</v>
      </c>
      <c r="U1588" s="51">
        <v>3</v>
      </c>
    </row>
    <row r="1589" spans="2:21" ht="14.5" outlineLevel="3">
      <c r="B1589" s="44" t="s">
        <v>4497</v>
      </c>
      <c r="C1589" s="45" t="s">
        <v>4498</v>
      </c>
      <c r="D1589" s="46" t="s">
        <v>4002</v>
      </c>
      <c r="E1589" s="47" t="s">
        <v>102</v>
      </c>
      <c r="F1589" s="46" t="s">
        <v>102</v>
      </c>
      <c r="G1589" s="47" t="s">
        <v>102</v>
      </c>
      <c r="H1589" s="48">
        <v>0</v>
      </c>
      <c r="I1589" s="48">
        <v>0</v>
      </c>
      <c r="J1589" s="47" t="s">
        <v>4499</v>
      </c>
      <c r="K1589" s="49">
        <v>1</v>
      </c>
      <c r="L1589" s="49" t="s">
        <v>2614</v>
      </c>
      <c r="M1589" s="46" t="s">
        <v>117</v>
      </c>
      <c r="N1589" s="50">
        <v>0</v>
      </c>
      <c r="O1589" s="50">
        <v>0</v>
      </c>
      <c r="P1589" s="50">
        <v>0</v>
      </c>
      <c r="Q1589" s="46" t="s">
        <v>102</v>
      </c>
      <c r="R1589" s="46" t="s">
        <v>102</v>
      </c>
      <c r="S1589" s="46" t="s">
        <v>102</v>
      </c>
      <c r="T1589" s="46" t="s">
        <v>1019</v>
      </c>
      <c r="U1589" s="51">
        <v>4</v>
      </c>
    </row>
    <row r="1590" spans="2:21" ht="14.5" outlineLevel="3">
      <c r="B1590" s="44" t="s">
        <v>4500</v>
      </c>
      <c r="C1590" s="45" t="s">
        <v>4501</v>
      </c>
      <c r="D1590" s="46" t="s">
        <v>4002</v>
      </c>
      <c r="E1590" s="47" t="s">
        <v>102</v>
      </c>
      <c r="F1590" s="46" t="s">
        <v>102</v>
      </c>
      <c r="G1590" s="47" t="s">
        <v>102</v>
      </c>
      <c r="H1590" s="48">
        <v>0</v>
      </c>
      <c r="I1590" s="48">
        <v>0</v>
      </c>
      <c r="J1590" s="47" t="s">
        <v>4499</v>
      </c>
      <c r="K1590" s="49">
        <v>1</v>
      </c>
      <c r="L1590" s="49" t="s">
        <v>2614</v>
      </c>
      <c r="M1590" s="46" t="s">
        <v>117</v>
      </c>
      <c r="N1590" s="50">
        <v>0</v>
      </c>
      <c r="O1590" s="50">
        <v>0</v>
      </c>
      <c r="P1590" s="50">
        <v>0</v>
      </c>
      <c r="Q1590" s="46" t="s">
        <v>102</v>
      </c>
      <c r="R1590" s="46" t="s">
        <v>102</v>
      </c>
      <c r="S1590" s="46" t="s">
        <v>102</v>
      </c>
      <c r="T1590" s="46" t="s">
        <v>2815</v>
      </c>
      <c r="U1590" s="51">
        <v>4</v>
      </c>
    </row>
    <row r="1591" spans="2:21" ht="14.5" outlineLevel="2">
      <c r="B1591" s="36" t="s">
        <v>4502</v>
      </c>
      <c r="C1591" s="37" t="s">
        <v>4503</v>
      </c>
      <c r="D1591" s="38" t="s">
        <v>4002</v>
      </c>
      <c r="E1591" s="39" t="s">
        <v>102</v>
      </c>
      <c r="F1591" s="38" t="s">
        <v>102</v>
      </c>
      <c r="G1591" s="39" t="s">
        <v>102</v>
      </c>
      <c r="H1591" s="40">
        <v>0</v>
      </c>
      <c r="I1591" s="40">
        <v>0</v>
      </c>
      <c r="J1591" s="39" t="s">
        <v>4499</v>
      </c>
      <c r="K1591" s="41">
        <v>1</v>
      </c>
      <c r="L1591" s="41" t="s">
        <v>2614</v>
      </c>
      <c r="M1591" s="38" t="s">
        <v>117</v>
      </c>
      <c r="N1591" s="42">
        <v>0</v>
      </c>
      <c r="O1591" s="42">
        <v>0</v>
      </c>
      <c r="P1591" s="42">
        <v>0</v>
      </c>
      <c r="Q1591" s="38" t="s">
        <v>102</v>
      </c>
      <c r="R1591" s="38" t="s">
        <v>102</v>
      </c>
      <c r="S1591" s="38" t="s">
        <v>102</v>
      </c>
      <c r="T1591" s="38" t="s">
        <v>461</v>
      </c>
      <c r="U1591" s="43">
        <v>4</v>
      </c>
    </row>
    <row r="1592" spans="2:21" ht="14.5" outlineLevel="3">
      <c r="B1592" s="44" t="s">
        <v>4504</v>
      </c>
      <c r="C1592" s="45" t="s">
        <v>4505</v>
      </c>
      <c r="D1592" s="46" t="s">
        <v>276</v>
      </c>
      <c r="E1592" s="47" t="s">
        <v>102</v>
      </c>
      <c r="F1592" s="46" t="s">
        <v>102</v>
      </c>
      <c r="G1592" s="47" t="s">
        <v>102</v>
      </c>
      <c r="H1592" s="48">
        <v>0</v>
      </c>
      <c r="I1592" s="48">
        <v>0</v>
      </c>
      <c r="J1592" s="47" t="s">
        <v>4499</v>
      </c>
      <c r="K1592" s="49">
        <v>1</v>
      </c>
      <c r="L1592" s="49" t="s">
        <v>116</v>
      </c>
      <c r="M1592" s="46" t="s">
        <v>117</v>
      </c>
      <c r="N1592" s="50">
        <v>0</v>
      </c>
      <c r="O1592" s="50">
        <v>0</v>
      </c>
      <c r="P1592" s="50">
        <v>0</v>
      </c>
      <c r="Q1592" s="46" t="s">
        <v>102</v>
      </c>
      <c r="R1592" s="46" t="s">
        <v>102</v>
      </c>
      <c r="S1592" s="46" t="s">
        <v>102</v>
      </c>
      <c r="T1592" s="46" t="s">
        <v>2828</v>
      </c>
      <c r="U1592" s="51">
        <v>4</v>
      </c>
    </row>
    <row r="1593" spans="2:21" ht="14.5" outlineLevel="3">
      <c r="B1593" s="44" t="s">
        <v>4506</v>
      </c>
      <c r="C1593" s="45" t="s">
        <v>4507</v>
      </c>
      <c r="D1593" s="46" t="s">
        <v>276</v>
      </c>
      <c r="E1593" s="47" t="s">
        <v>102</v>
      </c>
      <c r="F1593" s="46" t="s">
        <v>102</v>
      </c>
      <c r="G1593" s="47" t="s">
        <v>102</v>
      </c>
      <c r="H1593" s="48">
        <v>0</v>
      </c>
      <c r="I1593" s="48">
        <v>0</v>
      </c>
      <c r="J1593" s="47" t="s">
        <v>4499</v>
      </c>
      <c r="K1593" s="49">
        <v>1</v>
      </c>
      <c r="L1593" s="49" t="s">
        <v>116</v>
      </c>
      <c r="M1593" s="46" t="s">
        <v>117</v>
      </c>
      <c r="N1593" s="50">
        <v>0</v>
      </c>
      <c r="O1593" s="50">
        <v>0</v>
      </c>
      <c r="P1593" s="50">
        <v>0</v>
      </c>
      <c r="Q1593" s="46" t="s">
        <v>102</v>
      </c>
      <c r="R1593" s="46" t="s">
        <v>102</v>
      </c>
      <c r="S1593" s="46" t="s">
        <v>102</v>
      </c>
      <c r="T1593" s="46" t="s">
        <v>2773</v>
      </c>
      <c r="U1593" s="51">
        <v>4</v>
      </c>
    </row>
    <row r="1594" spans="2:21" ht="14.5" outlineLevel="3">
      <c r="B1594" s="44" t="s">
        <v>4508</v>
      </c>
      <c r="C1594" s="45" t="s">
        <v>4509</v>
      </c>
      <c r="D1594" s="46" t="s">
        <v>392</v>
      </c>
      <c r="E1594" s="47" t="s">
        <v>102</v>
      </c>
      <c r="F1594" s="46" t="s">
        <v>102</v>
      </c>
      <c r="G1594" s="47" t="s">
        <v>102</v>
      </c>
      <c r="H1594" s="48">
        <v>0</v>
      </c>
      <c r="I1594" s="48">
        <v>0</v>
      </c>
      <c r="J1594" s="47" t="s">
        <v>4499</v>
      </c>
      <c r="K1594" s="49">
        <v>1</v>
      </c>
      <c r="L1594" s="49" t="s">
        <v>116</v>
      </c>
      <c r="M1594" s="46" t="s">
        <v>117</v>
      </c>
      <c r="N1594" s="50">
        <v>0</v>
      </c>
      <c r="O1594" s="50">
        <v>0</v>
      </c>
      <c r="P1594" s="50">
        <v>0</v>
      </c>
      <c r="Q1594" s="46" t="s">
        <v>102</v>
      </c>
      <c r="R1594" s="46" t="s">
        <v>102</v>
      </c>
      <c r="S1594" s="46" t="s">
        <v>102</v>
      </c>
      <c r="T1594" s="46" t="s">
        <v>2831</v>
      </c>
      <c r="U1594" s="51">
        <v>4</v>
      </c>
    </row>
    <row r="1595" spans="2:21" ht="14.5" outlineLevel="3">
      <c r="B1595" s="44" t="s">
        <v>4510</v>
      </c>
      <c r="C1595" s="45" t="s">
        <v>4511</v>
      </c>
      <c r="D1595" s="46" t="s">
        <v>4002</v>
      </c>
      <c r="E1595" s="47" t="s">
        <v>102</v>
      </c>
      <c r="F1595" s="46" t="s">
        <v>102</v>
      </c>
      <c r="G1595" s="47" t="s">
        <v>102</v>
      </c>
      <c r="H1595" s="48">
        <v>0</v>
      </c>
      <c r="I1595" s="48">
        <v>0</v>
      </c>
      <c r="J1595" s="47" t="s">
        <v>4499</v>
      </c>
      <c r="K1595" s="49">
        <v>1</v>
      </c>
      <c r="L1595" s="49" t="s">
        <v>2614</v>
      </c>
      <c r="M1595" s="46" t="s">
        <v>117</v>
      </c>
      <c r="N1595" s="50">
        <v>0</v>
      </c>
      <c r="O1595" s="50">
        <v>0</v>
      </c>
      <c r="P1595" s="50">
        <v>0</v>
      </c>
      <c r="Q1595" s="46" t="s">
        <v>102</v>
      </c>
      <c r="R1595" s="46" t="s">
        <v>102</v>
      </c>
      <c r="S1595" s="46" t="s">
        <v>102</v>
      </c>
      <c r="T1595" s="46" t="s">
        <v>527</v>
      </c>
      <c r="U1595" s="51">
        <v>4</v>
      </c>
    </row>
    <row r="1596" spans="2:21" ht="14.5" outlineLevel="3">
      <c r="B1596" s="44" t="s">
        <v>4512</v>
      </c>
      <c r="C1596" s="45" t="s">
        <v>4513</v>
      </c>
      <c r="D1596" s="46" t="s">
        <v>392</v>
      </c>
      <c r="E1596" s="47" t="s">
        <v>102</v>
      </c>
      <c r="F1596" s="46" t="s">
        <v>102</v>
      </c>
      <c r="G1596" s="47" t="s">
        <v>102</v>
      </c>
      <c r="H1596" s="48">
        <v>0</v>
      </c>
      <c r="I1596" s="48">
        <v>0</v>
      </c>
      <c r="J1596" s="47" t="s">
        <v>4499</v>
      </c>
      <c r="K1596" s="49">
        <v>1</v>
      </c>
      <c r="L1596" s="49" t="s">
        <v>2614</v>
      </c>
      <c r="M1596" s="46" t="s">
        <v>117</v>
      </c>
      <c r="N1596" s="50">
        <v>0</v>
      </c>
      <c r="O1596" s="50">
        <v>0</v>
      </c>
      <c r="P1596" s="50">
        <v>0</v>
      </c>
      <c r="Q1596" s="46" t="s">
        <v>102</v>
      </c>
      <c r="R1596" s="46" t="s">
        <v>102</v>
      </c>
      <c r="S1596" s="46" t="s">
        <v>102</v>
      </c>
      <c r="T1596" s="46" t="s">
        <v>3431</v>
      </c>
      <c r="U1596" s="51">
        <v>4</v>
      </c>
    </row>
    <row r="1597" spans="2:21" ht="14.5" outlineLevel="3">
      <c r="B1597" s="44" t="s">
        <v>4514</v>
      </c>
      <c r="C1597" s="45" t="s">
        <v>4515</v>
      </c>
      <c r="D1597" s="46" t="s">
        <v>102</v>
      </c>
      <c r="E1597" s="47" t="s">
        <v>102</v>
      </c>
      <c r="F1597" s="46" t="s">
        <v>102</v>
      </c>
      <c r="G1597" s="47" t="s">
        <v>102</v>
      </c>
      <c r="H1597" s="48">
        <v>0</v>
      </c>
      <c r="I1597" s="48">
        <v>0</v>
      </c>
      <c r="J1597" s="47" t="s">
        <v>102</v>
      </c>
      <c r="K1597" s="49">
        <v>0</v>
      </c>
      <c r="L1597" s="49" t="s">
        <v>102</v>
      </c>
      <c r="M1597" s="46" t="s">
        <v>102</v>
      </c>
      <c r="N1597" s="50">
        <v>0</v>
      </c>
      <c r="O1597" s="50">
        <v>0</v>
      </c>
      <c r="P1597" s="50">
        <v>0</v>
      </c>
      <c r="Q1597" s="46" t="s">
        <v>102</v>
      </c>
      <c r="R1597" s="46" t="s">
        <v>102</v>
      </c>
      <c r="S1597" s="46" t="s">
        <v>4516</v>
      </c>
      <c r="T1597" s="46" t="s">
        <v>102</v>
      </c>
      <c r="U1597" s="51">
        <v>3</v>
      </c>
    </row>
    <row r="1598" spans="2:21" ht="14.5" outlineLevel="3">
      <c r="B1598" s="44" t="s">
        <v>4517</v>
      </c>
      <c r="C1598" s="45" t="s">
        <v>4518</v>
      </c>
      <c r="D1598" s="46" t="s">
        <v>276</v>
      </c>
      <c r="E1598" s="47" t="s">
        <v>102</v>
      </c>
      <c r="F1598" s="46" t="s">
        <v>102</v>
      </c>
      <c r="G1598" s="47" t="s">
        <v>102</v>
      </c>
      <c r="H1598" s="48">
        <v>0</v>
      </c>
      <c r="I1598" s="48">
        <v>0</v>
      </c>
      <c r="J1598" s="47" t="s">
        <v>4485</v>
      </c>
      <c r="K1598" s="49">
        <v>1</v>
      </c>
      <c r="L1598" s="49" t="s">
        <v>2614</v>
      </c>
      <c r="M1598" s="46" t="s">
        <v>117</v>
      </c>
      <c r="N1598" s="50">
        <v>0</v>
      </c>
      <c r="O1598" s="50">
        <v>0</v>
      </c>
      <c r="P1598" s="50">
        <v>0</v>
      </c>
      <c r="Q1598" s="46" t="s">
        <v>102</v>
      </c>
      <c r="R1598" s="46" t="s">
        <v>102</v>
      </c>
      <c r="S1598" s="46" t="s">
        <v>102</v>
      </c>
      <c r="T1598" s="46" t="s">
        <v>118</v>
      </c>
      <c r="U1598" s="51">
        <v>4</v>
      </c>
    </row>
    <row r="1599" spans="2:21" ht="14.5" outlineLevel="3">
      <c r="B1599" s="44" t="s">
        <v>4519</v>
      </c>
      <c r="C1599" s="45" t="s">
        <v>4520</v>
      </c>
      <c r="D1599" s="46" t="s">
        <v>276</v>
      </c>
      <c r="E1599" s="47" t="s">
        <v>102</v>
      </c>
      <c r="F1599" s="46" t="s">
        <v>102</v>
      </c>
      <c r="G1599" s="47" t="s">
        <v>102</v>
      </c>
      <c r="H1599" s="48">
        <v>0</v>
      </c>
      <c r="I1599" s="48">
        <v>0</v>
      </c>
      <c r="J1599" s="47" t="s">
        <v>4485</v>
      </c>
      <c r="K1599" s="49">
        <v>1</v>
      </c>
      <c r="L1599" s="49" t="s">
        <v>2614</v>
      </c>
      <c r="M1599" s="46" t="s">
        <v>117</v>
      </c>
      <c r="N1599" s="50">
        <v>0</v>
      </c>
      <c r="O1599" s="50">
        <v>0</v>
      </c>
      <c r="P1599" s="50">
        <v>0</v>
      </c>
      <c r="Q1599" s="46" t="s">
        <v>102</v>
      </c>
      <c r="R1599" s="46" t="s">
        <v>102</v>
      </c>
      <c r="S1599" s="46" t="s">
        <v>102</v>
      </c>
      <c r="T1599" s="46" t="s">
        <v>123</v>
      </c>
      <c r="U1599" s="51">
        <v>4</v>
      </c>
    </row>
    <row r="1600" spans="2:21" ht="14.5" outlineLevel="3">
      <c r="B1600" s="44" t="s">
        <v>4521</v>
      </c>
      <c r="C1600" s="45" t="s">
        <v>4522</v>
      </c>
      <c r="D1600" s="46" t="s">
        <v>276</v>
      </c>
      <c r="E1600" s="47" t="s">
        <v>102</v>
      </c>
      <c r="F1600" s="46" t="s">
        <v>102</v>
      </c>
      <c r="G1600" s="47" t="s">
        <v>102</v>
      </c>
      <c r="H1600" s="48">
        <v>0</v>
      </c>
      <c r="I1600" s="48">
        <v>0</v>
      </c>
      <c r="J1600" s="47" t="s">
        <v>4485</v>
      </c>
      <c r="K1600" s="49">
        <v>1</v>
      </c>
      <c r="L1600" s="49" t="s">
        <v>2614</v>
      </c>
      <c r="M1600" s="46" t="s">
        <v>117</v>
      </c>
      <c r="N1600" s="50">
        <v>0</v>
      </c>
      <c r="O1600" s="50">
        <v>0</v>
      </c>
      <c r="P1600" s="50">
        <v>0</v>
      </c>
      <c r="Q1600" s="46" t="s">
        <v>102</v>
      </c>
      <c r="R1600" s="46" t="s">
        <v>102</v>
      </c>
      <c r="S1600" s="46" t="s">
        <v>102</v>
      </c>
      <c r="T1600" s="46" t="s">
        <v>128</v>
      </c>
      <c r="U1600" s="51">
        <v>4</v>
      </c>
    </row>
    <row r="1601" spans="2:21" ht="14.5" outlineLevel="3">
      <c r="B1601" s="44" t="s">
        <v>4523</v>
      </c>
      <c r="C1601" s="45" t="s">
        <v>4524</v>
      </c>
      <c r="D1601" s="46" t="s">
        <v>276</v>
      </c>
      <c r="E1601" s="47" t="s">
        <v>102</v>
      </c>
      <c r="F1601" s="46" t="s">
        <v>102</v>
      </c>
      <c r="G1601" s="47" t="s">
        <v>102</v>
      </c>
      <c r="H1601" s="48">
        <v>0</v>
      </c>
      <c r="I1601" s="48">
        <v>0</v>
      </c>
      <c r="J1601" s="47" t="s">
        <v>4485</v>
      </c>
      <c r="K1601" s="49">
        <v>1</v>
      </c>
      <c r="L1601" s="49" t="s">
        <v>2614</v>
      </c>
      <c r="M1601" s="46" t="s">
        <v>117</v>
      </c>
      <c r="N1601" s="50">
        <v>0</v>
      </c>
      <c r="O1601" s="50">
        <v>0</v>
      </c>
      <c r="P1601" s="50">
        <v>0</v>
      </c>
      <c r="Q1601" s="46" t="s">
        <v>102</v>
      </c>
      <c r="R1601" s="46" t="s">
        <v>102</v>
      </c>
      <c r="S1601" s="46" t="s">
        <v>102</v>
      </c>
      <c r="T1601" s="46" t="s">
        <v>143</v>
      </c>
      <c r="U1601" s="51">
        <v>4</v>
      </c>
    </row>
    <row r="1602" spans="2:21" ht="14.5" outlineLevel="3">
      <c r="B1602" s="44" t="s">
        <v>4525</v>
      </c>
      <c r="C1602" s="45" t="s">
        <v>4526</v>
      </c>
      <c r="D1602" s="46" t="s">
        <v>276</v>
      </c>
      <c r="E1602" s="47" t="s">
        <v>102</v>
      </c>
      <c r="F1602" s="46" t="s">
        <v>102</v>
      </c>
      <c r="G1602" s="47" t="s">
        <v>102</v>
      </c>
      <c r="H1602" s="48">
        <v>0</v>
      </c>
      <c r="I1602" s="48">
        <v>0</v>
      </c>
      <c r="J1602" s="47" t="s">
        <v>4485</v>
      </c>
      <c r="K1602" s="49">
        <v>1</v>
      </c>
      <c r="L1602" s="49" t="s">
        <v>2614</v>
      </c>
      <c r="M1602" s="46" t="s">
        <v>117</v>
      </c>
      <c r="N1602" s="50">
        <v>0</v>
      </c>
      <c r="O1602" s="50">
        <v>0</v>
      </c>
      <c r="P1602" s="50">
        <v>0</v>
      </c>
      <c r="Q1602" s="46" t="s">
        <v>102</v>
      </c>
      <c r="R1602" s="46" t="s">
        <v>102</v>
      </c>
      <c r="S1602" s="46" t="s">
        <v>102</v>
      </c>
      <c r="T1602" s="46" t="s">
        <v>176</v>
      </c>
      <c r="U1602" s="51">
        <v>4</v>
      </c>
    </row>
    <row r="1603" spans="2:21" ht="14.5" outlineLevel="3">
      <c r="B1603" s="44" t="s">
        <v>4527</v>
      </c>
      <c r="C1603" s="45" t="s">
        <v>4528</v>
      </c>
      <c r="D1603" s="46" t="s">
        <v>276</v>
      </c>
      <c r="E1603" s="47" t="s">
        <v>102</v>
      </c>
      <c r="F1603" s="46" t="s">
        <v>102</v>
      </c>
      <c r="G1603" s="47" t="s">
        <v>102</v>
      </c>
      <c r="H1603" s="48">
        <v>0</v>
      </c>
      <c r="I1603" s="48">
        <v>0</v>
      </c>
      <c r="J1603" s="47" t="s">
        <v>4485</v>
      </c>
      <c r="K1603" s="49">
        <v>1</v>
      </c>
      <c r="L1603" s="49" t="s">
        <v>2614</v>
      </c>
      <c r="M1603" s="46" t="s">
        <v>117</v>
      </c>
      <c r="N1603" s="50">
        <v>0</v>
      </c>
      <c r="O1603" s="50">
        <v>0</v>
      </c>
      <c r="P1603" s="50">
        <v>0</v>
      </c>
      <c r="Q1603" s="46" t="s">
        <v>102</v>
      </c>
      <c r="R1603" s="46" t="s">
        <v>102</v>
      </c>
      <c r="S1603" s="46" t="s">
        <v>102</v>
      </c>
      <c r="T1603" s="46" t="s">
        <v>182</v>
      </c>
      <c r="U1603" s="51">
        <v>4</v>
      </c>
    </row>
    <row r="1604" spans="2:21" ht="14.5" outlineLevel="3">
      <c r="B1604" s="44" t="s">
        <v>4529</v>
      </c>
      <c r="C1604" s="45" t="s">
        <v>4530</v>
      </c>
      <c r="D1604" s="46" t="s">
        <v>276</v>
      </c>
      <c r="E1604" s="47" t="s">
        <v>102</v>
      </c>
      <c r="F1604" s="46" t="s">
        <v>102</v>
      </c>
      <c r="G1604" s="47" t="s">
        <v>102</v>
      </c>
      <c r="H1604" s="48">
        <v>0</v>
      </c>
      <c r="I1604" s="48">
        <v>0</v>
      </c>
      <c r="J1604" s="47" t="s">
        <v>4485</v>
      </c>
      <c r="K1604" s="49">
        <v>1</v>
      </c>
      <c r="L1604" s="49" t="s">
        <v>2614</v>
      </c>
      <c r="M1604" s="46" t="s">
        <v>117</v>
      </c>
      <c r="N1604" s="50">
        <v>0</v>
      </c>
      <c r="O1604" s="50">
        <v>0</v>
      </c>
      <c r="P1604" s="50">
        <v>0</v>
      </c>
      <c r="Q1604" s="46" t="s">
        <v>102</v>
      </c>
      <c r="R1604" s="46" t="s">
        <v>102</v>
      </c>
      <c r="S1604" s="46" t="s">
        <v>102</v>
      </c>
      <c r="T1604" s="46" t="s">
        <v>192</v>
      </c>
      <c r="U1604" s="51">
        <v>4</v>
      </c>
    </row>
    <row r="1605" spans="2:21" ht="14.5" outlineLevel="3">
      <c r="B1605" s="44" t="s">
        <v>4531</v>
      </c>
      <c r="C1605" s="45" t="s">
        <v>4532</v>
      </c>
      <c r="D1605" s="46" t="s">
        <v>276</v>
      </c>
      <c r="E1605" s="47" t="s">
        <v>102</v>
      </c>
      <c r="F1605" s="46" t="s">
        <v>102</v>
      </c>
      <c r="G1605" s="47" t="s">
        <v>102</v>
      </c>
      <c r="H1605" s="48">
        <v>0</v>
      </c>
      <c r="I1605" s="48">
        <v>0</v>
      </c>
      <c r="J1605" s="47" t="s">
        <v>4485</v>
      </c>
      <c r="K1605" s="49">
        <v>1</v>
      </c>
      <c r="L1605" s="49" t="s">
        <v>2614</v>
      </c>
      <c r="M1605" s="46" t="s">
        <v>117</v>
      </c>
      <c r="N1605" s="50">
        <v>0</v>
      </c>
      <c r="O1605" s="50">
        <v>0</v>
      </c>
      <c r="P1605" s="50">
        <v>0</v>
      </c>
      <c r="Q1605" s="46" t="s">
        <v>102</v>
      </c>
      <c r="R1605" s="46" t="s">
        <v>102</v>
      </c>
      <c r="S1605" s="46" t="s">
        <v>102</v>
      </c>
      <c r="T1605" s="46" t="s">
        <v>615</v>
      </c>
      <c r="U1605" s="51">
        <v>4</v>
      </c>
    </row>
    <row r="1606" spans="2:21" ht="14.5" outlineLevel="3">
      <c r="B1606" s="44" t="s">
        <v>4533</v>
      </c>
      <c r="C1606" s="45" t="s">
        <v>4534</v>
      </c>
      <c r="D1606" s="46" t="s">
        <v>276</v>
      </c>
      <c r="E1606" s="47" t="s">
        <v>102</v>
      </c>
      <c r="F1606" s="46" t="s">
        <v>102</v>
      </c>
      <c r="G1606" s="47" t="s">
        <v>102</v>
      </c>
      <c r="H1606" s="48">
        <v>0</v>
      </c>
      <c r="I1606" s="48">
        <v>0</v>
      </c>
      <c r="J1606" s="47" t="s">
        <v>4485</v>
      </c>
      <c r="K1606" s="49">
        <v>1</v>
      </c>
      <c r="L1606" s="49" t="s">
        <v>2614</v>
      </c>
      <c r="M1606" s="46" t="s">
        <v>117</v>
      </c>
      <c r="N1606" s="50">
        <v>0</v>
      </c>
      <c r="O1606" s="50">
        <v>0</v>
      </c>
      <c r="P1606" s="50">
        <v>0</v>
      </c>
      <c r="Q1606" s="46" t="s">
        <v>102</v>
      </c>
      <c r="R1606" s="46" t="s">
        <v>102</v>
      </c>
      <c r="S1606" s="46" t="s">
        <v>102</v>
      </c>
      <c r="T1606" s="46" t="s">
        <v>268</v>
      </c>
      <c r="U1606" s="51">
        <v>4</v>
      </c>
    </row>
    <row r="1607" spans="2:21" ht="14.5" outlineLevel="3">
      <c r="B1607" s="44" t="s">
        <v>4535</v>
      </c>
      <c r="C1607" s="45" t="s">
        <v>4536</v>
      </c>
      <c r="D1607" s="46" t="s">
        <v>276</v>
      </c>
      <c r="E1607" s="47" t="s">
        <v>102</v>
      </c>
      <c r="F1607" s="46" t="s">
        <v>102</v>
      </c>
      <c r="G1607" s="47" t="s">
        <v>102</v>
      </c>
      <c r="H1607" s="48">
        <v>0</v>
      </c>
      <c r="I1607" s="48">
        <v>0</v>
      </c>
      <c r="J1607" s="47" t="s">
        <v>4485</v>
      </c>
      <c r="K1607" s="49">
        <v>1</v>
      </c>
      <c r="L1607" s="49" t="s">
        <v>2614</v>
      </c>
      <c r="M1607" s="46" t="s">
        <v>117</v>
      </c>
      <c r="N1607" s="50">
        <v>0</v>
      </c>
      <c r="O1607" s="50">
        <v>0</v>
      </c>
      <c r="P1607" s="50">
        <v>0</v>
      </c>
      <c r="Q1607" s="46" t="s">
        <v>102</v>
      </c>
      <c r="R1607" s="46" t="s">
        <v>102</v>
      </c>
      <c r="S1607" s="46" t="s">
        <v>102</v>
      </c>
      <c r="T1607" s="46" t="s">
        <v>273</v>
      </c>
      <c r="U1607" s="51">
        <v>4</v>
      </c>
    </row>
    <row r="1608" spans="2:21" ht="14.5" outlineLevel="3">
      <c r="B1608" s="44" t="s">
        <v>4537</v>
      </c>
      <c r="C1608" s="45" t="s">
        <v>4538</v>
      </c>
      <c r="D1608" s="46" t="s">
        <v>276</v>
      </c>
      <c r="E1608" s="47" t="s">
        <v>102</v>
      </c>
      <c r="F1608" s="46" t="s">
        <v>102</v>
      </c>
      <c r="G1608" s="47" t="s">
        <v>102</v>
      </c>
      <c r="H1608" s="48">
        <v>0</v>
      </c>
      <c r="I1608" s="48">
        <v>0</v>
      </c>
      <c r="J1608" s="47" t="s">
        <v>4485</v>
      </c>
      <c r="K1608" s="49">
        <v>1</v>
      </c>
      <c r="L1608" s="49" t="s">
        <v>2614</v>
      </c>
      <c r="M1608" s="46" t="s">
        <v>117</v>
      </c>
      <c r="N1608" s="50">
        <v>0</v>
      </c>
      <c r="O1608" s="50">
        <v>0</v>
      </c>
      <c r="P1608" s="50">
        <v>0</v>
      </c>
      <c r="Q1608" s="46" t="s">
        <v>102</v>
      </c>
      <c r="R1608" s="46" t="s">
        <v>102</v>
      </c>
      <c r="S1608" s="46" t="s">
        <v>102</v>
      </c>
      <c r="T1608" s="46" t="s">
        <v>198</v>
      </c>
      <c r="U1608" s="51">
        <v>4</v>
      </c>
    </row>
    <row r="1609" spans="2:21" ht="14.5" outlineLevel="3">
      <c r="B1609" s="44" t="s">
        <v>4539</v>
      </c>
      <c r="C1609" s="45" t="s">
        <v>4540</v>
      </c>
      <c r="D1609" s="46" t="s">
        <v>276</v>
      </c>
      <c r="E1609" s="47" t="s">
        <v>102</v>
      </c>
      <c r="F1609" s="46" t="s">
        <v>102</v>
      </c>
      <c r="G1609" s="47" t="s">
        <v>102</v>
      </c>
      <c r="H1609" s="48">
        <v>0</v>
      </c>
      <c r="I1609" s="48">
        <v>0</v>
      </c>
      <c r="J1609" s="47" t="s">
        <v>4485</v>
      </c>
      <c r="K1609" s="49">
        <v>1</v>
      </c>
      <c r="L1609" s="49" t="s">
        <v>2614</v>
      </c>
      <c r="M1609" s="46" t="s">
        <v>117</v>
      </c>
      <c r="N1609" s="50">
        <v>0</v>
      </c>
      <c r="O1609" s="50">
        <v>0</v>
      </c>
      <c r="P1609" s="50">
        <v>0</v>
      </c>
      <c r="Q1609" s="46" t="s">
        <v>102</v>
      </c>
      <c r="R1609" s="46" t="s">
        <v>102</v>
      </c>
      <c r="S1609" s="46" t="s">
        <v>102</v>
      </c>
      <c r="T1609" s="46" t="s">
        <v>208</v>
      </c>
      <c r="U1609" s="51">
        <v>4</v>
      </c>
    </row>
    <row r="1610" spans="2:21" ht="14.5" outlineLevel="3">
      <c r="B1610" s="44" t="s">
        <v>4541</v>
      </c>
      <c r="C1610" s="45" t="s">
        <v>4542</v>
      </c>
      <c r="D1610" s="46" t="s">
        <v>276</v>
      </c>
      <c r="E1610" s="47" t="s">
        <v>102</v>
      </c>
      <c r="F1610" s="46" t="s">
        <v>102</v>
      </c>
      <c r="G1610" s="47" t="s">
        <v>102</v>
      </c>
      <c r="H1610" s="48">
        <v>0</v>
      </c>
      <c r="I1610" s="48">
        <v>0</v>
      </c>
      <c r="J1610" s="47" t="s">
        <v>4485</v>
      </c>
      <c r="K1610" s="49">
        <v>1</v>
      </c>
      <c r="L1610" s="49" t="s">
        <v>2614</v>
      </c>
      <c r="M1610" s="46" t="s">
        <v>117</v>
      </c>
      <c r="N1610" s="50">
        <v>0</v>
      </c>
      <c r="O1610" s="50">
        <v>0</v>
      </c>
      <c r="P1610" s="50">
        <v>0</v>
      </c>
      <c r="Q1610" s="46" t="s">
        <v>102</v>
      </c>
      <c r="R1610" s="46" t="s">
        <v>102</v>
      </c>
      <c r="S1610" s="46" t="s">
        <v>102</v>
      </c>
      <c r="T1610" s="46" t="s">
        <v>303</v>
      </c>
      <c r="U1610" s="51">
        <v>4</v>
      </c>
    </row>
    <row r="1611" spans="2:21" ht="14.5" outlineLevel="3">
      <c r="B1611" s="44" t="s">
        <v>4543</v>
      </c>
      <c r="C1611" s="45" t="s">
        <v>4544</v>
      </c>
      <c r="D1611" s="46" t="s">
        <v>276</v>
      </c>
      <c r="E1611" s="47" t="s">
        <v>102</v>
      </c>
      <c r="F1611" s="46" t="s">
        <v>102</v>
      </c>
      <c r="G1611" s="47" t="s">
        <v>102</v>
      </c>
      <c r="H1611" s="48">
        <v>0</v>
      </c>
      <c r="I1611" s="48">
        <v>0</v>
      </c>
      <c r="J1611" s="47" t="s">
        <v>4485</v>
      </c>
      <c r="K1611" s="49">
        <v>1</v>
      </c>
      <c r="L1611" s="49" t="s">
        <v>2614</v>
      </c>
      <c r="M1611" s="46" t="s">
        <v>117</v>
      </c>
      <c r="N1611" s="50">
        <v>0</v>
      </c>
      <c r="O1611" s="50">
        <v>0</v>
      </c>
      <c r="P1611" s="50">
        <v>0</v>
      </c>
      <c r="Q1611" s="46" t="s">
        <v>102</v>
      </c>
      <c r="R1611" s="46" t="s">
        <v>102</v>
      </c>
      <c r="S1611" s="46" t="s">
        <v>102</v>
      </c>
      <c r="T1611" s="46" t="s">
        <v>213</v>
      </c>
      <c r="U1611" s="51">
        <v>4</v>
      </c>
    </row>
    <row r="1612" spans="2:21" ht="14.5" outlineLevel="3">
      <c r="B1612" s="44" t="s">
        <v>4545</v>
      </c>
      <c r="C1612" s="45" t="s">
        <v>4546</v>
      </c>
      <c r="D1612" s="46" t="s">
        <v>276</v>
      </c>
      <c r="E1612" s="47" t="s">
        <v>102</v>
      </c>
      <c r="F1612" s="46" t="s">
        <v>102</v>
      </c>
      <c r="G1612" s="47" t="s">
        <v>102</v>
      </c>
      <c r="H1612" s="48">
        <v>0</v>
      </c>
      <c r="I1612" s="48">
        <v>0</v>
      </c>
      <c r="J1612" s="47" t="s">
        <v>4485</v>
      </c>
      <c r="K1612" s="49">
        <v>1</v>
      </c>
      <c r="L1612" s="49" t="s">
        <v>2614</v>
      </c>
      <c r="M1612" s="46" t="s">
        <v>117</v>
      </c>
      <c r="N1612" s="50">
        <v>0</v>
      </c>
      <c r="O1612" s="50">
        <v>0</v>
      </c>
      <c r="P1612" s="50">
        <v>0</v>
      </c>
      <c r="Q1612" s="46" t="s">
        <v>102</v>
      </c>
      <c r="R1612" s="46" t="s">
        <v>102</v>
      </c>
      <c r="S1612" s="46" t="s">
        <v>102</v>
      </c>
      <c r="T1612" s="46" t="s">
        <v>658</v>
      </c>
      <c r="U1612" s="51">
        <v>4</v>
      </c>
    </row>
    <row r="1613" spans="2:21" ht="14.5" outlineLevel="3">
      <c r="B1613" s="44" t="s">
        <v>4547</v>
      </c>
      <c r="C1613" s="45" t="s">
        <v>4548</v>
      </c>
      <c r="D1613" s="46" t="s">
        <v>276</v>
      </c>
      <c r="E1613" s="47" t="s">
        <v>102</v>
      </c>
      <c r="F1613" s="46" t="s">
        <v>102</v>
      </c>
      <c r="G1613" s="47" t="s">
        <v>102</v>
      </c>
      <c r="H1613" s="48">
        <v>0</v>
      </c>
      <c r="I1613" s="48">
        <v>0</v>
      </c>
      <c r="J1613" s="47" t="s">
        <v>4485</v>
      </c>
      <c r="K1613" s="49">
        <v>1</v>
      </c>
      <c r="L1613" s="49" t="s">
        <v>2614</v>
      </c>
      <c r="M1613" s="46" t="s">
        <v>117</v>
      </c>
      <c r="N1613" s="50">
        <v>0</v>
      </c>
      <c r="O1613" s="50">
        <v>0</v>
      </c>
      <c r="P1613" s="50">
        <v>0</v>
      </c>
      <c r="Q1613" s="46" t="s">
        <v>102</v>
      </c>
      <c r="R1613" s="46" t="s">
        <v>102</v>
      </c>
      <c r="S1613" s="46" t="s">
        <v>102</v>
      </c>
      <c r="T1613" s="46" t="s">
        <v>663</v>
      </c>
      <c r="U1613" s="51">
        <v>4</v>
      </c>
    </row>
    <row r="1614" spans="2:21" ht="14.5" outlineLevel="3">
      <c r="B1614" s="44" t="s">
        <v>4549</v>
      </c>
      <c r="C1614" s="45" t="s">
        <v>4550</v>
      </c>
      <c r="D1614" s="46" t="s">
        <v>458</v>
      </c>
      <c r="E1614" s="47" t="s">
        <v>102</v>
      </c>
      <c r="F1614" s="46" t="s">
        <v>102</v>
      </c>
      <c r="G1614" s="47" t="s">
        <v>102</v>
      </c>
      <c r="H1614" s="48">
        <v>0</v>
      </c>
      <c r="I1614" s="48">
        <v>0</v>
      </c>
      <c r="J1614" s="47" t="s">
        <v>4485</v>
      </c>
      <c r="K1614" s="49">
        <v>1</v>
      </c>
      <c r="L1614" s="49" t="s">
        <v>2614</v>
      </c>
      <c r="M1614" s="46" t="s">
        <v>117</v>
      </c>
      <c r="N1614" s="50">
        <v>0</v>
      </c>
      <c r="O1614" s="50">
        <v>0</v>
      </c>
      <c r="P1614" s="50">
        <v>0</v>
      </c>
      <c r="Q1614" s="46" t="s">
        <v>102</v>
      </c>
      <c r="R1614" s="46" t="s">
        <v>102</v>
      </c>
      <c r="S1614" s="46" t="s">
        <v>102</v>
      </c>
      <c r="T1614" s="46" t="s">
        <v>691</v>
      </c>
      <c r="U1614" s="51">
        <v>4</v>
      </c>
    </row>
    <row r="1615" spans="2:21" ht="14.5" outlineLevel="2">
      <c r="B1615" s="36" t="s">
        <v>4551</v>
      </c>
      <c r="C1615" s="37" t="s">
        <v>4552</v>
      </c>
      <c r="D1615" s="38" t="s">
        <v>458</v>
      </c>
      <c r="E1615" s="39" t="s">
        <v>102</v>
      </c>
      <c r="F1615" s="38" t="s">
        <v>102</v>
      </c>
      <c r="G1615" s="39" t="s">
        <v>102</v>
      </c>
      <c r="H1615" s="40">
        <v>0</v>
      </c>
      <c r="I1615" s="40">
        <v>0</v>
      </c>
      <c r="J1615" s="39" t="s">
        <v>4485</v>
      </c>
      <c r="K1615" s="41">
        <v>1</v>
      </c>
      <c r="L1615" s="41" t="s">
        <v>2614</v>
      </c>
      <c r="M1615" s="38" t="s">
        <v>117</v>
      </c>
      <c r="N1615" s="42">
        <v>0</v>
      </c>
      <c r="O1615" s="42">
        <v>0</v>
      </c>
      <c r="P1615" s="42">
        <v>0</v>
      </c>
      <c r="Q1615" s="38" t="s">
        <v>102</v>
      </c>
      <c r="R1615" s="38" t="s">
        <v>102</v>
      </c>
      <c r="S1615" s="38" t="s">
        <v>102</v>
      </c>
      <c r="T1615" s="38" t="s">
        <v>695</v>
      </c>
      <c r="U1615" s="43">
        <v>4</v>
      </c>
    </row>
    <row r="1616" spans="2:21" ht="14.5" outlineLevel="3">
      <c r="B1616" s="44" t="s">
        <v>4553</v>
      </c>
      <c r="C1616" s="45" t="s">
        <v>4554</v>
      </c>
      <c r="D1616" s="46" t="s">
        <v>458</v>
      </c>
      <c r="E1616" s="47" t="s">
        <v>102</v>
      </c>
      <c r="F1616" s="46" t="s">
        <v>102</v>
      </c>
      <c r="G1616" s="47" t="s">
        <v>102</v>
      </c>
      <c r="H1616" s="48">
        <v>0</v>
      </c>
      <c r="I1616" s="48">
        <v>0</v>
      </c>
      <c r="J1616" s="47" t="s">
        <v>4485</v>
      </c>
      <c r="K1616" s="49">
        <v>1</v>
      </c>
      <c r="L1616" s="49" t="s">
        <v>2614</v>
      </c>
      <c r="M1616" s="46" t="s">
        <v>117</v>
      </c>
      <c r="N1616" s="50">
        <v>0</v>
      </c>
      <c r="O1616" s="50">
        <v>0</v>
      </c>
      <c r="P1616" s="50">
        <v>0</v>
      </c>
      <c r="Q1616" s="46" t="s">
        <v>102</v>
      </c>
      <c r="R1616" s="46" t="s">
        <v>102</v>
      </c>
      <c r="S1616" s="46" t="s">
        <v>102</v>
      </c>
      <c r="T1616" s="46" t="s">
        <v>228</v>
      </c>
      <c r="U1616" s="51">
        <v>4</v>
      </c>
    </row>
    <row r="1617" spans="2:21" ht="14.5" outlineLevel="2">
      <c r="B1617" s="36" t="s">
        <v>4555</v>
      </c>
      <c r="C1617" s="37" t="s">
        <v>4556</v>
      </c>
      <c r="D1617" s="38" t="s">
        <v>458</v>
      </c>
      <c r="E1617" s="39" t="s">
        <v>102</v>
      </c>
      <c r="F1617" s="38" t="s">
        <v>102</v>
      </c>
      <c r="G1617" s="39" t="s">
        <v>102</v>
      </c>
      <c r="H1617" s="40">
        <v>0</v>
      </c>
      <c r="I1617" s="40">
        <v>0</v>
      </c>
      <c r="J1617" s="39" t="s">
        <v>4485</v>
      </c>
      <c r="K1617" s="41">
        <v>1</v>
      </c>
      <c r="L1617" s="41" t="s">
        <v>2614</v>
      </c>
      <c r="M1617" s="38" t="s">
        <v>117</v>
      </c>
      <c r="N1617" s="42">
        <v>0</v>
      </c>
      <c r="O1617" s="42">
        <v>0</v>
      </c>
      <c r="P1617" s="42">
        <v>0</v>
      </c>
      <c r="Q1617" s="38" t="s">
        <v>102</v>
      </c>
      <c r="R1617" s="38" t="s">
        <v>102</v>
      </c>
      <c r="S1617" s="38" t="s">
        <v>102</v>
      </c>
      <c r="T1617" s="38" t="s">
        <v>727</v>
      </c>
      <c r="U1617" s="43">
        <v>4</v>
      </c>
    </row>
    <row r="1618" spans="2:21" ht="14.5" outlineLevel="3">
      <c r="B1618" s="44" t="s">
        <v>4557</v>
      </c>
      <c r="C1618" s="45" t="s">
        <v>4558</v>
      </c>
      <c r="D1618" s="46" t="s">
        <v>276</v>
      </c>
      <c r="E1618" s="47" t="s">
        <v>102</v>
      </c>
      <c r="F1618" s="46" t="s">
        <v>102</v>
      </c>
      <c r="G1618" s="47" t="s">
        <v>102</v>
      </c>
      <c r="H1618" s="48">
        <v>0</v>
      </c>
      <c r="I1618" s="48">
        <v>0</v>
      </c>
      <c r="J1618" s="47" t="s">
        <v>4485</v>
      </c>
      <c r="K1618" s="49">
        <v>1</v>
      </c>
      <c r="L1618" s="49" t="s">
        <v>2614</v>
      </c>
      <c r="M1618" s="46" t="s">
        <v>117</v>
      </c>
      <c r="N1618" s="50">
        <v>0</v>
      </c>
      <c r="O1618" s="50">
        <v>0</v>
      </c>
      <c r="P1618" s="50">
        <v>0</v>
      </c>
      <c r="Q1618" s="46" t="s">
        <v>102</v>
      </c>
      <c r="R1618" s="46" t="s">
        <v>102</v>
      </c>
      <c r="S1618" s="46" t="s">
        <v>102</v>
      </c>
      <c r="T1618" s="46" t="s">
        <v>2781</v>
      </c>
      <c r="U1618" s="51">
        <v>4</v>
      </c>
    </row>
    <row r="1619" spans="2:21" ht="14.5" outlineLevel="3">
      <c r="B1619" s="44" t="s">
        <v>4559</v>
      </c>
      <c r="C1619" s="45" t="s">
        <v>4560</v>
      </c>
      <c r="D1619" s="46" t="s">
        <v>392</v>
      </c>
      <c r="E1619" s="47" t="s">
        <v>102</v>
      </c>
      <c r="F1619" s="46" t="s">
        <v>102</v>
      </c>
      <c r="G1619" s="47" t="s">
        <v>102</v>
      </c>
      <c r="H1619" s="48">
        <v>0</v>
      </c>
      <c r="I1619" s="48">
        <v>0</v>
      </c>
      <c r="J1619" s="47" t="s">
        <v>4485</v>
      </c>
      <c r="K1619" s="49">
        <v>1</v>
      </c>
      <c r="L1619" s="49" t="s">
        <v>2614</v>
      </c>
      <c r="M1619" s="46" t="s">
        <v>117</v>
      </c>
      <c r="N1619" s="50">
        <v>0</v>
      </c>
      <c r="O1619" s="50">
        <v>0</v>
      </c>
      <c r="P1619" s="50">
        <v>0</v>
      </c>
      <c r="Q1619" s="46" t="s">
        <v>102</v>
      </c>
      <c r="R1619" s="46" t="s">
        <v>102</v>
      </c>
      <c r="S1619" s="46" t="s">
        <v>102</v>
      </c>
      <c r="T1619" s="46" t="s">
        <v>3459</v>
      </c>
      <c r="U1619" s="51">
        <v>4</v>
      </c>
    </row>
    <row r="1620" spans="2:21" ht="14.5" outlineLevel="3">
      <c r="B1620" s="44" t="s">
        <v>4561</v>
      </c>
      <c r="C1620" s="45" t="s">
        <v>4562</v>
      </c>
      <c r="D1620" s="46" t="s">
        <v>392</v>
      </c>
      <c r="E1620" s="47" t="s">
        <v>102</v>
      </c>
      <c r="F1620" s="46" t="s">
        <v>102</v>
      </c>
      <c r="G1620" s="47" t="s">
        <v>102</v>
      </c>
      <c r="H1620" s="48">
        <v>0</v>
      </c>
      <c r="I1620" s="48">
        <v>0</v>
      </c>
      <c r="J1620" s="47" t="s">
        <v>4485</v>
      </c>
      <c r="K1620" s="49">
        <v>1</v>
      </c>
      <c r="L1620" s="49" t="s">
        <v>2614</v>
      </c>
      <c r="M1620" s="46" t="s">
        <v>117</v>
      </c>
      <c r="N1620" s="50">
        <v>0</v>
      </c>
      <c r="O1620" s="50">
        <v>0</v>
      </c>
      <c r="P1620" s="50">
        <v>0</v>
      </c>
      <c r="Q1620" s="46" t="s">
        <v>102</v>
      </c>
      <c r="R1620" s="46" t="s">
        <v>102</v>
      </c>
      <c r="S1620" s="46" t="s">
        <v>102</v>
      </c>
      <c r="T1620" s="46" t="s">
        <v>3431</v>
      </c>
      <c r="U1620" s="51">
        <v>4</v>
      </c>
    </row>
    <row r="1621" spans="2:21" ht="14.5" outlineLevel="3">
      <c r="B1621" s="44" t="s">
        <v>4563</v>
      </c>
      <c r="C1621" s="45" t="s">
        <v>4564</v>
      </c>
      <c r="D1621" s="46" t="s">
        <v>102</v>
      </c>
      <c r="E1621" s="47" t="s">
        <v>102</v>
      </c>
      <c r="F1621" s="46" t="s">
        <v>102</v>
      </c>
      <c r="G1621" s="47" t="s">
        <v>102</v>
      </c>
      <c r="H1621" s="48">
        <v>0</v>
      </c>
      <c r="I1621" s="48">
        <v>0</v>
      </c>
      <c r="J1621" s="47" t="s">
        <v>102</v>
      </c>
      <c r="K1621" s="49">
        <v>0</v>
      </c>
      <c r="L1621" s="49" t="s">
        <v>102</v>
      </c>
      <c r="M1621" s="46" t="s">
        <v>102</v>
      </c>
      <c r="N1621" s="50">
        <v>0</v>
      </c>
      <c r="O1621" s="50">
        <v>0</v>
      </c>
      <c r="P1621" s="50">
        <v>0</v>
      </c>
      <c r="Q1621" s="46" t="s">
        <v>102</v>
      </c>
      <c r="R1621" s="46" t="s">
        <v>102</v>
      </c>
      <c r="S1621" s="46" t="s">
        <v>4565</v>
      </c>
      <c r="T1621" s="46" t="s">
        <v>102</v>
      </c>
      <c r="U1621" s="51">
        <v>3</v>
      </c>
    </row>
    <row r="1622" spans="2:21" ht="14.5" outlineLevel="3">
      <c r="B1622" s="44" t="s">
        <v>4566</v>
      </c>
      <c r="C1622" s="45" t="s">
        <v>4564</v>
      </c>
      <c r="D1622" s="46" t="s">
        <v>392</v>
      </c>
      <c r="E1622" s="47" t="s">
        <v>102</v>
      </c>
      <c r="F1622" s="46" t="s">
        <v>102</v>
      </c>
      <c r="G1622" s="47" t="s">
        <v>102</v>
      </c>
      <c r="H1622" s="48">
        <v>0</v>
      </c>
      <c r="I1622" s="48">
        <v>0</v>
      </c>
      <c r="J1622" s="47" t="s">
        <v>4485</v>
      </c>
      <c r="K1622" s="49">
        <v>1</v>
      </c>
      <c r="L1622" s="49" t="s">
        <v>2614</v>
      </c>
      <c r="M1622" s="46" t="s">
        <v>117</v>
      </c>
      <c r="N1622" s="50">
        <v>0</v>
      </c>
      <c r="O1622" s="50">
        <v>0</v>
      </c>
      <c r="P1622" s="50">
        <v>0</v>
      </c>
      <c r="Q1622" s="46" t="s">
        <v>102</v>
      </c>
      <c r="R1622" s="46" t="s">
        <v>102</v>
      </c>
      <c r="S1622" s="46" t="s">
        <v>102</v>
      </c>
      <c r="T1622" s="46" t="s">
        <v>2718</v>
      </c>
      <c r="U1622" s="51">
        <v>4</v>
      </c>
    </row>
    <row r="1623" spans="2:21" ht="14.5" outlineLevel="3">
      <c r="B1623" s="44" t="s">
        <v>4567</v>
      </c>
      <c r="C1623" s="45" t="s">
        <v>4568</v>
      </c>
      <c r="D1623" s="46" t="s">
        <v>102</v>
      </c>
      <c r="E1623" s="47" t="s">
        <v>102</v>
      </c>
      <c r="F1623" s="46" t="s">
        <v>102</v>
      </c>
      <c r="G1623" s="47" t="s">
        <v>102</v>
      </c>
      <c r="H1623" s="48">
        <v>0</v>
      </c>
      <c r="I1623" s="48">
        <v>0</v>
      </c>
      <c r="J1623" s="47" t="s">
        <v>102</v>
      </c>
      <c r="K1623" s="49">
        <v>0</v>
      </c>
      <c r="L1623" s="49" t="s">
        <v>102</v>
      </c>
      <c r="M1623" s="46" t="s">
        <v>102</v>
      </c>
      <c r="N1623" s="50">
        <v>0</v>
      </c>
      <c r="O1623" s="50">
        <v>0</v>
      </c>
      <c r="P1623" s="50">
        <v>0</v>
      </c>
      <c r="Q1623" s="46" t="s">
        <v>102</v>
      </c>
      <c r="R1623" s="46" t="s">
        <v>102</v>
      </c>
      <c r="S1623" s="46" t="s">
        <v>4569</v>
      </c>
      <c r="T1623" s="46" t="s">
        <v>102</v>
      </c>
      <c r="U1623" s="51">
        <v>3</v>
      </c>
    </row>
    <row r="1624" spans="2:21" ht="14.5" outlineLevel="3">
      <c r="B1624" s="44" t="s">
        <v>4570</v>
      </c>
      <c r="C1624" s="45" t="s">
        <v>4571</v>
      </c>
      <c r="D1624" s="46" t="s">
        <v>458</v>
      </c>
      <c r="E1624" s="47" t="s">
        <v>102</v>
      </c>
      <c r="F1624" s="46" t="s">
        <v>102</v>
      </c>
      <c r="G1624" s="47" t="s">
        <v>102</v>
      </c>
      <c r="H1624" s="48">
        <v>0</v>
      </c>
      <c r="I1624" s="48">
        <v>0</v>
      </c>
      <c r="J1624" s="47" t="s">
        <v>4485</v>
      </c>
      <c r="K1624" s="49">
        <v>1</v>
      </c>
      <c r="L1624" s="49" t="s">
        <v>2614</v>
      </c>
      <c r="M1624" s="46" t="s">
        <v>117</v>
      </c>
      <c r="N1624" s="50">
        <v>0</v>
      </c>
      <c r="O1624" s="50">
        <v>0</v>
      </c>
      <c r="P1624" s="50">
        <v>0</v>
      </c>
      <c r="Q1624" s="46" t="s">
        <v>102</v>
      </c>
      <c r="R1624" s="46" t="s">
        <v>102</v>
      </c>
      <c r="S1624" s="46" t="s">
        <v>102</v>
      </c>
      <c r="T1624" s="46" t="s">
        <v>1019</v>
      </c>
      <c r="U1624" s="51">
        <v>4</v>
      </c>
    </row>
    <row r="1625" spans="2:21" ht="14.5" outlineLevel="3">
      <c r="B1625" s="44" t="s">
        <v>4572</v>
      </c>
      <c r="C1625" s="45" t="s">
        <v>4573</v>
      </c>
      <c r="D1625" s="46" t="s">
        <v>4002</v>
      </c>
      <c r="E1625" s="47" t="s">
        <v>102</v>
      </c>
      <c r="F1625" s="46" t="s">
        <v>102</v>
      </c>
      <c r="G1625" s="47" t="s">
        <v>102</v>
      </c>
      <c r="H1625" s="48">
        <v>0</v>
      </c>
      <c r="I1625" s="48">
        <v>0</v>
      </c>
      <c r="J1625" s="47" t="s">
        <v>4485</v>
      </c>
      <c r="K1625" s="49">
        <v>1</v>
      </c>
      <c r="L1625" s="49" t="s">
        <v>2614</v>
      </c>
      <c r="M1625" s="46" t="s">
        <v>117</v>
      </c>
      <c r="N1625" s="50">
        <v>0</v>
      </c>
      <c r="O1625" s="50">
        <v>0</v>
      </c>
      <c r="P1625" s="50">
        <v>0</v>
      </c>
      <c r="Q1625" s="46" t="s">
        <v>102</v>
      </c>
      <c r="R1625" s="46" t="s">
        <v>102</v>
      </c>
      <c r="S1625" s="46" t="s">
        <v>102</v>
      </c>
      <c r="T1625" s="46" t="s">
        <v>2815</v>
      </c>
      <c r="U1625" s="51">
        <v>4</v>
      </c>
    </row>
    <row r="1626" spans="2:21" ht="14.5" outlineLevel="3">
      <c r="B1626" s="44" t="s">
        <v>4574</v>
      </c>
      <c r="C1626" s="45" t="s">
        <v>4575</v>
      </c>
      <c r="D1626" s="46" t="s">
        <v>458</v>
      </c>
      <c r="E1626" s="47" t="s">
        <v>102</v>
      </c>
      <c r="F1626" s="46" t="s">
        <v>102</v>
      </c>
      <c r="G1626" s="47" t="s">
        <v>102</v>
      </c>
      <c r="H1626" s="48">
        <v>0</v>
      </c>
      <c r="I1626" s="48">
        <v>0</v>
      </c>
      <c r="J1626" s="47" t="s">
        <v>4485</v>
      </c>
      <c r="K1626" s="49">
        <v>1</v>
      </c>
      <c r="L1626" s="49" t="s">
        <v>2614</v>
      </c>
      <c r="M1626" s="46" t="s">
        <v>117</v>
      </c>
      <c r="N1626" s="50">
        <v>0</v>
      </c>
      <c r="O1626" s="50">
        <v>0</v>
      </c>
      <c r="P1626" s="50">
        <v>0</v>
      </c>
      <c r="Q1626" s="46" t="s">
        <v>102</v>
      </c>
      <c r="R1626" s="46" t="s">
        <v>102</v>
      </c>
      <c r="S1626" s="46" t="s">
        <v>102</v>
      </c>
      <c r="T1626" s="46" t="s">
        <v>461</v>
      </c>
      <c r="U1626" s="51">
        <v>4</v>
      </c>
    </row>
    <row r="1627" spans="2:21" ht="14.5" outlineLevel="3">
      <c r="B1627" s="44" t="s">
        <v>4576</v>
      </c>
      <c r="C1627" s="45" t="s">
        <v>4577</v>
      </c>
      <c r="D1627" s="46" t="s">
        <v>458</v>
      </c>
      <c r="E1627" s="47" t="s">
        <v>102</v>
      </c>
      <c r="F1627" s="46" t="s">
        <v>102</v>
      </c>
      <c r="G1627" s="47" t="s">
        <v>102</v>
      </c>
      <c r="H1627" s="48">
        <v>0</v>
      </c>
      <c r="I1627" s="48">
        <v>0</v>
      </c>
      <c r="J1627" s="47" t="s">
        <v>4485</v>
      </c>
      <c r="K1627" s="49">
        <v>1</v>
      </c>
      <c r="L1627" s="49" t="s">
        <v>2614</v>
      </c>
      <c r="M1627" s="46" t="s">
        <v>117</v>
      </c>
      <c r="N1627" s="50">
        <v>0</v>
      </c>
      <c r="O1627" s="50">
        <v>0</v>
      </c>
      <c r="P1627" s="50">
        <v>0</v>
      </c>
      <c r="Q1627" s="46" t="s">
        <v>102</v>
      </c>
      <c r="R1627" s="46" t="s">
        <v>102</v>
      </c>
      <c r="S1627" s="46" t="s">
        <v>102</v>
      </c>
      <c r="T1627" s="46" t="s">
        <v>4578</v>
      </c>
      <c r="U1627" s="51">
        <v>4</v>
      </c>
    </row>
    <row r="1628" spans="2:21" ht="14.5" outlineLevel="2">
      <c r="B1628" s="36" t="s">
        <v>4579</v>
      </c>
      <c r="C1628" s="37" t="s">
        <v>4580</v>
      </c>
      <c r="D1628" s="38" t="s">
        <v>4002</v>
      </c>
      <c r="E1628" s="39" t="s">
        <v>102</v>
      </c>
      <c r="F1628" s="38" t="s">
        <v>102</v>
      </c>
      <c r="G1628" s="39" t="s">
        <v>102</v>
      </c>
      <c r="H1628" s="40">
        <v>0</v>
      </c>
      <c r="I1628" s="40">
        <v>0</v>
      </c>
      <c r="J1628" s="39" t="s">
        <v>4485</v>
      </c>
      <c r="K1628" s="41">
        <v>1</v>
      </c>
      <c r="L1628" s="41" t="s">
        <v>2614</v>
      </c>
      <c r="M1628" s="38" t="s">
        <v>117</v>
      </c>
      <c r="N1628" s="42">
        <v>0</v>
      </c>
      <c r="O1628" s="42">
        <v>0</v>
      </c>
      <c r="P1628" s="42">
        <v>0</v>
      </c>
      <c r="Q1628" s="38" t="s">
        <v>102</v>
      </c>
      <c r="R1628" s="38" t="s">
        <v>102</v>
      </c>
      <c r="S1628" s="38" t="s">
        <v>102</v>
      </c>
      <c r="T1628" s="38" t="s">
        <v>466</v>
      </c>
      <c r="U1628" s="43">
        <v>4</v>
      </c>
    </row>
    <row r="1629" spans="2:21" ht="14.5" outlineLevel="3">
      <c r="B1629" s="44" t="s">
        <v>4581</v>
      </c>
      <c r="C1629" s="45" t="s">
        <v>4582</v>
      </c>
      <c r="D1629" s="46" t="s">
        <v>458</v>
      </c>
      <c r="E1629" s="47" t="s">
        <v>102</v>
      </c>
      <c r="F1629" s="46" t="s">
        <v>102</v>
      </c>
      <c r="G1629" s="47" t="s">
        <v>102</v>
      </c>
      <c r="H1629" s="48">
        <v>0</v>
      </c>
      <c r="I1629" s="48">
        <v>0</v>
      </c>
      <c r="J1629" s="47" t="s">
        <v>4485</v>
      </c>
      <c r="K1629" s="49">
        <v>1</v>
      </c>
      <c r="L1629" s="49" t="s">
        <v>2614</v>
      </c>
      <c r="M1629" s="46" t="s">
        <v>117</v>
      </c>
      <c r="N1629" s="50">
        <v>0</v>
      </c>
      <c r="O1629" s="50">
        <v>0</v>
      </c>
      <c r="P1629" s="50">
        <v>0</v>
      </c>
      <c r="Q1629" s="46" t="s">
        <v>102</v>
      </c>
      <c r="R1629" s="46" t="s">
        <v>102</v>
      </c>
      <c r="S1629" s="46" t="s">
        <v>102</v>
      </c>
      <c r="T1629" s="46" t="s">
        <v>2828</v>
      </c>
      <c r="U1629" s="51">
        <v>4</v>
      </c>
    </row>
    <row r="1630" spans="2:21" ht="14.5" outlineLevel="3">
      <c r="B1630" s="44" t="s">
        <v>4583</v>
      </c>
      <c r="C1630" s="45" t="s">
        <v>4584</v>
      </c>
      <c r="D1630" s="46" t="s">
        <v>111</v>
      </c>
      <c r="E1630" s="47" t="s">
        <v>102</v>
      </c>
      <c r="F1630" s="46" t="s">
        <v>102</v>
      </c>
      <c r="G1630" s="47" t="s">
        <v>102</v>
      </c>
      <c r="H1630" s="48">
        <v>0</v>
      </c>
      <c r="I1630" s="48">
        <v>0</v>
      </c>
      <c r="J1630" s="47" t="s">
        <v>4485</v>
      </c>
      <c r="K1630" s="49">
        <v>1</v>
      </c>
      <c r="L1630" s="49" t="s">
        <v>2614</v>
      </c>
      <c r="M1630" s="46" t="s">
        <v>117</v>
      </c>
      <c r="N1630" s="50">
        <v>0</v>
      </c>
      <c r="O1630" s="50">
        <v>0</v>
      </c>
      <c r="P1630" s="50">
        <v>0</v>
      </c>
      <c r="Q1630" s="46" t="s">
        <v>102</v>
      </c>
      <c r="R1630" s="46" t="s">
        <v>102</v>
      </c>
      <c r="S1630" s="46" t="s">
        <v>102</v>
      </c>
      <c r="T1630" s="46" t="s">
        <v>2773</v>
      </c>
      <c r="U1630" s="51">
        <v>4</v>
      </c>
    </row>
    <row r="1631" spans="2:21" ht="14.5" outlineLevel="2">
      <c r="B1631" s="36" t="s">
        <v>4585</v>
      </c>
      <c r="C1631" s="37" t="s">
        <v>4586</v>
      </c>
      <c r="D1631" s="38" t="s">
        <v>458</v>
      </c>
      <c r="E1631" s="39" t="s">
        <v>102</v>
      </c>
      <c r="F1631" s="38" t="s">
        <v>102</v>
      </c>
      <c r="G1631" s="39" t="s">
        <v>102</v>
      </c>
      <c r="H1631" s="40">
        <v>0</v>
      </c>
      <c r="I1631" s="40">
        <v>0</v>
      </c>
      <c r="J1631" s="39" t="s">
        <v>4485</v>
      </c>
      <c r="K1631" s="41">
        <v>1</v>
      </c>
      <c r="L1631" s="41" t="s">
        <v>2614</v>
      </c>
      <c r="M1631" s="38" t="s">
        <v>117</v>
      </c>
      <c r="N1631" s="42">
        <v>0</v>
      </c>
      <c r="O1631" s="42">
        <v>0</v>
      </c>
      <c r="P1631" s="42">
        <v>0</v>
      </c>
      <c r="Q1631" s="38" t="s">
        <v>102</v>
      </c>
      <c r="R1631" s="38" t="s">
        <v>102</v>
      </c>
      <c r="S1631" s="38" t="s">
        <v>102</v>
      </c>
      <c r="T1631" s="38" t="s">
        <v>2831</v>
      </c>
      <c r="U1631" s="43">
        <v>4</v>
      </c>
    </row>
    <row r="1632" spans="2:21" ht="14.5" outlineLevel="3">
      <c r="B1632" s="44" t="s">
        <v>4587</v>
      </c>
      <c r="C1632" s="45" t="s">
        <v>4588</v>
      </c>
      <c r="D1632" s="46" t="s">
        <v>392</v>
      </c>
      <c r="E1632" s="47" t="s">
        <v>102</v>
      </c>
      <c r="F1632" s="46" t="s">
        <v>102</v>
      </c>
      <c r="G1632" s="47" t="s">
        <v>102</v>
      </c>
      <c r="H1632" s="48">
        <v>0</v>
      </c>
      <c r="I1632" s="48">
        <v>0</v>
      </c>
      <c r="J1632" s="47" t="s">
        <v>4485</v>
      </c>
      <c r="K1632" s="49">
        <v>1</v>
      </c>
      <c r="L1632" s="49" t="s">
        <v>2614</v>
      </c>
      <c r="M1632" s="46" t="s">
        <v>117</v>
      </c>
      <c r="N1632" s="50">
        <v>0</v>
      </c>
      <c r="O1632" s="50">
        <v>0</v>
      </c>
      <c r="P1632" s="50">
        <v>0</v>
      </c>
      <c r="Q1632" s="46" t="s">
        <v>102</v>
      </c>
      <c r="R1632" s="46" t="s">
        <v>102</v>
      </c>
      <c r="S1632" s="46" t="s">
        <v>102</v>
      </c>
      <c r="T1632" s="46" t="s">
        <v>2666</v>
      </c>
      <c r="U1632" s="51">
        <v>4</v>
      </c>
    </row>
    <row r="1633" spans="2:21" ht="14.5" outlineLevel="3">
      <c r="B1633" s="44" t="s">
        <v>4589</v>
      </c>
      <c r="C1633" s="45" t="s">
        <v>4590</v>
      </c>
      <c r="D1633" s="46" t="s">
        <v>392</v>
      </c>
      <c r="E1633" s="47" t="s">
        <v>102</v>
      </c>
      <c r="F1633" s="46" t="s">
        <v>102</v>
      </c>
      <c r="G1633" s="47" t="s">
        <v>102</v>
      </c>
      <c r="H1633" s="48">
        <v>0</v>
      </c>
      <c r="I1633" s="48">
        <v>0</v>
      </c>
      <c r="J1633" s="47" t="s">
        <v>4485</v>
      </c>
      <c r="K1633" s="49">
        <v>1</v>
      </c>
      <c r="L1633" s="49" t="s">
        <v>2614</v>
      </c>
      <c r="M1633" s="46" t="s">
        <v>117</v>
      </c>
      <c r="N1633" s="50">
        <v>0</v>
      </c>
      <c r="O1633" s="50">
        <v>0</v>
      </c>
      <c r="P1633" s="50">
        <v>0</v>
      </c>
      <c r="Q1633" s="46" t="s">
        <v>102</v>
      </c>
      <c r="R1633" s="46" t="s">
        <v>102</v>
      </c>
      <c r="S1633" s="46" t="s">
        <v>102</v>
      </c>
      <c r="T1633" s="46" t="s">
        <v>3431</v>
      </c>
      <c r="U1633" s="51">
        <v>4</v>
      </c>
    </row>
    <row r="1634" spans="2:21" ht="14.5" outlineLevel="3">
      <c r="B1634" s="44" t="s">
        <v>4591</v>
      </c>
      <c r="C1634" s="45" t="s">
        <v>4592</v>
      </c>
      <c r="D1634" s="46" t="s">
        <v>102</v>
      </c>
      <c r="E1634" s="47" t="s">
        <v>102</v>
      </c>
      <c r="F1634" s="46" t="s">
        <v>102</v>
      </c>
      <c r="G1634" s="47" t="s">
        <v>102</v>
      </c>
      <c r="H1634" s="48">
        <v>0</v>
      </c>
      <c r="I1634" s="48">
        <v>0</v>
      </c>
      <c r="J1634" s="47" t="s">
        <v>102</v>
      </c>
      <c r="K1634" s="49">
        <v>0</v>
      </c>
      <c r="L1634" s="49" t="s">
        <v>102</v>
      </c>
      <c r="M1634" s="46" t="s">
        <v>102</v>
      </c>
      <c r="N1634" s="50">
        <v>0</v>
      </c>
      <c r="O1634" s="50">
        <v>0</v>
      </c>
      <c r="P1634" s="50">
        <v>0</v>
      </c>
      <c r="Q1634" s="46" t="s">
        <v>102</v>
      </c>
      <c r="R1634" s="46" t="s">
        <v>102</v>
      </c>
      <c r="S1634" s="46" t="s">
        <v>4593</v>
      </c>
      <c r="T1634" s="46" t="s">
        <v>102</v>
      </c>
      <c r="U1634" s="51">
        <v>3</v>
      </c>
    </row>
    <row r="1635" spans="2:21" ht="14.5" outlineLevel="3">
      <c r="B1635" s="44" t="s">
        <v>4594</v>
      </c>
      <c r="C1635" s="45" t="s">
        <v>4595</v>
      </c>
      <c r="D1635" s="46" t="s">
        <v>392</v>
      </c>
      <c r="E1635" s="47" t="s">
        <v>102</v>
      </c>
      <c r="F1635" s="46" t="s">
        <v>102</v>
      </c>
      <c r="G1635" s="47" t="s">
        <v>102</v>
      </c>
      <c r="H1635" s="48">
        <v>0</v>
      </c>
      <c r="I1635" s="48">
        <v>0</v>
      </c>
      <c r="J1635" s="47" t="s">
        <v>4485</v>
      </c>
      <c r="K1635" s="49">
        <v>1</v>
      </c>
      <c r="L1635" s="49" t="s">
        <v>2614</v>
      </c>
      <c r="M1635" s="46" t="s">
        <v>117</v>
      </c>
      <c r="N1635" s="50">
        <v>0</v>
      </c>
      <c r="O1635" s="50">
        <v>0</v>
      </c>
      <c r="P1635" s="50">
        <v>0</v>
      </c>
      <c r="Q1635" s="46" t="s">
        <v>102</v>
      </c>
      <c r="R1635" s="46" t="s">
        <v>102</v>
      </c>
      <c r="S1635" s="46" t="s">
        <v>102</v>
      </c>
      <c r="T1635" s="46" t="s">
        <v>1019</v>
      </c>
      <c r="U1635" s="51">
        <v>4</v>
      </c>
    </row>
    <row r="1636" spans="2:21" ht="14.5" outlineLevel="3">
      <c r="B1636" s="44" t="s">
        <v>4596</v>
      </c>
      <c r="C1636" s="45" t="s">
        <v>4597</v>
      </c>
      <c r="D1636" s="46" t="s">
        <v>458</v>
      </c>
      <c r="E1636" s="47" t="s">
        <v>102</v>
      </c>
      <c r="F1636" s="46" t="s">
        <v>102</v>
      </c>
      <c r="G1636" s="47" t="s">
        <v>102</v>
      </c>
      <c r="H1636" s="48">
        <v>0</v>
      </c>
      <c r="I1636" s="48">
        <v>0</v>
      </c>
      <c r="J1636" s="47" t="s">
        <v>4485</v>
      </c>
      <c r="K1636" s="49">
        <v>1</v>
      </c>
      <c r="L1636" s="49" t="s">
        <v>2614</v>
      </c>
      <c r="M1636" s="46" t="s">
        <v>117</v>
      </c>
      <c r="N1636" s="50">
        <v>0</v>
      </c>
      <c r="O1636" s="50">
        <v>0</v>
      </c>
      <c r="P1636" s="50">
        <v>0</v>
      </c>
      <c r="Q1636" s="46" t="s">
        <v>102</v>
      </c>
      <c r="R1636" s="46" t="s">
        <v>102</v>
      </c>
      <c r="S1636" s="46" t="s">
        <v>102</v>
      </c>
      <c r="T1636" s="46" t="s">
        <v>2828</v>
      </c>
      <c r="U1636" s="51">
        <v>4</v>
      </c>
    </row>
    <row r="1637" spans="2:21" ht="14.5" outlineLevel="3">
      <c r="B1637" s="44" t="s">
        <v>4598</v>
      </c>
      <c r="C1637" s="45" t="s">
        <v>4599</v>
      </c>
      <c r="D1637" s="46" t="s">
        <v>102</v>
      </c>
      <c r="E1637" s="47" t="s">
        <v>102</v>
      </c>
      <c r="F1637" s="46" t="s">
        <v>102</v>
      </c>
      <c r="G1637" s="47" t="s">
        <v>102</v>
      </c>
      <c r="H1637" s="48">
        <v>0</v>
      </c>
      <c r="I1637" s="48">
        <v>0</v>
      </c>
      <c r="J1637" s="47" t="s">
        <v>102</v>
      </c>
      <c r="K1637" s="49">
        <v>0</v>
      </c>
      <c r="L1637" s="49" t="s">
        <v>102</v>
      </c>
      <c r="M1637" s="46" t="s">
        <v>102</v>
      </c>
      <c r="N1637" s="50">
        <v>0</v>
      </c>
      <c r="O1637" s="50">
        <v>0</v>
      </c>
      <c r="P1637" s="50">
        <v>0</v>
      </c>
      <c r="Q1637" s="46" t="s">
        <v>102</v>
      </c>
      <c r="R1637" s="46" t="s">
        <v>102</v>
      </c>
      <c r="S1637" s="46" t="s">
        <v>4600</v>
      </c>
      <c r="T1637" s="46" t="s">
        <v>102</v>
      </c>
      <c r="U1637" s="51">
        <v>3</v>
      </c>
    </row>
    <row r="1638" spans="2:21" ht="14.5" outlineLevel="3">
      <c r="B1638" s="44" t="s">
        <v>4601</v>
      </c>
      <c r="C1638" s="45" t="s">
        <v>4602</v>
      </c>
      <c r="D1638" s="46" t="s">
        <v>276</v>
      </c>
      <c r="E1638" s="47" t="s">
        <v>102</v>
      </c>
      <c r="F1638" s="46" t="s">
        <v>102</v>
      </c>
      <c r="G1638" s="47" t="s">
        <v>102</v>
      </c>
      <c r="H1638" s="48">
        <v>0</v>
      </c>
      <c r="I1638" s="48">
        <v>0</v>
      </c>
      <c r="J1638" s="47" t="s">
        <v>4485</v>
      </c>
      <c r="K1638" s="49">
        <v>1</v>
      </c>
      <c r="L1638" s="49" t="s">
        <v>2614</v>
      </c>
      <c r="M1638" s="46" t="s">
        <v>117</v>
      </c>
      <c r="N1638" s="50">
        <v>0</v>
      </c>
      <c r="O1638" s="50">
        <v>0</v>
      </c>
      <c r="P1638" s="50">
        <v>0</v>
      </c>
      <c r="Q1638" s="46" t="s">
        <v>102</v>
      </c>
      <c r="R1638" s="46" t="s">
        <v>102</v>
      </c>
      <c r="S1638" s="46" t="s">
        <v>102</v>
      </c>
      <c r="T1638" s="46" t="s">
        <v>118</v>
      </c>
      <c r="U1638" s="51">
        <v>4</v>
      </c>
    </row>
    <row r="1639" spans="2:21" ht="14.5" outlineLevel="3">
      <c r="B1639" s="44" t="s">
        <v>4603</v>
      </c>
      <c r="C1639" s="45" t="s">
        <v>4604</v>
      </c>
      <c r="D1639" s="46" t="s">
        <v>392</v>
      </c>
      <c r="E1639" s="47" t="s">
        <v>102</v>
      </c>
      <c r="F1639" s="46" t="s">
        <v>102</v>
      </c>
      <c r="G1639" s="47" t="s">
        <v>102</v>
      </c>
      <c r="H1639" s="48">
        <v>0</v>
      </c>
      <c r="I1639" s="48">
        <v>0</v>
      </c>
      <c r="J1639" s="47" t="s">
        <v>4485</v>
      </c>
      <c r="K1639" s="49">
        <v>1</v>
      </c>
      <c r="L1639" s="49" t="s">
        <v>2614</v>
      </c>
      <c r="M1639" s="46" t="s">
        <v>117</v>
      </c>
      <c r="N1639" s="50">
        <v>0</v>
      </c>
      <c r="O1639" s="50">
        <v>0</v>
      </c>
      <c r="P1639" s="50">
        <v>0</v>
      </c>
      <c r="Q1639" s="46" t="s">
        <v>102</v>
      </c>
      <c r="R1639" s="46" t="s">
        <v>102</v>
      </c>
      <c r="S1639" s="46" t="s">
        <v>102</v>
      </c>
      <c r="T1639" s="46" t="s">
        <v>138</v>
      </c>
      <c r="U1639" s="51">
        <v>4</v>
      </c>
    </row>
    <row r="1640" spans="2:21" ht="14.5" outlineLevel="3">
      <c r="B1640" s="44" t="s">
        <v>4605</v>
      </c>
      <c r="C1640" s="45" t="s">
        <v>4606</v>
      </c>
      <c r="D1640" s="46" t="s">
        <v>392</v>
      </c>
      <c r="E1640" s="47" t="s">
        <v>102</v>
      </c>
      <c r="F1640" s="46" t="s">
        <v>102</v>
      </c>
      <c r="G1640" s="47" t="s">
        <v>102</v>
      </c>
      <c r="H1640" s="48">
        <v>0</v>
      </c>
      <c r="I1640" s="48">
        <v>0</v>
      </c>
      <c r="J1640" s="47" t="s">
        <v>4485</v>
      </c>
      <c r="K1640" s="49">
        <v>1</v>
      </c>
      <c r="L1640" s="49" t="s">
        <v>2614</v>
      </c>
      <c r="M1640" s="46" t="s">
        <v>117</v>
      </c>
      <c r="N1640" s="50">
        <v>0</v>
      </c>
      <c r="O1640" s="50">
        <v>0</v>
      </c>
      <c r="P1640" s="50">
        <v>0</v>
      </c>
      <c r="Q1640" s="46" t="s">
        <v>102</v>
      </c>
      <c r="R1640" s="46" t="s">
        <v>102</v>
      </c>
      <c r="S1640" s="46" t="s">
        <v>102</v>
      </c>
      <c r="T1640" s="46" t="s">
        <v>192</v>
      </c>
      <c r="U1640" s="51">
        <v>4</v>
      </c>
    </row>
    <row r="1641" spans="2:21" ht="14.5" outlineLevel="3">
      <c r="B1641" s="44" t="s">
        <v>4607</v>
      </c>
      <c r="C1641" s="45" t="s">
        <v>4608</v>
      </c>
      <c r="D1641" s="46" t="s">
        <v>392</v>
      </c>
      <c r="E1641" s="47" t="s">
        <v>102</v>
      </c>
      <c r="F1641" s="46" t="s">
        <v>102</v>
      </c>
      <c r="G1641" s="47" t="s">
        <v>102</v>
      </c>
      <c r="H1641" s="48">
        <v>0</v>
      </c>
      <c r="I1641" s="48">
        <v>0</v>
      </c>
      <c r="J1641" s="47" t="s">
        <v>4485</v>
      </c>
      <c r="K1641" s="49">
        <v>1</v>
      </c>
      <c r="L1641" s="49" t="s">
        <v>2614</v>
      </c>
      <c r="M1641" s="46" t="s">
        <v>117</v>
      </c>
      <c r="N1641" s="50">
        <v>0</v>
      </c>
      <c r="O1641" s="50">
        <v>0</v>
      </c>
      <c r="P1641" s="50">
        <v>0</v>
      </c>
      <c r="Q1641" s="46" t="s">
        <v>102</v>
      </c>
      <c r="R1641" s="46" t="s">
        <v>102</v>
      </c>
      <c r="S1641" s="46" t="s">
        <v>102</v>
      </c>
      <c r="T1641" s="46" t="s">
        <v>615</v>
      </c>
      <c r="U1641" s="51">
        <v>4</v>
      </c>
    </row>
    <row r="1642" spans="2:21" ht="14.5" outlineLevel="3">
      <c r="B1642" s="44" t="s">
        <v>4609</v>
      </c>
      <c r="C1642" s="45" t="s">
        <v>4610</v>
      </c>
      <c r="D1642" s="46" t="s">
        <v>392</v>
      </c>
      <c r="E1642" s="47" t="s">
        <v>102</v>
      </c>
      <c r="F1642" s="46" t="s">
        <v>102</v>
      </c>
      <c r="G1642" s="47" t="s">
        <v>102</v>
      </c>
      <c r="H1642" s="48">
        <v>0</v>
      </c>
      <c r="I1642" s="48">
        <v>0</v>
      </c>
      <c r="J1642" s="47" t="s">
        <v>4485</v>
      </c>
      <c r="K1642" s="49">
        <v>1</v>
      </c>
      <c r="L1642" s="49" t="s">
        <v>2614</v>
      </c>
      <c r="M1642" s="46" t="s">
        <v>117</v>
      </c>
      <c r="N1642" s="50">
        <v>0</v>
      </c>
      <c r="O1642" s="50">
        <v>0</v>
      </c>
      <c r="P1642" s="50">
        <v>0</v>
      </c>
      <c r="Q1642" s="46" t="s">
        <v>102</v>
      </c>
      <c r="R1642" s="46" t="s">
        <v>102</v>
      </c>
      <c r="S1642" s="46" t="s">
        <v>102</v>
      </c>
      <c r="T1642" s="46" t="s">
        <v>268</v>
      </c>
      <c r="U1642" s="51">
        <v>4</v>
      </c>
    </row>
    <row r="1643" spans="2:21" ht="14.5" outlineLevel="3">
      <c r="B1643" s="44" t="s">
        <v>4611</v>
      </c>
      <c r="C1643" s="45" t="s">
        <v>4612</v>
      </c>
      <c r="D1643" s="46" t="s">
        <v>458</v>
      </c>
      <c r="E1643" s="47" t="s">
        <v>102</v>
      </c>
      <c r="F1643" s="46" t="s">
        <v>102</v>
      </c>
      <c r="G1643" s="47" t="s">
        <v>102</v>
      </c>
      <c r="H1643" s="48">
        <v>0</v>
      </c>
      <c r="I1643" s="48">
        <v>0</v>
      </c>
      <c r="J1643" s="47" t="s">
        <v>4485</v>
      </c>
      <c r="K1643" s="49">
        <v>1</v>
      </c>
      <c r="L1643" s="49" t="s">
        <v>2614</v>
      </c>
      <c r="M1643" s="46" t="s">
        <v>117</v>
      </c>
      <c r="N1643" s="50">
        <v>0</v>
      </c>
      <c r="O1643" s="50">
        <v>0</v>
      </c>
      <c r="P1643" s="50">
        <v>0</v>
      </c>
      <c r="Q1643" s="46" t="s">
        <v>102</v>
      </c>
      <c r="R1643" s="46" t="s">
        <v>102</v>
      </c>
      <c r="S1643" s="46" t="s">
        <v>102</v>
      </c>
      <c r="T1643" s="46" t="s">
        <v>208</v>
      </c>
      <c r="U1643" s="51">
        <v>4</v>
      </c>
    </row>
    <row r="1644" spans="2:21" ht="14.5" outlineLevel="3">
      <c r="B1644" s="44" t="s">
        <v>4613</v>
      </c>
      <c r="C1644" s="45" t="s">
        <v>4614</v>
      </c>
      <c r="D1644" s="46" t="s">
        <v>458</v>
      </c>
      <c r="E1644" s="47" t="s">
        <v>102</v>
      </c>
      <c r="F1644" s="46" t="s">
        <v>102</v>
      </c>
      <c r="G1644" s="47" t="s">
        <v>102</v>
      </c>
      <c r="H1644" s="48">
        <v>0</v>
      </c>
      <c r="I1644" s="48">
        <v>0</v>
      </c>
      <c r="J1644" s="47" t="s">
        <v>4485</v>
      </c>
      <c r="K1644" s="49">
        <v>1</v>
      </c>
      <c r="L1644" s="49" t="s">
        <v>2614</v>
      </c>
      <c r="M1644" s="46" t="s">
        <v>117</v>
      </c>
      <c r="N1644" s="50">
        <v>0</v>
      </c>
      <c r="O1644" s="50">
        <v>0</v>
      </c>
      <c r="P1644" s="50">
        <v>0</v>
      </c>
      <c r="Q1644" s="46" t="s">
        <v>102</v>
      </c>
      <c r="R1644" s="46" t="s">
        <v>102</v>
      </c>
      <c r="S1644" s="46" t="s">
        <v>102</v>
      </c>
      <c r="T1644" s="46" t="s">
        <v>303</v>
      </c>
      <c r="U1644" s="51">
        <v>4</v>
      </c>
    </row>
    <row r="1645" spans="2:21" ht="14.5" outlineLevel="3">
      <c r="B1645" s="44" t="s">
        <v>4615</v>
      </c>
      <c r="C1645" s="45" t="s">
        <v>4616</v>
      </c>
      <c r="D1645" s="46" t="s">
        <v>276</v>
      </c>
      <c r="E1645" s="47" t="s">
        <v>102</v>
      </c>
      <c r="F1645" s="46" t="s">
        <v>102</v>
      </c>
      <c r="G1645" s="47" t="s">
        <v>102</v>
      </c>
      <c r="H1645" s="48">
        <v>0</v>
      </c>
      <c r="I1645" s="48">
        <v>0</v>
      </c>
      <c r="J1645" s="47" t="s">
        <v>4485</v>
      </c>
      <c r="K1645" s="49">
        <v>1</v>
      </c>
      <c r="L1645" s="49" t="s">
        <v>2614</v>
      </c>
      <c r="M1645" s="46" t="s">
        <v>117</v>
      </c>
      <c r="N1645" s="50">
        <v>0</v>
      </c>
      <c r="O1645" s="50">
        <v>0</v>
      </c>
      <c r="P1645" s="50">
        <v>0</v>
      </c>
      <c r="Q1645" s="46" t="s">
        <v>102</v>
      </c>
      <c r="R1645" s="46" t="s">
        <v>102</v>
      </c>
      <c r="S1645" s="46" t="s">
        <v>102</v>
      </c>
      <c r="T1645" s="46" t="s">
        <v>736</v>
      </c>
      <c r="U1645" s="51">
        <v>4</v>
      </c>
    </row>
    <row r="1646" spans="2:21" ht="14.5" outlineLevel="3">
      <c r="B1646" s="44" t="s">
        <v>4617</v>
      </c>
      <c r="C1646" s="45" t="s">
        <v>4618</v>
      </c>
      <c r="D1646" s="46" t="s">
        <v>276</v>
      </c>
      <c r="E1646" s="47" t="s">
        <v>102</v>
      </c>
      <c r="F1646" s="46" t="s">
        <v>102</v>
      </c>
      <c r="G1646" s="47" t="s">
        <v>102</v>
      </c>
      <c r="H1646" s="48">
        <v>0</v>
      </c>
      <c r="I1646" s="48">
        <v>0</v>
      </c>
      <c r="J1646" s="47" t="s">
        <v>4485</v>
      </c>
      <c r="K1646" s="49">
        <v>1</v>
      </c>
      <c r="L1646" s="49" t="s">
        <v>2614</v>
      </c>
      <c r="M1646" s="46" t="s">
        <v>117</v>
      </c>
      <c r="N1646" s="50">
        <v>0</v>
      </c>
      <c r="O1646" s="50">
        <v>0</v>
      </c>
      <c r="P1646" s="50">
        <v>0</v>
      </c>
      <c r="Q1646" s="46" t="s">
        <v>102</v>
      </c>
      <c r="R1646" s="46" t="s">
        <v>102</v>
      </c>
      <c r="S1646" s="46" t="s">
        <v>102</v>
      </c>
      <c r="T1646" s="46" t="s">
        <v>741</v>
      </c>
      <c r="U1646" s="51">
        <v>4</v>
      </c>
    </row>
    <row r="1647" spans="2:21" ht="14.5" outlineLevel="3">
      <c r="B1647" s="44" t="s">
        <v>4619</v>
      </c>
      <c r="C1647" s="45" t="s">
        <v>4620</v>
      </c>
      <c r="D1647" s="46" t="s">
        <v>276</v>
      </c>
      <c r="E1647" s="47" t="s">
        <v>102</v>
      </c>
      <c r="F1647" s="46" t="s">
        <v>102</v>
      </c>
      <c r="G1647" s="47" t="s">
        <v>102</v>
      </c>
      <c r="H1647" s="48">
        <v>0</v>
      </c>
      <c r="I1647" s="48">
        <v>0</v>
      </c>
      <c r="J1647" s="47" t="s">
        <v>4485</v>
      </c>
      <c r="K1647" s="49">
        <v>1</v>
      </c>
      <c r="L1647" s="49" t="s">
        <v>2614</v>
      </c>
      <c r="M1647" s="46" t="s">
        <v>117</v>
      </c>
      <c r="N1647" s="50">
        <v>0</v>
      </c>
      <c r="O1647" s="50">
        <v>0</v>
      </c>
      <c r="P1647" s="50">
        <v>0</v>
      </c>
      <c r="Q1647" s="46" t="s">
        <v>102</v>
      </c>
      <c r="R1647" s="46" t="s">
        <v>102</v>
      </c>
      <c r="S1647" s="46" t="s">
        <v>102</v>
      </c>
      <c r="T1647" s="46" t="s">
        <v>243</v>
      </c>
      <c r="U1647" s="51">
        <v>4</v>
      </c>
    </row>
    <row r="1648" spans="2:21" ht="14.5" outlineLevel="3">
      <c r="B1648" s="44" t="s">
        <v>4621</v>
      </c>
      <c r="C1648" s="45" t="s">
        <v>4622</v>
      </c>
      <c r="D1648" s="46" t="s">
        <v>276</v>
      </c>
      <c r="E1648" s="47" t="s">
        <v>102</v>
      </c>
      <c r="F1648" s="46" t="s">
        <v>102</v>
      </c>
      <c r="G1648" s="47" t="s">
        <v>102</v>
      </c>
      <c r="H1648" s="48">
        <v>0</v>
      </c>
      <c r="I1648" s="48">
        <v>0</v>
      </c>
      <c r="J1648" s="47" t="s">
        <v>4485</v>
      </c>
      <c r="K1648" s="49">
        <v>1</v>
      </c>
      <c r="L1648" s="49" t="s">
        <v>2614</v>
      </c>
      <c r="M1648" s="46" t="s">
        <v>117</v>
      </c>
      <c r="N1648" s="50">
        <v>0</v>
      </c>
      <c r="O1648" s="50">
        <v>0</v>
      </c>
      <c r="P1648" s="50">
        <v>0</v>
      </c>
      <c r="Q1648" s="46" t="s">
        <v>102</v>
      </c>
      <c r="R1648" s="46" t="s">
        <v>102</v>
      </c>
      <c r="S1648" s="46" t="s">
        <v>102</v>
      </c>
      <c r="T1648" s="46" t="s">
        <v>750</v>
      </c>
      <c r="U1648" s="51">
        <v>4</v>
      </c>
    </row>
    <row r="1649" spans="2:21" ht="14.5" outlineLevel="3">
      <c r="B1649" s="44" t="s">
        <v>4623</v>
      </c>
      <c r="C1649" s="45" t="s">
        <v>4624</v>
      </c>
      <c r="D1649" s="46" t="s">
        <v>276</v>
      </c>
      <c r="E1649" s="47" t="s">
        <v>102</v>
      </c>
      <c r="F1649" s="46" t="s">
        <v>102</v>
      </c>
      <c r="G1649" s="47" t="s">
        <v>102</v>
      </c>
      <c r="H1649" s="48">
        <v>0</v>
      </c>
      <c r="I1649" s="48">
        <v>0</v>
      </c>
      <c r="J1649" s="47" t="s">
        <v>4485</v>
      </c>
      <c r="K1649" s="49">
        <v>1</v>
      </c>
      <c r="L1649" s="49" t="s">
        <v>2614</v>
      </c>
      <c r="M1649" s="46" t="s">
        <v>117</v>
      </c>
      <c r="N1649" s="50">
        <v>0</v>
      </c>
      <c r="O1649" s="50">
        <v>0</v>
      </c>
      <c r="P1649" s="50">
        <v>0</v>
      </c>
      <c r="Q1649" s="46" t="s">
        <v>102</v>
      </c>
      <c r="R1649" s="46" t="s">
        <v>102</v>
      </c>
      <c r="S1649" s="46" t="s">
        <v>102</v>
      </c>
      <c r="T1649" s="46" t="s">
        <v>755</v>
      </c>
      <c r="U1649" s="51">
        <v>4</v>
      </c>
    </row>
    <row r="1650" spans="2:21" ht="14.5" outlineLevel="3">
      <c r="B1650" s="44" t="s">
        <v>4625</v>
      </c>
      <c r="C1650" s="45" t="s">
        <v>4626</v>
      </c>
      <c r="D1650" s="46" t="s">
        <v>276</v>
      </c>
      <c r="E1650" s="47" t="s">
        <v>102</v>
      </c>
      <c r="F1650" s="46" t="s">
        <v>102</v>
      </c>
      <c r="G1650" s="47" t="s">
        <v>102</v>
      </c>
      <c r="H1650" s="48">
        <v>0</v>
      </c>
      <c r="I1650" s="48">
        <v>0</v>
      </c>
      <c r="J1650" s="47" t="s">
        <v>4485</v>
      </c>
      <c r="K1650" s="49">
        <v>1</v>
      </c>
      <c r="L1650" s="49" t="s">
        <v>2614</v>
      </c>
      <c r="M1650" s="46" t="s">
        <v>117</v>
      </c>
      <c r="N1650" s="50">
        <v>0</v>
      </c>
      <c r="O1650" s="50">
        <v>0</v>
      </c>
      <c r="P1650" s="50">
        <v>0</v>
      </c>
      <c r="Q1650" s="46" t="s">
        <v>102</v>
      </c>
      <c r="R1650" s="46" t="s">
        <v>102</v>
      </c>
      <c r="S1650" s="46" t="s">
        <v>102</v>
      </c>
      <c r="T1650" s="46" t="s">
        <v>760</v>
      </c>
      <c r="U1650" s="51">
        <v>4</v>
      </c>
    </row>
    <row r="1651" spans="2:21" ht="14.5" outlineLevel="3">
      <c r="B1651" s="44" t="s">
        <v>4627</v>
      </c>
      <c r="C1651" s="45" t="s">
        <v>4628</v>
      </c>
      <c r="D1651" s="46" t="s">
        <v>276</v>
      </c>
      <c r="E1651" s="47" t="s">
        <v>102</v>
      </c>
      <c r="F1651" s="46" t="s">
        <v>102</v>
      </c>
      <c r="G1651" s="47" t="s">
        <v>102</v>
      </c>
      <c r="H1651" s="48">
        <v>0</v>
      </c>
      <c r="I1651" s="48">
        <v>0</v>
      </c>
      <c r="J1651" s="47" t="s">
        <v>4485</v>
      </c>
      <c r="K1651" s="49">
        <v>1</v>
      </c>
      <c r="L1651" s="49" t="s">
        <v>2614</v>
      </c>
      <c r="M1651" s="46" t="s">
        <v>117</v>
      </c>
      <c r="N1651" s="50">
        <v>0</v>
      </c>
      <c r="O1651" s="50">
        <v>0</v>
      </c>
      <c r="P1651" s="50">
        <v>0</v>
      </c>
      <c r="Q1651" s="46" t="s">
        <v>102</v>
      </c>
      <c r="R1651" s="46" t="s">
        <v>102</v>
      </c>
      <c r="S1651" s="46" t="s">
        <v>102</v>
      </c>
      <c r="T1651" s="46" t="s">
        <v>765</v>
      </c>
      <c r="U1651" s="51">
        <v>4</v>
      </c>
    </row>
    <row r="1652" spans="2:21" ht="14.5" outlineLevel="3">
      <c r="B1652" s="44" t="s">
        <v>4629</v>
      </c>
      <c r="C1652" s="45" t="s">
        <v>4630</v>
      </c>
      <c r="D1652" s="46" t="s">
        <v>276</v>
      </c>
      <c r="E1652" s="47" t="s">
        <v>102</v>
      </c>
      <c r="F1652" s="46" t="s">
        <v>102</v>
      </c>
      <c r="G1652" s="47" t="s">
        <v>102</v>
      </c>
      <c r="H1652" s="48">
        <v>0</v>
      </c>
      <c r="I1652" s="48">
        <v>0</v>
      </c>
      <c r="J1652" s="47" t="s">
        <v>4485</v>
      </c>
      <c r="K1652" s="49">
        <v>1</v>
      </c>
      <c r="L1652" s="49" t="s">
        <v>2614</v>
      </c>
      <c r="M1652" s="46" t="s">
        <v>117</v>
      </c>
      <c r="N1652" s="50">
        <v>0</v>
      </c>
      <c r="O1652" s="50">
        <v>0</v>
      </c>
      <c r="P1652" s="50">
        <v>0</v>
      </c>
      <c r="Q1652" s="46" t="s">
        <v>102</v>
      </c>
      <c r="R1652" s="46" t="s">
        <v>102</v>
      </c>
      <c r="S1652" s="46" t="s">
        <v>102</v>
      </c>
      <c r="T1652" s="46" t="s">
        <v>770</v>
      </c>
      <c r="U1652" s="51">
        <v>4</v>
      </c>
    </row>
    <row r="1653" spans="2:21" ht="14.5" outlineLevel="3">
      <c r="B1653" s="44" t="s">
        <v>4631</v>
      </c>
      <c r="C1653" s="45" t="s">
        <v>4632</v>
      </c>
      <c r="D1653" s="46" t="s">
        <v>276</v>
      </c>
      <c r="E1653" s="47" t="s">
        <v>102</v>
      </c>
      <c r="F1653" s="46" t="s">
        <v>102</v>
      </c>
      <c r="G1653" s="47" t="s">
        <v>102</v>
      </c>
      <c r="H1653" s="48">
        <v>0</v>
      </c>
      <c r="I1653" s="48">
        <v>0</v>
      </c>
      <c r="J1653" s="47" t="s">
        <v>4485</v>
      </c>
      <c r="K1653" s="49">
        <v>1</v>
      </c>
      <c r="L1653" s="49" t="s">
        <v>2614</v>
      </c>
      <c r="M1653" s="46" t="s">
        <v>117</v>
      </c>
      <c r="N1653" s="50">
        <v>0</v>
      </c>
      <c r="O1653" s="50">
        <v>0</v>
      </c>
      <c r="P1653" s="50">
        <v>0</v>
      </c>
      <c r="Q1653" s="46" t="s">
        <v>102</v>
      </c>
      <c r="R1653" s="46" t="s">
        <v>102</v>
      </c>
      <c r="S1653" s="46" t="s">
        <v>102</v>
      </c>
      <c r="T1653" s="46" t="s">
        <v>774</v>
      </c>
      <c r="U1653" s="51">
        <v>4</v>
      </c>
    </row>
    <row r="1654" spans="2:21" ht="14.5" outlineLevel="3">
      <c r="B1654" s="44" t="s">
        <v>4633</v>
      </c>
      <c r="C1654" s="45" t="s">
        <v>4634</v>
      </c>
      <c r="D1654" s="46" t="s">
        <v>458</v>
      </c>
      <c r="E1654" s="47" t="s">
        <v>102</v>
      </c>
      <c r="F1654" s="46" t="s">
        <v>102</v>
      </c>
      <c r="G1654" s="47" t="s">
        <v>102</v>
      </c>
      <c r="H1654" s="48">
        <v>0</v>
      </c>
      <c r="I1654" s="48">
        <v>0</v>
      </c>
      <c r="J1654" s="47" t="s">
        <v>4485</v>
      </c>
      <c r="K1654" s="49">
        <v>1</v>
      </c>
      <c r="L1654" s="49" t="s">
        <v>2614</v>
      </c>
      <c r="M1654" s="46" t="s">
        <v>117</v>
      </c>
      <c r="N1654" s="50">
        <v>0</v>
      </c>
      <c r="O1654" s="50">
        <v>0</v>
      </c>
      <c r="P1654" s="50">
        <v>0</v>
      </c>
      <c r="Q1654" s="46" t="s">
        <v>102</v>
      </c>
      <c r="R1654" s="46" t="s">
        <v>102</v>
      </c>
      <c r="S1654" s="46" t="s">
        <v>102</v>
      </c>
      <c r="T1654" s="46" t="s">
        <v>3415</v>
      </c>
      <c r="U1654" s="51">
        <v>4</v>
      </c>
    </row>
    <row r="1655" spans="2:21" ht="14.5" outlineLevel="3">
      <c r="B1655" s="44" t="s">
        <v>4635</v>
      </c>
      <c r="C1655" s="45" t="s">
        <v>4636</v>
      </c>
      <c r="D1655" s="46" t="s">
        <v>458</v>
      </c>
      <c r="E1655" s="47" t="s">
        <v>102</v>
      </c>
      <c r="F1655" s="46" t="s">
        <v>102</v>
      </c>
      <c r="G1655" s="47" t="s">
        <v>102</v>
      </c>
      <c r="H1655" s="48">
        <v>0</v>
      </c>
      <c r="I1655" s="48">
        <v>0</v>
      </c>
      <c r="J1655" s="47" t="s">
        <v>4485</v>
      </c>
      <c r="K1655" s="49">
        <v>1</v>
      </c>
      <c r="L1655" s="49" t="s">
        <v>2614</v>
      </c>
      <c r="M1655" s="46" t="s">
        <v>117</v>
      </c>
      <c r="N1655" s="50">
        <v>0</v>
      </c>
      <c r="O1655" s="50">
        <v>0</v>
      </c>
      <c r="P1655" s="50">
        <v>0</v>
      </c>
      <c r="Q1655" s="46" t="s">
        <v>102</v>
      </c>
      <c r="R1655" s="46" t="s">
        <v>102</v>
      </c>
      <c r="S1655" s="46" t="s">
        <v>102</v>
      </c>
      <c r="T1655" s="46" t="s">
        <v>3418</v>
      </c>
      <c r="U1655" s="51">
        <v>4</v>
      </c>
    </row>
    <row r="1656" spans="2:21" ht="14.5" outlineLevel="2">
      <c r="B1656" s="36" t="s">
        <v>4637</v>
      </c>
      <c r="C1656" s="37" t="s">
        <v>4638</v>
      </c>
      <c r="D1656" s="38" t="s">
        <v>458</v>
      </c>
      <c r="E1656" s="39" t="s">
        <v>102</v>
      </c>
      <c r="F1656" s="38" t="s">
        <v>102</v>
      </c>
      <c r="G1656" s="39" t="s">
        <v>102</v>
      </c>
      <c r="H1656" s="40">
        <v>0</v>
      </c>
      <c r="I1656" s="40">
        <v>0</v>
      </c>
      <c r="J1656" s="39" t="s">
        <v>4485</v>
      </c>
      <c r="K1656" s="41">
        <v>1</v>
      </c>
      <c r="L1656" s="41" t="s">
        <v>2614</v>
      </c>
      <c r="M1656" s="38" t="s">
        <v>117</v>
      </c>
      <c r="N1656" s="42">
        <v>0</v>
      </c>
      <c r="O1656" s="42">
        <v>0</v>
      </c>
      <c r="P1656" s="42">
        <v>0</v>
      </c>
      <c r="Q1656" s="38" t="s">
        <v>102</v>
      </c>
      <c r="R1656" s="38" t="s">
        <v>102</v>
      </c>
      <c r="S1656" s="38" t="s">
        <v>102</v>
      </c>
      <c r="T1656" s="38" t="s">
        <v>3421</v>
      </c>
      <c r="U1656" s="43">
        <v>4</v>
      </c>
    </row>
    <row r="1657" spans="2:21" ht="14.5" outlineLevel="3">
      <c r="B1657" s="44" t="s">
        <v>4639</v>
      </c>
      <c r="C1657" s="45" t="s">
        <v>4640</v>
      </c>
      <c r="D1657" s="46" t="s">
        <v>458</v>
      </c>
      <c r="E1657" s="47" t="s">
        <v>102</v>
      </c>
      <c r="F1657" s="46" t="s">
        <v>102</v>
      </c>
      <c r="G1657" s="47" t="s">
        <v>102</v>
      </c>
      <c r="H1657" s="48">
        <v>0</v>
      </c>
      <c r="I1657" s="48">
        <v>0</v>
      </c>
      <c r="J1657" s="47" t="s">
        <v>4485</v>
      </c>
      <c r="K1657" s="49">
        <v>1</v>
      </c>
      <c r="L1657" s="49" t="s">
        <v>2614</v>
      </c>
      <c r="M1657" s="46" t="s">
        <v>117</v>
      </c>
      <c r="N1657" s="50">
        <v>0</v>
      </c>
      <c r="O1657" s="50">
        <v>0</v>
      </c>
      <c r="P1657" s="50">
        <v>0</v>
      </c>
      <c r="Q1657" s="46" t="s">
        <v>102</v>
      </c>
      <c r="R1657" s="46" t="s">
        <v>102</v>
      </c>
      <c r="S1657" s="46" t="s">
        <v>102</v>
      </c>
      <c r="T1657" s="46" t="s">
        <v>3424</v>
      </c>
      <c r="U1657" s="51">
        <v>4</v>
      </c>
    </row>
    <row r="1658" spans="2:21" ht="14.5" outlineLevel="3">
      <c r="B1658" s="44" t="s">
        <v>4641</v>
      </c>
      <c r="C1658" s="45" t="s">
        <v>4642</v>
      </c>
      <c r="D1658" s="46" t="s">
        <v>458</v>
      </c>
      <c r="E1658" s="47" t="s">
        <v>102</v>
      </c>
      <c r="F1658" s="46" t="s">
        <v>102</v>
      </c>
      <c r="G1658" s="47" t="s">
        <v>102</v>
      </c>
      <c r="H1658" s="48">
        <v>0</v>
      </c>
      <c r="I1658" s="48">
        <v>0</v>
      </c>
      <c r="J1658" s="47" t="s">
        <v>4485</v>
      </c>
      <c r="K1658" s="49">
        <v>1</v>
      </c>
      <c r="L1658" s="49" t="s">
        <v>2614</v>
      </c>
      <c r="M1658" s="46" t="s">
        <v>117</v>
      </c>
      <c r="N1658" s="50">
        <v>0</v>
      </c>
      <c r="O1658" s="50">
        <v>0</v>
      </c>
      <c r="P1658" s="50">
        <v>0</v>
      </c>
      <c r="Q1658" s="46" t="s">
        <v>102</v>
      </c>
      <c r="R1658" s="46" t="s">
        <v>102</v>
      </c>
      <c r="S1658" s="46" t="s">
        <v>102</v>
      </c>
      <c r="T1658" s="46" t="s">
        <v>4005</v>
      </c>
      <c r="U1658" s="51">
        <v>4</v>
      </c>
    </row>
    <row r="1659" spans="2:21" ht="14.5" outlineLevel="3">
      <c r="B1659" s="44" t="s">
        <v>4643</v>
      </c>
      <c r="C1659" s="45" t="s">
        <v>4644</v>
      </c>
      <c r="D1659" s="46" t="s">
        <v>458</v>
      </c>
      <c r="E1659" s="47" t="s">
        <v>102</v>
      </c>
      <c r="F1659" s="46" t="s">
        <v>102</v>
      </c>
      <c r="G1659" s="47" t="s">
        <v>102</v>
      </c>
      <c r="H1659" s="48">
        <v>0</v>
      </c>
      <c r="I1659" s="48">
        <v>0</v>
      </c>
      <c r="J1659" s="47" t="s">
        <v>4485</v>
      </c>
      <c r="K1659" s="49">
        <v>1</v>
      </c>
      <c r="L1659" s="49" t="s">
        <v>2614</v>
      </c>
      <c r="M1659" s="46" t="s">
        <v>117</v>
      </c>
      <c r="N1659" s="50">
        <v>0</v>
      </c>
      <c r="O1659" s="50">
        <v>0</v>
      </c>
      <c r="P1659" s="50">
        <v>0</v>
      </c>
      <c r="Q1659" s="46" t="s">
        <v>102</v>
      </c>
      <c r="R1659" s="46" t="s">
        <v>102</v>
      </c>
      <c r="S1659" s="46" t="s">
        <v>102</v>
      </c>
      <c r="T1659" s="46" t="s">
        <v>4645</v>
      </c>
      <c r="U1659" s="51">
        <v>4</v>
      </c>
    </row>
    <row r="1660" spans="2:21" ht="14.5" outlineLevel="2">
      <c r="B1660" s="36" t="s">
        <v>4646</v>
      </c>
      <c r="C1660" s="37" t="s">
        <v>4647</v>
      </c>
      <c r="D1660" s="38" t="s">
        <v>458</v>
      </c>
      <c r="E1660" s="39" t="s">
        <v>102</v>
      </c>
      <c r="F1660" s="38" t="s">
        <v>102</v>
      </c>
      <c r="G1660" s="39" t="s">
        <v>102</v>
      </c>
      <c r="H1660" s="40">
        <v>0</v>
      </c>
      <c r="I1660" s="40">
        <v>0</v>
      </c>
      <c r="J1660" s="39" t="s">
        <v>4485</v>
      </c>
      <c r="K1660" s="41">
        <v>1</v>
      </c>
      <c r="L1660" s="41" t="s">
        <v>2614</v>
      </c>
      <c r="M1660" s="38" t="s">
        <v>117</v>
      </c>
      <c r="N1660" s="42">
        <v>0</v>
      </c>
      <c r="O1660" s="42">
        <v>0</v>
      </c>
      <c r="P1660" s="42">
        <v>0</v>
      </c>
      <c r="Q1660" s="38" t="s">
        <v>102</v>
      </c>
      <c r="R1660" s="38" t="s">
        <v>102</v>
      </c>
      <c r="S1660" s="38" t="s">
        <v>102</v>
      </c>
      <c r="T1660" s="38" t="s">
        <v>4648</v>
      </c>
      <c r="U1660" s="43">
        <v>4</v>
      </c>
    </row>
    <row r="1661" spans="2:21" ht="14.5" outlineLevel="3">
      <c r="B1661" s="44" t="s">
        <v>4649</v>
      </c>
      <c r="C1661" s="45" t="s">
        <v>4650</v>
      </c>
      <c r="D1661" s="46" t="s">
        <v>392</v>
      </c>
      <c r="E1661" s="47" t="s">
        <v>102</v>
      </c>
      <c r="F1661" s="46" t="s">
        <v>102</v>
      </c>
      <c r="G1661" s="47" t="s">
        <v>102</v>
      </c>
      <c r="H1661" s="48">
        <v>0</v>
      </c>
      <c r="I1661" s="48">
        <v>0</v>
      </c>
      <c r="J1661" s="47" t="s">
        <v>4485</v>
      </c>
      <c r="K1661" s="49">
        <v>1</v>
      </c>
      <c r="L1661" s="49" t="s">
        <v>2614</v>
      </c>
      <c r="M1661" s="46" t="s">
        <v>117</v>
      </c>
      <c r="N1661" s="50">
        <v>0</v>
      </c>
      <c r="O1661" s="50">
        <v>0</v>
      </c>
      <c r="P1661" s="50">
        <v>0</v>
      </c>
      <c r="Q1661" s="46" t="s">
        <v>102</v>
      </c>
      <c r="R1661" s="46" t="s">
        <v>102</v>
      </c>
      <c r="S1661" s="46" t="s">
        <v>102</v>
      </c>
      <c r="T1661" s="46" t="s">
        <v>3431</v>
      </c>
      <c r="U1661" s="51">
        <v>4</v>
      </c>
    </row>
    <row r="1662" spans="2:21" ht="14.5" outlineLevel="3">
      <c r="B1662" s="44" t="s">
        <v>4651</v>
      </c>
      <c r="C1662" s="45" t="s">
        <v>4652</v>
      </c>
      <c r="D1662" s="46" t="s">
        <v>102</v>
      </c>
      <c r="E1662" s="47" t="s">
        <v>102</v>
      </c>
      <c r="F1662" s="46" t="s">
        <v>102</v>
      </c>
      <c r="G1662" s="47" t="s">
        <v>102</v>
      </c>
      <c r="H1662" s="48">
        <v>0</v>
      </c>
      <c r="I1662" s="48">
        <v>0</v>
      </c>
      <c r="J1662" s="47" t="s">
        <v>102</v>
      </c>
      <c r="K1662" s="49">
        <v>0</v>
      </c>
      <c r="L1662" s="49" t="s">
        <v>102</v>
      </c>
      <c r="M1662" s="46" t="s">
        <v>102</v>
      </c>
      <c r="N1662" s="50">
        <v>0</v>
      </c>
      <c r="O1662" s="50">
        <v>0</v>
      </c>
      <c r="P1662" s="50">
        <v>0</v>
      </c>
      <c r="Q1662" s="46" t="s">
        <v>102</v>
      </c>
      <c r="R1662" s="46" t="s">
        <v>102</v>
      </c>
      <c r="S1662" s="46" t="s">
        <v>4653</v>
      </c>
      <c r="T1662" s="46" t="s">
        <v>102</v>
      </c>
      <c r="U1662" s="51">
        <v>3</v>
      </c>
    </row>
    <row r="1663" spans="2:21" ht="14.5" outlineLevel="3">
      <c r="B1663" s="44" t="s">
        <v>4654</v>
      </c>
      <c r="C1663" s="45" t="s">
        <v>4655</v>
      </c>
      <c r="D1663" s="46" t="s">
        <v>276</v>
      </c>
      <c r="E1663" s="47" t="s">
        <v>102</v>
      </c>
      <c r="F1663" s="46" t="s">
        <v>102</v>
      </c>
      <c r="G1663" s="47" t="s">
        <v>102</v>
      </c>
      <c r="H1663" s="48">
        <v>0</v>
      </c>
      <c r="I1663" s="48">
        <v>0</v>
      </c>
      <c r="J1663" s="47" t="s">
        <v>4485</v>
      </c>
      <c r="K1663" s="49">
        <v>1</v>
      </c>
      <c r="L1663" s="49" t="s">
        <v>2614</v>
      </c>
      <c r="M1663" s="46" t="s">
        <v>117</v>
      </c>
      <c r="N1663" s="50">
        <v>0</v>
      </c>
      <c r="O1663" s="50">
        <v>0</v>
      </c>
      <c r="P1663" s="50">
        <v>0</v>
      </c>
      <c r="Q1663" s="46" t="s">
        <v>102</v>
      </c>
      <c r="R1663" s="46" t="s">
        <v>102</v>
      </c>
      <c r="S1663" s="46" t="s">
        <v>102</v>
      </c>
      <c r="T1663" s="46" t="s">
        <v>2781</v>
      </c>
      <c r="U1663" s="51">
        <v>4</v>
      </c>
    </row>
    <row r="1664" spans="2:21" ht="14.5" outlineLevel="3">
      <c r="B1664" s="44" t="s">
        <v>4656</v>
      </c>
      <c r="C1664" s="45" t="s">
        <v>4657</v>
      </c>
      <c r="D1664" s="46" t="s">
        <v>276</v>
      </c>
      <c r="E1664" s="47" t="s">
        <v>102</v>
      </c>
      <c r="F1664" s="46" t="s">
        <v>102</v>
      </c>
      <c r="G1664" s="47" t="s">
        <v>102</v>
      </c>
      <c r="H1664" s="48">
        <v>0</v>
      </c>
      <c r="I1664" s="48">
        <v>0</v>
      </c>
      <c r="J1664" s="47" t="s">
        <v>4485</v>
      </c>
      <c r="K1664" s="49">
        <v>1</v>
      </c>
      <c r="L1664" s="49" t="s">
        <v>2614</v>
      </c>
      <c r="M1664" s="46" t="s">
        <v>117</v>
      </c>
      <c r="N1664" s="50">
        <v>0</v>
      </c>
      <c r="O1664" s="50">
        <v>0</v>
      </c>
      <c r="P1664" s="50">
        <v>0</v>
      </c>
      <c r="Q1664" s="46" t="s">
        <v>102</v>
      </c>
      <c r="R1664" s="46" t="s">
        <v>102</v>
      </c>
      <c r="S1664" s="46" t="s">
        <v>102</v>
      </c>
      <c r="T1664" s="46" t="s">
        <v>2740</v>
      </c>
      <c r="U1664" s="51">
        <v>4</v>
      </c>
    </row>
    <row r="1665" spans="2:21" ht="14.5" outlineLevel="3">
      <c r="B1665" s="44" t="s">
        <v>4658</v>
      </c>
      <c r="C1665" s="45" t="s">
        <v>4659</v>
      </c>
      <c r="D1665" s="46" t="s">
        <v>458</v>
      </c>
      <c r="E1665" s="47" t="s">
        <v>102</v>
      </c>
      <c r="F1665" s="46" t="s">
        <v>102</v>
      </c>
      <c r="G1665" s="47" t="s">
        <v>102</v>
      </c>
      <c r="H1665" s="48">
        <v>0</v>
      </c>
      <c r="I1665" s="48">
        <v>0</v>
      </c>
      <c r="J1665" s="47" t="s">
        <v>4485</v>
      </c>
      <c r="K1665" s="49">
        <v>1</v>
      </c>
      <c r="L1665" s="49" t="s">
        <v>2614</v>
      </c>
      <c r="M1665" s="46" t="s">
        <v>117</v>
      </c>
      <c r="N1665" s="50">
        <v>0</v>
      </c>
      <c r="O1665" s="50">
        <v>0</v>
      </c>
      <c r="P1665" s="50">
        <v>0</v>
      </c>
      <c r="Q1665" s="46" t="s">
        <v>102</v>
      </c>
      <c r="R1665" s="46" t="s">
        <v>102</v>
      </c>
      <c r="S1665" s="46" t="s">
        <v>102</v>
      </c>
      <c r="T1665" s="46" t="s">
        <v>2784</v>
      </c>
      <c r="U1665" s="51">
        <v>4</v>
      </c>
    </row>
    <row r="1666" spans="2:21" ht="14.5" outlineLevel="3">
      <c r="B1666" s="44" t="s">
        <v>4660</v>
      </c>
      <c r="C1666" s="45" t="s">
        <v>4661</v>
      </c>
      <c r="D1666" s="46" t="s">
        <v>102</v>
      </c>
      <c r="E1666" s="47" t="s">
        <v>102</v>
      </c>
      <c r="F1666" s="46" t="s">
        <v>102</v>
      </c>
      <c r="G1666" s="47" t="s">
        <v>102</v>
      </c>
      <c r="H1666" s="48">
        <v>0</v>
      </c>
      <c r="I1666" s="48">
        <v>0</v>
      </c>
      <c r="J1666" s="47" t="s">
        <v>102</v>
      </c>
      <c r="K1666" s="49">
        <v>0</v>
      </c>
      <c r="L1666" s="49" t="s">
        <v>102</v>
      </c>
      <c r="M1666" s="46" t="s">
        <v>102</v>
      </c>
      <c r="N1666" s="50">
        <v>0</v>
      </c>
      <c r="O1666" s="50">
        <v>0</v>
      </c>
      <c r="P1666" s="50">
        <v>0</v>
      </c>
      <c r="Q1666" s="46" t="s">
        <v>102</v>
      </c>
      <c r="R1666" s="46" t="s">
        <v>102</v>
      </c>
      <c r="S1666" s="46" t="s">
        <v>4662</v>
      </c>
      <c r="T1666" s="46" t="s">
        <v>102</v>
      </c>
      <c r="U1666" s="51">
        <v>3</v>
      </c>
    </row>
    <row r="1667" spans="2:21" ht="14.5" outlineLevel="3">
      <c r="B1667" s="44" t="s">
        <v>4663</v>
      </c>
      <c r="C1667" s="45" t="s">
        <v>4664</v>
      </c>
      <c r="D1667" s="46" t="s">
        <v>458</v>
      </c>
      <c r="E1667" s="47" t="s">
        <v>102</v>
      </c>
      <c r="F1667" s="46" t="s">
        <v>102</v>
      </c>
      <c r="G1667" s="47" t="s">
        <v>102</v>
      </c>
      <c r="H1667" s="48">
        <v>0</v>
      </c>
      <c r="I1667" s="48">
        <v>0</v>
      </c>
      <c r="J1667" s="47" t="s">
        <v>4485</v>
      </c>
      <c r="K1667" s="49">
        <v>1</v>
      </c>
      <c r="L1667" s="49" t="s">
        <v>2614</v>
      </c>
      <c r="M1667" s="46" t="s">
        <v>117</v>
      </c>
      <c r="N1667" s="50">
        <v>0</v>
      </c>
      <c r="O1667" s="50">
        <v>0</v>
      </c>
      <c r="P1667" s="50">
        <v>0</v>
      </c>
      <c r="Q1667" s="46" t="s">
        <v>102</v>
      </c>
      <c r="R1667" s="46" t="s">
        <v>102</v>
      </c>
      <c r="S1667" s="46" t="s">
        <v>102</v>
      </c>
      <c r="T1667" s="46" t="s">
        <v>192</v>
      </c>
      <c r="U1667" s="51">
        <v>4</v>
      </c>
    </row>
    <row r="1668" spans="2:21" ht="14.5" outlineLevel="3">
      <c r="B1668" s="44" t="s">
        <v>4665</v>
      </c>
      <c r="C1668" s="45" t="s">
        <v>4666</v>
      </c>
      <c r="D1668" s="46" t="s">
        <v>458</v>
      </c>
      <c r="E1668" s="47" t="s">
        <v>102</v>
      </c>
      <c r="F1668" s="46" t="s">
        <v>102</v>
      </c>
      <c r="G1668" s="47" t="s">
        <v>102</v>
      </c>
      <c r="H1668" s="48">
        <v>0</v>
      </c>
      <c r="I1668" s="48">
        <v>0</v>
      </c>
      <c r="J1668" s="47" t="s">
        <v>4485</v>
      </c>
      <c r="K1668" s="49">
        <v>1</v>
      </c>
      <c r="L1668" s="49" t="s">
        <v>2614</v>
      </c>
      <c r="M1668" s="46" t="s">
        <v>117</v>
      </c>
      <c r="N1668" s="50">
        <v>0</v>
      </c>
      <c r="O1668" s="50">
        <v>0</v>
      </c>
      <c r="P1668" s="50">
        <v>0</v>
      </c>
      <c r="Q1668" s="46" t="s">
        <v>102</v>
      </c>
      <c r="R1668" s="46" t="s">
        <v>102</v>
      </c>
      <c r="S1668" s="46" t="s">
        <v>102</v>
      </c>
      <c r="T1668" s="46" t="s">
        <v>615</v>
      </c>
      <c r="U1668" s="51">
        <v>4</v>
      </c>
    </row>
    <row r="1669" spans="2:21" ht="14.5" outlineLevel="3">
      <c r="B1669" s="44" t="s">
        <v>4667</v>
      </c>
      <c r="C1669" s="45" t="s">
        <v>4668</v>
      </c>
      <c r="D1669" s="46" t="s">
        <v>458</v>
      </c>
      <c r="E1669" s="47" t="s">
        <v>102</v>
      </c>
      <c r="F1669" s="46" t="s">
        <v>102</v>
      </c>
      <c r="G1669" s="47" t="s">
        <v>102</v>
      </c>
      <c r="H1669" s="48">
        <v>0</v>
      </c>
      <c r="I1669" s="48">
        <v>0</v>
      </c>
      <c r="J1669" s="47" t="s">
        <v>4485</v>
      </c>
      <c r="K1669" s="49">
        <v>1</v>
      </c>
      <c r="L1669" s="49" t="s">
        <v>2614</v>
      </c>
      <c r="M1669" s="46" t="s">
        <v>117</v>
      </c>
      <c r="N1669" s="50">
        <v>0</v>
      </c>
      <c r="O1669" s="50">
        <v>0</v>
      </c>
      <c r="P1669" s="50">
        <v>0</v>
      </c>
      <c r="Q1669" s="46" t="s">
        <v>102</v>
      </c>
      <c r="R1669" s="46" t="s">
        <v>102</v>
      </c>
      <c r="S1669" s="46" t="s">
        <v>102</v>
      </c>
      <c r="T1669" s="46" t="s">
        <v>268</v>
      </c>
      <c r="U1669" s="51">
        <v>4</v>
      </c>
    </row>
    <row r="1670" spans="2:21" ht="14.5" outlineLevel="3">
      <c r="B1670" s="44" t="s">
        <v>4669</v>
      </c>
      <c r="C1670" s="45" t="s">
        <v>4670</v>
      </c>
      <c r="D1670" s="46" t="s">
        <v>458</v>
      </c>
      <c r="E1670" s="47" t="s">
        <v>102</v>
      </c>
      <c r="F1670" s="46" t="s">
        <v>102</v>
      </c>
      <c r="G1670" s="47" t="s">
        <v>102</v>
      </c>
      <c r="H1670" s="48">
        <v>0</v>
      </c>
      <c r="I1670" s="48">
        <v>0</v>
      </c>
      <c r="J1670" s="47" t="s">
        <v>4485</v>
      </c>
      <c r="K1670" s="49">
        <v>1</v>
      </c>
      <c r="L1670" s="49" t="s">
        <v>2614</v>
      </c>
      <c r="M1670" s="46" t="s">
        <v>117</v>
      </c>
      <c r="N1670" s="50">
        <v>0</v>
      </c>
      <c r="O1670" s="50">
        <v>0</v>
      </c>
      <c r="P1670" s="50">
        <v>0</v>
      </c>
      <c r="Q1670" s="46" t="s">
        <v>102</v>
      </c>
      <c r="R1670" s="46" t="s">
        <v>102</v>
      </c>
      <c r="S1670" s="46" t="s">
        <v>102</v>
      </c>
      <c r="T1670" s="46" t="s">
        <v>273</v>
      </c>
      <c r="U1670" s="51">
        <v>4</v>
      </c>
    </row>
    <row r="1671" spans="2:21" ht="14.5" outlineLevel="3">
      <c r="B1671" s="44" t="s">
        <v>4671</v>
      </c>
      <c r="C1671" s="45" t="s">
        <v>4672</v>
      </c>
      <c r="D1671" s="46" t="s">
        <v>458</v>
      </c>
      <c r="E1671" s="47" t="s">
        <v>102</v>
      </c>
      <c r="F1671" s="46" t="s">
        <v>102</v>
      </c>
      <c r="G1671" s="47" t="s">
        <v>102</v>
      </c>
      <c r="H1671" s="48">
        <v>0</v>
      </c>
      <c r="I1671" s="48">
        <v>0</v>
      </c>
      <c r="J1671" s="47" t="s">
        <v>4485</v>
      </c>
      <c r="K1671" s="49">
        <v>1</v>
      </c>
      <c r="L1671" s="49" t="s">
        <v>2614</v>
      </c>
      <c r="M1671" s="46" t="s">
        <v>117</v>
      </c>
      <c r="N1671" s="50">
        <v>0</v>
      </c>
      <c r="O1671" s="50">
        <v>0</v>
      </c>
      <c r="P1671" s="50">
        <v>0</v>
      </c>
      <c r="Q1671" s="46" t="s">
        <v>102</v>
      </c>
      <c r="R1671" s="46" t="s">
        <v>102</v>
      </c>
      <c r="S1671" s="46" t="s">
        <v>102</v>
      </c>
      <c r="T1671" s="46" t="s">
        <v>198</v>
      </c>
      <c r="U1671" s="51">
        <v>4</v>
      </c>
    </row>
    <row r="1672" spans="2:21" ht="14.5" outlineLevel="3">
      <c r="B1672" s="44" t="s">
        <v>4673</v>
      </c>
      <c r="C1672" s="45" t="s">
        <v>4674</v>
      </c>
      <c r="D1672" s="46" t="s">
        <v>458</v>
      </c>
      <c r="E1672" s="47" t="s">
        <v>102</v>
      </c>
      <c r="F1672" s="46" t="s">
        <v>102</v>
      </c>
      <c r="G1672" s="47" t="s">
        <v>102</v>
      </c>
      <c r="H1672" s="48">
        <v>0</v>
      </c>
      <c r="I1672" s="48">
        <v>0</v>
      </c>
      <c r="J1672" s="47" t="s">
        <v>4485</v>
      </c>
      <c r="K1672" s="49">
        <v>1</v>
      </c>
      <c r="L1672" s="49" t="s">
        <v>2614</v>
      </c>
      <c r="M1672" s="46" t="s">
        <v>117</v>
      </c>
      <c r="N1672" s="50">
        <v>0</v>
      </c>
      <c r="O1672" s="50">
        <v>0</v>
      </c>
      <c r="P1672" s="50">
        <v>0</v>
      </c>
      <c r="Q1672" s="46" t="s">
        <v>102</v>
      </c>
      <c r="R1672" s="46" t="s">
        <v>102</v>
      </c>
      <c r="S1672" s="46" t="s">
        <v>102</v>
      </c>
      <c r="T1672" s="46" t="s">
        <v>283</v>
      </c>
      <c r="U1672" s="51">
        <v>4</v>
      </c>
    </row>
    <row r="1673" spans="2:21" ht="14.5" outlineLevel="2">
      <c r="B1673" s="36" t="s">
        <v>4675</v>
      </c>
      <c r="C1673" s="37" t="s">
        <v>4676</v>
      </c>
      <c r="D1673" s="38" t="s">
        <v>458</v>
      </c>
      <c r="E1673" s="39" t="s">
        <v>102</v>
      </c>
      <c r="F1673" s="38" t="s">
        <v>102</v>
      </c>
      <c r="G1673" s="39" t="s">
        <v>102</v>
      </c>
      <c r="H1673" s="40">
        <v>0</v>
      </c>
      <c r="I1673" s="40">
        <v>0</v>
      </c>
      <c r="J1673" s="39" t="s">
        <v>4485</v>
      </c>
      <c r="K1673" s="41">
        <v>1</v>
      </c>
      <c r="L1673" s="41" t="s">
        <v>2614</v>
      </c>
      <c r="M1673" s="38" t="s">
        <v>117</v>
      </c>
      <c r="N1673" s="42">
        <v>0</v>
      </c>
      <c r="O1673" s="42">
        <v>0</v>
      </c>
      <c r="P1673" s="42">
        <v>0</v>
      </c>
      <c r="Q1673" s="38" t="s">
        <v>102</v>
      </c>
      <c r="R1673" s="38" t="s">
        <v>102</v>
      </c>
      <c r="S1673" s="38" t="s">
        <v>102</v>
      </c>
      <c r="T1673" s="38" t="s">
        <v>288</v>
      </c>
      <c r="U1673" s="43">
        <v>4</v>
      </c>
    </row>
    <row r="1674" spans="2:21" ht="14.5" outlineLevel="3">
      <c r="B1674" s="44" t="s">
        <v>4677</v>
      </c>
      <c r="C1674" s="45" t="s">
        <v>4678</v>
      </c>
      <c r="D1674" s="46" t="s">
        <v>458</v>
      </c>
      <c r="E1674" s="47" t="s">
        <v>102</v>
      </c>
      <c r="F1674" s="46" t="s">
        <v>102</v>
      </c>
      <c r="G1674" s="47" t="s">
        <v>102</v>
      </c>
      <c r="H1674" s="48">
        <v>0</v>
      </c>
      <c r="I1674" s="48">
        <v>0</v>
      </c>
      <c r="J1674" s="47" t="s">
        <v>4485</v>
      </c>
      <c r="K1674" s="49">
        <v>1</v>
      </c>
      <c r="L1674" s="49" t="s">
        <v>2614</v>
      </c>
      <c r="M1674" s="46" t="s">
        <v>117</v>
      </c>
      <c r="N1674" s="50">
        <v>0</v>
      </c>
      <c r="O1674" s="50">
        <v>0</v>
      </c>
      <c r="P1674" s="50">
        <v>0</v>
      </c>
      <c r="Q1674" s="46" t="s">
        <v>102</v>
      </c>
      <c r="R1674" s="46" t="s">
        <v>102</v>
      </c>
      <c r="S1674" s="46" t="s">
        <v>102</v>
      </c>
      <c r="T1674" s="46" t="s">
        <v>203</v>
      </c>
      <c r="U1674" s="51">
        <v>4</v>
      </c>
    </row>
    <row r="1675" spans="2:21" ht="14.5" outlineLevel="3">
      <c r="B1675" s="44" t="s">
        <v>4679</v>
      </c>
      <c r="C1675" s="45" t="s">
        <v>4680</v>
      </c>
      <c r="D1675" s="46" t="s">
        <v>458</v>
      </c>
      <c r="E1675" s="47" t="s">
        <v>102</v>
      </c>
      <c r="F1675" s="46" t="s">
        <v>102</v>
      </c>
      <c r="G1675" s="47" t="s">
        <v>102</v>
      </c>
      <c r="H1675" s="48">
        <v>0</v>
      </c>
      <c r="I1675" s="48">
        <v>0</v>
      </c>
      <c r="J1675" s="47" t="s">
        <v>4485</v>
      </c>
      <c r="K1675" s="49">
        <v>1</v>
      </c>
      <c r="L1675" s="49" t="s">
        <v>2614</v>
      </c>
      <c r="M1675" s="46" t="s">
        <v>117</v>
      </c>
      <c r="N1675" s="50">
        <v>0</v>
      </c>
      <c r="O1675" s="50">
        <v>0</v>
      </c>
      <c r="P1675" s="50">
        <v>0</v>
      </c>
      <c r="Q1675" s="46" t="s">
        <v>102</v>
      </c>
      <c r="R1675" s="46" t="s">
        <v>102</v>
      </c>
      <c r="S1675" s="46" t="s">
        <v>102</v>
      </c>
      <c r="T1675" s="46" t="s">
        <v>298</v>
      </c>
      <c r="U1675" s="51">
        <v>4</v>
      </c>
    </row>
    <row r="1676" spans="2:21" ht="14.5" outlineLevel="3">
      <c r="B1676" s="44" t="s">
        <v>4681</v>
      </c>
      <c r="C1676" s="45" t="s">
        <v>4682</v>
      </c>
      <c r="D1676" s="46" t="s">
        <v>458</v>
      </c>
      <c r="E1676" s="47" t="s">
        <v>102</v>
      </c>
      <c r="F1676" s="46" t="s">
        <v>102</v>
      </c>
      <c r="G1676" s="47" t="s">
        <v>102</v>
      </c>
      <c r="H1676" s="48">
        <v>0</v>
      </c>
      <c r="I1676" s="48">
        <v>0</v>
      </c>
      <c r="J1676" s="47" t="s">
        <v>4485</v>
      </c>
      <c r="K1676" s="49">
        <v>1</v>
      </c>
      <c r="L1676" s="49" t="s">
        <v>2614</v>
      </c>
      <c r="M1676" s="46" t="s">
        <v>117</v>
      </c>
      <c r="N1676" s="50">
        <v>0</v>
      </c>
      <c r="O1676" s="50">
        <v>0</v>
      </c>
      <c r="P1676" s="50">
        <v>0</v>
      </c>
      <c r="Q1676" s="46" t="s">
        <v>102</v>
      </c>
      <c r="R1676" s="46" t="s">
        <v>102</v>
      </c>
      <c r="S1676" s="46" t="s">
        <v>102</v>
      </c>
      <c r="T1676" s="46" t="s">
        <v>208</v>
      </c>
      <c r="U1676" s="51">
        <v>4</v>
      </c>
    </row>
    <row r="1677" spans="2:21" ht="14.5" outlineLevel="3">
      <c r="B1677" s="44" t="s">
        <v>4683</v>
      </c>
      <c r="C1677" s="45" t="s">
        <v>4684</v>
      </c>
      <c r="D1677" s="46" t="s">
        <v>458</v>
      </c>
      <c r="E1677" s="47" t="s">
        <v>102</v>
      </c>
      <c r="F1677" s="46" t="s">
        <v>102</v>
      </c>
      <c r="G1677" s="47" t="s">
        <v>102</v>
      </c>
      <c r="H1677" s="48">
        <v>0</v>
      </c>
      <c r="I1677" s="48">
        <v>0</v>
      </c>
      <c r="J1677" s="47" t="s">
        <v>4485</v>
      </c>
      <c r="K1677" s="49">
        <v>1</v>
      </c>
      <c r="L1677" s="49" t="s">
        <v>2614</v>
      </c>
      <c r="M1677" s="46" t="s">
        <v>117</v>
      </c>
      <c r="N1677" s="50">
        <v>0</v>
      </c>
      <c r="O1677" s="50">
        <v>0</v>
      </c>
      <c r="P1677" s="50">
        <v>0</v>
      </c>
      <c r="Q1677" s="46" t="s">
        <v>102</v>
      </c>
      <c r="R1677" s="46" t="s">
        <v>102</v>
      </c>
      <c r="S1677" s="46" t="s">
        <v>102</v>
      </c>
      <c r="T1677" s="46" t="s">
        <v>303</v>
      </c>
      <c r="U1677" s="51">
        <v>4</v>
      </c>
    </row>
    <row r="1678" spans="2:21" ht="14.5" outlineLevel="3">
      <c r="B1678" s="44" t="s">
        <v>4685</v>
      </c>
      <c r="C1678" s="45" t="s">
        <v>4686</v>
      </c>
      <c r="D1678" s="46" t="s">
        <v>458</v>
      </c>
      <c r="E1678" s="47" t="s">
        <v>102</v>
      </c>
      <c r="F1678" s="46" t="s">
        <v>102</v>
      </c>
      <c r="G1678" s="47" t="s">
        <v>102</v>
      </c>
      <c r="H1678" s="48">
        <v>0</v>
      </c>
      <c r="I1678" s="48">
        <v>0</v>
      </c>
      <c r="J1678" s="47" t="s">
        <v>4485</v>
      </c>
      <c r="K1678" s="49">
        <v>1</v>
      </c>
      <c r="L1678" s="49" t="s">
        <v>2614</v>
      </c>
      <c r="M1678" s="46" t="s">
        <v>117</v>
      </c>
      <c r="N1678" s="50">
        <v>0</v>
      </c>
      <c r="O1678" s="50">
        <v>0</v>
      </c>
      <c r="P1678" s="50">
        <v>0</v>
      </c>
      <c r="Q1678" s="46" t="s">
        <v>102</v>
      </c>
      <c r="R1678" s="46" t="s">
        <v>102</v>
      </c>
      <c r="S1678" s="46" t="s">
        <v>102</v>
      </c>
      <c r="T1678" s="46" t="s">
        <v>1019</v>
      </c>
      <c r="U1678" s="51">
        <v>4</v>
      </c>
    </row>
    <row r="1679" spans="2:21" ht="14.5" outlineLevel="3">
      <c r="B1679" s="44" t="s">
        <v>4687</v>
      </c>
      <c r="C1679" s="45" t="s">
        <v>4688</v>
      </c>
      <c r="D1679" s="46" t="s">
        <v>102</v>
      </c>
      <c r="E1679" s="47" t="s">
        <v>102</v>
      </c>
      <c r="F1679" s="46" t="s">
        <v>102</v>
      </c>
      <c r="G1679" s="47" t="s">
        <v>102</v>
      </c>
      <c r="H1679" s="48">
        <v>0</v>
      </c>
      <c r="I1679" s="48">
        <v>0</v>
      </c>
      <c r="J1679" s="47" t="s">
        <v>102</v>
      </c>
      <c r="K1679" s="49">
        <v>0</v>
      </c>
      <c r="L1679" s="49" t="s">
        <v>102</v>
      </c>
      <c r="M1679" s="46" t="s">
        <v>102</v>
      </c>
      <c r="N1679" s="50">
        <v>0</v>
      </c>
      <c r="O1679" s="50">
        <v>0</v>
      </c>
      <c r="P1679" s="50">
        <v>0</v>
      </c>
      <c r="Q1679" s="46" t="s">
        <v>102</v>
      </c>
      <c r="R1679" s="46" t="s">
        <v>102</v>
      </c>
      <c r="S1679" s="46" t="s">
        <v>4689</v>
      </c>
      <c r="T1679" s="46" t="s">
        <v>102</v>
      </c>
      <c r="U1679" s="51">
        <v>3</v>
      </c>
    </row>
    <row r="1680" spans="2:21" ht="14.5" outlineLevel="3">
      <c r="B1680" s="44" t="s">
        <v>4690</v>
      </c>
      <c r="C1680" s="45" t="s">
        <v>4691</v>
      </c>
      <c r="D1680" s="46" t="s">
        <v>458</v>
      </c>
      <c r="E1680" s="47" t="s">
        <v>102</v>
      </c>
      <c r="F1680" s="46" t="s">
        <v>102</v>
      </c>
      <c r="G1680" s="47" t="s">
        <v>102</v>
      </c>
      <c r="H1680" s="48">
        <v>0</v>
      </c>
      <c r="I1680" s="48">
        <v>0</v>
      </c>
      <c r="J1680" s="47" t="s">
        <v>3788</v>
      </c>
      <c r="K1680" s="49">
        <v>1</v>
      </c>
      <c r="L1680" s="49" t="s">
        <v>2614</v>
      </c>
      <c r="M1680" s="46" t="s">
        <v>117</v>
      </c>
      <c r="N1680" s="50">
        <v>0</v>
      </c>
      <c r="O1680" s="50">
        <v>0</v>
      </c>
      <c r="P1680" s="50">
        <v>0</v>
      </c>
      <c r="Q1680" s="46" t="s">
        <v>102</v>
      </c>
      <c r="R1680" s="46" t="s">
        <v>102</v>
      </c>
      <c r="S1680" s="46" t="s">
        <v>102</v>
      </c>
      <c r="T1680" s="46" t="s">
        <v>2781</v>
      </c>
      <c r="U1680" s="51">
        <v>4</v>
      </c>
    </row>
    <row r="1681" spans="2:21" ht="14.5" outlineLevel="3">
      <c r="B1681" s="44" t="s">
        <v>4692</v>
      </c>
      <c r="C1681" s="45" t="s">
        <v>4693</v>
      </c>
      <c r="D1681" s="46" t="s">
        <v>458</v>
      </c>
      <c r="E1681" s="47" t="s">
        <v>102</v>
      </c>
      <c r="F1681" s="46" t="s">
        <v>102</v>
      </c>
      <c r="G1681" s="47" t="s">
        <v>102</v>
      </c>
      <c r="H1681" s="48">
        <v>0</v>
      </c>
      <c r="I1681" s="48">
        <v>0</v>
      </c>
      <c r="J1681" s="47" t="s">
        <v>3788</v>
      </c>
      <c r="K1681" s="49">
        <v>1</v>
      </c>
      <c r="L1681" s="49" t="s">
        <v>2614</v>
      </c>
      <c r="M1681" s="46" t="s">
        <v>117</v>
      </c>
      <c r="N1681" s="50">
        <v>0</v>
      </c>
      <c r="O1681" s="50">
        <v>0</v>
      </c>
      <c r="P1681" s="50">
        <v>0</v>
      </c>
      <c r="Q1681" s="46" t="s">
        <v>102</v>
      </c>
      <c r="R1681" s="46" t="s">
        <v>102</v>
      </c>
      <c r="S1681" s="46" t="s">
        <v>102</v>
      </c>
      <c r="T1681" s="46" t="s">
        <v>2740</v>
      </c>
      <c r="U1681" s="51">
        <v>4</v>
      </c>
    </row>
    <row r="1682" spans="2:21" ht="14.5" outlineLevel="3">
      <c r="B1682" s="44" t="s">
        <v>4694</v>
      </c>
      <c r="C1682" s="45" t="s">
        <v>4695</v>
      </c>
      <c r="D1682" s="46" t="s">
        <v>458</v>
      </c>
      <c r="E1682" s="47" t="s">
        <v>102</v>
      </c>
      <c r="F1682" s="46" t="s">
        <v>102</v>
      </c>
      <c r="G1682" s="47" t="s">
        <v>102</v>
      </c>
      <c r="H1682" s="48">
        <v>0</v>
      </c>
      <c r="I1682" s="48">
        <v>0</v>
      </c>
      <c r="J1682" s="47" t="s">
        <v>3788</v>
      </c>
      <c r="K1682" s="49">
        <v>1</v>
      </c>
      <c r="L1682" s="49" t="s">
        <v>2614</v>
      </c>
      <c r="M1682" s="46" t="s">
        <v>117</v>
      </c>
      <c r="N1682" s="50">
        <v>0</v>
      </c>
      <c r="O1682" s="50">
        <v>0</v>
      </c>
      <c r="P1682" s="50">
        <v>0</v>
      </c>
      <c r="Q1682" s="46" t="s">
        <v>102</v>
      </c>
      <c r="R1682" s="46" t="s">
        <v>102</v>
      </c>
      <c r="S1682" s="46" t="s">
        <v>102</v>
      </c>
      <c r="T1682" s="46" t="s">
        <v>2743</v>
      </c>
      <c r="U1682" s="51">
        <v>4</v>
      </c>
    </row>
    <row r="1683" spans="2:21" ht="14.5" outlineLevel="3">
      <c r="B1683" s="44" t="s">
        <v>4696</v>
      </c>
      <c r="C1683" s="45" t="s">
        <v>4697</v>
      </c>
      <c r="D1683" s="46" t="s">
        <v>458</v>
      </c>
      <c r="E1683" s="47" t="s">
        <v>102</v>
      </c>
      <c r="F1683" s="46" t="s">
        <v>102</v>
      </c>
      <c r="G1683" s="47" t="s">
        <v>102</v>
      </c>
      <c r="H1683" s="48">
        <v>0</v>
      </c>
      <c r="I1683" s="48">
        <v>0</v>
      </c>
      <c r="J1683" s="47" t="s">
        <v>3788</v>
      </c>
      <c r="K1683" s="49">
        <v>1</v>
      </c>
      <c r="L1683" s="49" t="s">
        <v>2614</v>
      </c>
      <c r="M1683" s="46" t="s">
        <v>117</v>
      </c>
      <c r="N1683" s="50">
        <v>0</v>
      </c>
      <c r="O1683" s="50">
        <v>0</v>
      </c>
      <c r="P1683" s="50">
        <v>0</v>
      </c>
      <c r="Q1683" s="46" t="s">
        <v>102</v>
      </c>
      <c r="R1683" s="46" t="s">
        <v>102</v>
      </c>
      <c r="S1683" s="46" t="s">
        <v>102</v>
      </c>
      <c r="T1683" s="46" t="s">
        <v>4698</v>
      </c>
      <c r="U1683" s="51">
        <v>4</v>
      </c>
    </row>
    <row r="1684" spans="2:21" ht="14.5" outlineLevel="3">
      <c r="B1684" s="44" t="s">
        <v>4699</v>
      </c>
      <c r="C1684" s="45" t="s">
        <v>4700</v>
      </c>
      <c r="D1684" s="46" t="s">
        <v>458</v>
      </c>
      <c r="E1684" s="47" t="s">
        <v>102</v>
      </c>
      <c r="F1684" s="46" t="s">
        <v>102</v>
      </c>
      <c r="G1684" s="47" t="s">
        <v>102</v>
      </c>
      <c r="H1684" s="48">
        <v>0</v>
      </c>
      <c r="I1684" s="48">
        <v>0</v>
      </c>
      <c r="J1684" s="47" t="s">
        <v>3788</v>
      </c>
      <c r="K1684" s="49">
        <v>1</v>
      </c>
      <c r="L1684" s="49" t="s">
        <v>2614</v>
      </c>
      <c r="M1684" s="46" t="s">
        <v>117</v>
      </c>
      <c r="N1684" s="50">
        <v>0</v>
      </c>
      <c r="O1684" s="50">
        <v>0</v>
      </c>
      <c r="P1684" s="50">
        <v>0</v>
      </c>
      <c r="Q1684" s="46" t="s">
        <v>102</v>
      </c>
      <c r="R1684" s="46" t="s">
        <v>102</v>
      </c>
      <c r="S1684" s="46" t="s">
        <v>102</v>
      </c>
      <c r="T1684" s="46" t="s">
        <v>4701</v>
      </c>
      <c r="U1684" s="51">
        <v>4</v>
      </c>
    </row>
    <row r="1685" spans="2:21" ht="14.5" outlineLevel="3">
      <c r="B1685" s="44" t="s">
        <v>4702</v>
      </c>
      <c r="C1685" s="45" t="s">
        <v>4703</v>
      </c>
      <c r="D1685" s="46" t="s">
        <v>458</v>
      </c>
      <c r="E1685" s="47" t="s">
        <v>102</v>
      </c>
      <c r="F1685" s="46" t="s">
        <v>102</v>
      </c>
      <c r="G1685" s="47" t="s">
        <v>102</v>
      </c>
      <c r="H1685" s="48">
        <v>0</v>
      </c>
      <c r="I1685" s="48">
        <v>0</v>
      </c>
      <c r="J1685" s="47" t="s">
        <v>3788</v>
      </c>
      <c r="K1685" s="49">
        <v>1</v>
      </c>
      <c r="L1685" s="49" t="s">
        <v>2614</v>
      </c>
      <c r="M1685" s="46" t="s">
        <v>117</v>
      </c>
      <c r="N1685" s="50">
        <v>0</v>
      </c>
      <c r="O1685" s="50">
        <v>0</v>
      </c>
      <c r="P1685" s="50">
        <v>0</v>
      </c>
      <c r="Q1685" s="46" t="s">
        <v>102</v>
      </c>
      <c r="R1685" s="46" t="s">
        <v>102</v>
      </c>
      <c r="S1685" s="46" t="s">
        <v>102</v>
      </c>
      <c r="T1685" s="46" t="s">
        <v>4704</v>
      </c>
      <c r="U1685" s="51">
        <v>4</v>
      </c>
    </row>
    <row r="1686" spans="2:21" ht="14.5" outlineLevel="3">
      <c r="B1686" s="44" t="s">
        <v>4705</v>
      </c>
      <c r="C1686" s="45" t="s">
        <v>4706</v>
      </c>
      <c r="D1686" s="46" t="s">
        <v>458</v>
      </c>
      <c r="E1686" s="47" t="s">
        <v>102</v>
      </c>
      <c r="F1686" s="46" t="s">
        <v>102</v>
      </c>
      <c r="G1686" s="47" t="s">
        <v>102</v>
      </c>
      <c r="H1686" s="48">
        <v>0</v>
      </c>
      <c r="I1686" s="48">
        <v>0</v>
      </c>
      <c r="J1686" s="47" t="s">
        <v>3788</v>
      </c>
      <c r="K1686" s="49">
        <v>1</v>
      </c>
      <c r="L1686" s="49" t="s">
        <v>2614</v>
      </c>
      <c r="M1686" s="46" t="s">
        <v>117</v>
      </c>
      <c r="N1686" s="50">
        <v>0</v>
      </c>
      <c r="O1686" s="50">
        <v>0</v>
      </c>
      <c r="P1686" s="50">
        <v>0</v>
      </c>
      <c r="Q1686" s="46" t="s">
        <v>102</v>
      </c>
      <c r="R1686" s="46" t="s">
        <v>102</v>
      </c>
      <c r="S1686" s="46" t="s">
        <v>102</v>
      </c>
      <c r="T1686" s="46" t="s">
        <v>4707</v>
      </c>
      <c r="U1686" s="51">
        <v>4</v>
      </c>
    </row>
    <row r="1687" spans="2:21" ht="14.5" outlineLevel="3">
      <c r="B1687" s="44" t="s">
        <v>4708</v>
      </c>
      <c r="C1687" s="45" t="s">
        <v>4709</v>
      </c>
      <c r="D1687" s="46" t="s">
        <v>458</v>
      </c>
      <c r="E1687" s="47" t="s">
        <v>102</v>
      </c>
      <c r="F1687" s="46" t="s">
        <v>102</v>
      </c>
      <c r="G1687" s="47" t="s">
        <v>102</v>
      </c>
      <c r="H1687" s="48">
        <v>0</v>
      </c>
      <c r="I1687" s="48">
        <v>0</v>
      </c>
      <c r="J1687" s="47" t="s">
        <v>3788</v>
      </c>
      <c r="K1687" s="49">
        <v>1</v>
      </c>
      <c r="L1687" s="49" t="s">
        <v>2614</v>
      </c>
      <c r="M1687" s="46" t="s">
        <v>117</v>
      </c>
      <c r="N1687" s="50">
        <v>0</v>
      </c>
      <c r="O1687" s="50">
        <v>0</v>
      </c>
      <c r="P1687" s="50">
        <v>0</v>
      </c>
      <c r="Q1687" s="46" t="s">
        <v>102</v>
      </c>
      <c r="R1687" s="46" t="s">
        <v>102</v>
      </c>
      <c r="S1687" s="46" t="s">
        <v>102</v>
      </c>
      <c r="T1687" s="46" t="s">
        <v>2784</v>
      </c>
      <c r="U1687" s="51">
        <v>4</v>
      </c>
    </row>
    <row r="1688" spans="2:21" ht="14.5" outlineLevel="3">
      <c r="B1688" s="44" t="s">
        <v>4710</v>
      </c>
      <c r="C1688" s="45" t="s">
        <v>4711</v>
      </c>
      <c r="D1688" s="46" t="s">
        <v>458</v>
      </c>
      <c r="E1688" s="47" t="s">
        <v>102</v>
      </c>
      <c r="F1688" s="46" t="s">
        <v>102</v>
      </c>
      <c r="G1688" s="47" t="s">
        <v>102</v>
      </c>
      <c r="H1688" s="48">
        <v>0</v>
      </c>
      <c r="I1688" s="48">
        <v>0</v>
      </c>
      <c r="J1688" s="47" t="s">
        <v>3788</v>
      </c>
      <c r="K1688" s="49">
        <v>1</v>
      </c>
      <c r="L1688" s="49" t="s">
        <v>2614</v>
      </c>
      <c r="M1688" s="46" t="s">
        <v>117</v>
      </c>
      <c r="N1688" s="50">
        <v>0</v>
      </c>
      <c r="O1688" s="50">
        <v>0</v>
      </c>
      <c r="P1688" s="50">
        <v>0</v>
      </c>
      <c r="Q1688" s="46" t="s">
        <v>102</v>
      </c>
      <c r="R1688" s="46" t="s">
        <v>102</v>
      </c>
      <c r="S1688" s="46" t="s">
        <v>102</v>
      </c>
      <c r="T1688" s="46" t="s">
        <v>2787</v>
      </c>
      <c r="U1688" s="51">
        <v>4</v>
      </c>
    </row>
    <row r="1689" spans="2:21" ht="14.5" outlineLevel="2">
      <c r="B1689" s="36" t="s">
        <v>4712</v>
      </c>
      <c r="C1689" s="37" t="s">
        <v>4713</v>
      </c>
      <c r="D1689" s="38" t="s">
        <v>458</v>
      </c>
      <c r="E1689" s="39" t="s">
        <v>102</v>
      </c>
      <c r="F1689" s="38" t="s">
        <v>102</v>
      </c>
      <c r="G1689" s="39" t="s">
        <v>102</v>
      </c>
      <c r="H1689" s="40">
        <v>0</v>
      </c>
      <c r="I1689" s="40">
        <v>0</v>
      </c>
      <c r="J1689" s="39" t="s">
        <v>3788</v>
      </c>
      <c r="K1689" s="41">
        <v>1</v>
      </c>
      <c r="L1689" s="41" t="s">
        <v>2614</v>
      </c>
      <c r="M1689" s="38" t="s">
        <v>117</v>
      </c>
      <c r="N1689" s="42">
        <v>0</v>
      </c>
      <c r="O1689" s="42">
        <v>0</v>
      </c>
      <c r="P1689" s="42">
        <v>0</v>
      </c>
      <c r="Q1689" s="38" t="s">
        <v>102</v>
      </c>
      <c r="R1689" s="38" t="s">
        <v>102</v>
      </c>
      <c r="S1689" s="38" t="s">
        <v>102</v>
      </c>
      <c r="T1689" s="38" t="s">
        <v>2790</v>
      </c>
      <c r="U1689" s="43">
        <v>4</v>
      </c>
    </row>
    <row r="1690" spans="2:21" ht="14.5" outlineLevel="3">
      <c r="B1690" s="44" t="s">
        <v>4714</v>
      </c>
      <c r="C1690" s="45" t="s">
        <v>4715</v>
      </c>
      <c r="D1690" s="46" t="s">
        <v>458</v>
      </c>
      <c r="E1690" s="47" t="s">
        <v>102</v>
      </c>
      <c r="F1690" s="46" t="s">
        <v>102</v>
      </c>
      <c r="G1690" s="47" t="s">
        <v>102</v>
      </c>
      <c r="H1690" s="48">
        <v>0</v>
      </c>
      <c r="I1690" s="48">
        <v>0</v>
      </c>
      <c r="J1690" s="47" t="s">
        <v>3788</v>
      </c>
      <c r="K1690" s="49">
        <v>1</v>
      </c>
      <c r="L1690" s="49" t="s">
        <v>2614</v>
      </c>
      <c r="M1690" s="46" t="s">
        <v>117</v>
      </c>
      <c r="N1690" s="50">
        <v>0</v>
      </c>
      <c r="O1690" s="50">
        <v>0</v>
      </c>
      <c r="P1690" s="50">
        <v>0</v>
      </c>
      <c r="Q1690" s="46" t="s">
        <v>102</v>
      </c>
      <c r="R1690" s="46" t="s">
        <v>102</v>
      </c>
      <c r="S1690" s="46" t="s">
        <v>102</v>
      </c>
      <c r="T1690" s="46" t="s">
        <v>3448</v>
      </c>
      <c r="U1690" s="51">
        <v>4</v>
      </c>
    </row>
    <row r="1691" spans="2:21" ht="14.5" outlineLevel="3">
      <c r="B1691" s="44" t="s">
        <v>4716</v>
      </c>
      <c r="C1691" s="45" t="s">
        <v>4717</v>
      </c>
      <c r="D1691" s="46" t="s">
        <v>458</v>
      </c>
      <c r="E1691" s="47" t="s">
        <v>102</v>
      </c>
      <c r="F1691" s="46" t="s">
        <v>102</v>
      </c>
      <c r="G1691" s="47" t="s">
        <v>102</v>
      </c>
      <c r="H1691" s="48">
        <v>0</v>
      </c>
      <c r="I1691" s="48">
        <v>0</v>
      </c>
      <c r="J1691" s="47" t="s">
        <v>3788</v>
      </c>
      <c r="K1691" s="49">
        <v>1</v>
      </c>
      <c r="L1691" s="49" t="s">
        <v>2614</v>
      </c>
      <c r="M1691" s="46" t="s">
        <v>117</v>
      </c>
      <c r="N1691" s="50">
        <v>0</v>
      </c>
      <c r="O1691" s="50">
        <v>0</v>
      </c>
      <c r="P1691" s="50">
        <v>0</v>
      </c>
      <c r="Q1691" s="46" t="s">
        <v>102</v>
      </c>
      <c r="R1691" s="46" t="s">
        <v>102</v>
      </c>
      <c r="S1691" s="46" t="s">
        <v>102</v>
      </c>
      <c r="T1691" s="46" t="s">
        <v>2746</v>
      </c>
      <c r="U1691" s="51">
        <v>4</v>
      </c>
    </row>
    <row r="1692" spans="2:21" ht="14.5" outlineLevel="3">
      <c r="B1692" s="44" t="s">
        <v>4718</v>
      </c>
      <c r="C1692" s="45" t="s">
        <v>4719</v>
      </c>
      <c r="D1692" s="46" t="s">
        <v>458</v>
      </c>
      <c r="E1692" s="47" t="s">
        <v>102</v>
      </c>
      <c r="F1692" s="46" t="s">
        <v>102</v>
      </c>
      <c r="G1692" s="47" t="s">
        <v>102</v>
      </c>
      <c r="H1692" s="48">
        <v>0</v>
      </c>
      <c r="I1692" s="48">
        <v>0</v>
      </c>
      <c r="J1692" s="47" t="s">
        <v>3788</v>
      </c>
      <c r="K1692" s="49">
        <v>1</v>
      </c>
      <c r="L1692" s="49" t="s">
        <v>2614</v>
      </c>
      <c r="M1692" s="46" t="s">
        <v>117</v>
      </c>
      <c r="N1692" s="50">
        <v>0</v>
      </c>
      <c r="O1692" s="50">
        <v>0</v>
      </c>
      <c r="P1692" s="50">
        <v>0</v>
      </c>
      <c r="Q1692" s="46" t="s">
        <v>102</v>
      </c>
      <c r="R1692" s="46" t="s">
        <v>102</v>
      </c>
      <c r="S1692" s="46" t="s">
        <v>102</v>
      </c>
      <c r="T1692" s="46" t="s">
        <v>4578</v>
      </c>
      <c r="U1692" s="51">
        <v>4</v>
      </c>
    </row>
    <row r="1693" spans="2:21" ht="14.5" outlineLevel="3">
      <c r="B1693" s="44" t="s">
        <v>4720</v>
      </c>
      <c r="C1693" s="45" t="s">
        <v>4721</v>
      </c>
      <c r="D1693" s="46" t="s">
        <v>458</v>
      </c>
      <c r="E1693" s="47" t="s">
        <v>102</v>
      </c>
      <c r="F1693" s="46" t="s">
        <v>102</v>
      </c>
      <c r="G1693" s="47" t="s">
        <v>102</v>
      </c>
      <c r="H1693" s="48">
        <v>0</v>
      </c>
      <c r="I1693" s="48">
        <v>0</v>
      </c>
      <c r="J1693" s="47" t="s">
        <v>3788</v>
      </c>
      <c r="K1693" s="49">
        <v>1</v>
      </c>
      <c r="L1693" s="49" t="s">
        <v>2614</v>
      </c>
      <c r="M1693" s="46" t="s">
        <v>117</v>
      </c>
      <c r="N1693" s="50">
        <v>0</v>
      </c>
      <c r="O1693" s="50">
        <v>0</v>
      </c>
      <c r="P1693" s="50">
        <v>0</v>
      </c>
      <c r="Q1693" s="46" t="s">
        <v>102</v>
      </c>
      <c r="R1693" s="46" t="s">
        <v>102</v>
      </c>
      <c r="S1693" s="46" t="s">
        <v>102</v>
      </c>
      <c r="T1693" s="46" t="s">
        <v>4722</v>
      </c>
      <c r="U1693" s="51">
        <v>4</v>
      </c>
    </row>
    <row r="1694" spans="2:21" ht="14.5" outlineLevel="3">
      <c r="B1694" s="44" t="s">
        <v>4723</v>
      </c>
      <c r="C1694" s="45" t="s">
        <v>4724</v>
      </c>
      <c r="D1694" s="46" t="s">
        <v>458</v>
      </c>
      <c r="E1694" s="47" t="s">
        <v>102</v>
      </c>
      <c r="F1694" s="46" t="s">
        <v>102</v>
      </c>
      <c r="G1694" s="47" t="s">
        <v>102</v>
      </c>
      <c r="H1694" s="48">
        <v>0</v>
      </c>
      <c r="I1694" s="48">
        <v>0</v>
      </c>
      <c r="J1694" s="47" t="s">
        <v>3788</v>
      </c>
      <c r="K1694" s="49">
        <v>1</v>
      </c>
      <c r="L1694" s="49" t="s">
        <v>2614</v>
      </c>
      <c r="M1694" s="46" t="s">
        <v>117</v>
      </c>
      <c r="N1694" s="50">
        <v>0</v>
      </c>
      <c r="O1694" s="50">
        <v>0</v>
      </c>
      <c r="P1694" s="50">
        <v>0</v>
      </c>
      <c r="Q1694" s="46" t="s">
        <v>102</v>
      </c>
      <c r="R1694" s="46" t="s">
        <v>102</v>
      </c>
      <c r="S1694" s="46" t="s">
        <v>102</v>
      </c>
      <c r="T1694" s="46" t="s">
        <v>4725</v>
      </c>
      <c r="U1694" s="51">
        <v>4</v>
      </c>
    </row>
    <row r="1695" spans="2:21" ht="14.5" outlineLevel="3">
      <c r="B1695" s="44" t="s">
        <v>4726</v>
      </c>
      <c r="C1695" s="45" t="s">
        <v>4727</v>
      </c>
      <c r="D1695" s="46" t="s">
        <v>102</v>
      </c>
      <c r="E1695" s="47" t="s">
        <v>102</v>
      </c>
      <c r="F1695" s="46" t="s">
        <v>102</v>
      </c>
      <c r="G1695" s="47" t="s">
        <v>102</v>
      </c>
      <c r="H1695" s="48">
        <v>0</v>
      </c>
      <c r="I1695" s="48">
        <v>0</v>
      </c>
      <c r="J1695" s="47" t="s">
        <v>102</v>
      </c>
      <c r="K1695" s="49">
        <v>0</v>
      </c>
      <c r="L1695" s="49" t="s">
        <v>102</v>
      </c>
      <c r="M1695" s="46" t="s">
        <v>102</v>
      </c>
      <c r="N1695" s="50">
        <v>0</v>
      </c>
      <c r="O1695" s="50">
        <v>0</v>
      </c>
      <c r="P1695" s="50">
        <v>0</v>
      </c>
      <c r="Q1695" s="46" t="s">
        <v>102</v>
      </c>
      <c r="R1695" s="46" t="s">
        <v>102</v>
      </c>
      <c r="S1695" s="46" t="s">
        <v>4728</v>
      </c>
      <c r="T1695" s="46" t="s">
        <v>102</v>
      </c>
      <c r="U1695" s="51">
        <v>3</v>
      </c>
    </row>
    <row r="1696" spans="2:21" ht="14.5" outlineLevel="3">
      <c r="B1696" s="44" t="s">
        <v>4729</v>
      </c>
      <c r="C1696" s="45" t="s">
        <v>4730</v>
      </c>
      <c r="D1696" s="46" t="s">
        <v>458</v>
      </c>
      <c r="E1696" s="47" t="s">
        <v>102</v>
      </c>
      <c r="F1696" s="46" t="s">
        <v>102</v>
      </c>
      <c r="G1696" s="47" t="s">
        <v>102</v>
      </c>
      <c r="H1696" s="48">
        <v>0</v>
      </c>
      <c r="I1696" s="48">
        <v>0</v>
      </c>
      <c r="J1696" s="47" t="s">
        <v>4364</v>
      </c>
      <c r="K1696" s="49">
        <v>1</v>
      </c>
      <c r="L1696" s="49" t="s">
        <v>2614</v>
      </c>
      <c r="M1696" s="46" t="s">
        <v>117</v>
      </c>
      <c r="N1696" s="50">
        <v>0</v>
      </c>
      <c r="O1696" s="50">
        <v>0</v>
      </c>
      <c r="P1696" s="50">
        <v>0</v>
      </c>
      <c r="Q1696" s="46" t="s">
        <v>102</v>
      </c>
      <c r="R1696" s="46" t="s">
        <v>102</v>
      </c>
      <c r="S1696" s="46" t="s">
        <v>102</v>
      </c>
      <c r="T1696" s="46" t="s">
        <v>2781</v>
      </c>
      <c r="U1696" s="51">
        <v>4</v>
      </c>
    </row>
    <row r="1697" spans="2:21" ht="14.5" outlineLevel="3">
      <c r="B1697" s="44" t="s">
        <v>4731</v>
      </c>
      <c r="C1697" s="45" t="s">
        <v>4732</v>
      </c>
      <c r="D1697" s="46" t="s">
        <v>458</v>
      </c>
      <c r="E1697" s="47" t="s">
        <v>102</v>
      </c>
      <c r="F1697" s="46" t="s">
        <v>102</v>
      </c>
      <c r="G1697" s="47" t="s">
        <v>102</v>
      </c>
      <c r="H1697" s="48">
        <v>0</v>
      </c>
      <c r="I1697" s="48">
        <v>0</v>
      </c>
      <c r="J1697" s="47" t="s">
        <v>4364</v>
      </c>
      <c r="K1697" s="49">
        <v>1</v>
      </c>
      <c r="L1697" s="49" t="s">
        <v>2614</v>
      </c>
      <c r="M1697" s="46" t="s">
        <v>117</v>
      </c>
      <c r="N1697" s="50">
        <v>0</v>
      </c>
      <c r="O1697" s="50">
        <v>0</v>
      </c>
      <c r="P1697" s="50">
        <v>0</v>
      </c>
      <c r="Q1697" s="46" t="s">
        <v>102</v>
      </c>
      <c r="R1697" s="46" t="s">
        <v>102</v>
      </c>
      <c r="S1697" s="46" t="s">
        <v>102</v>
      </c>
      <c r="T1697" s="46" t="s">
        <v>2740</v>
      </c>
      <c r="U1697" s="51">
        <v>4</v>
      </c>
    </row>
    <row r="1698" spans="2:21" ht="14.5" outlineLevel="3">
      <c r="B1698" s="44" t="s">
        <v>4733</v>
      </c>
      <c r="C1698" s="45" t="s">
        <v>4734</v>
      </c>
      <c r="D1698" s="46" t="s">
        <v>458</v>
      </c>
      <c r="E1698" s="47" t="s">
        <v>102</v>
      </c>
      <c r="F1698" s="46" t="s">
        <v>102</v>
      </c>
      <c r="G1698" s="47" t="s">
        <v>102</v>
      </c>
      <c r="H1698" s="48">
        <v>0</v>
      </c>
      <c r="I1698" s="48">
        <v>0</v>
      </c>
      <c r="J1698" s="47" t="s">
        <v>4364</v>
      </c>
      <c r="K1698" s="49">
        <v>1</v>
      </c>
      <c r="L1698" s="49" t="s">
        <v>2614</v>
      </c>
      <c r="M1698" s="46" t="s">
        <v>117</v>
      </c>
      <c r="N1698" s="50">
        <v>0</v>
      </c>
      <c r="O1698" s="50">
        <v>0</v>
      </c>
      <c r="P1698" s="50">
        <v>0</v>
      </c>
      <c r="Q1698" s="46" t="s">
        <v>102</v>
      </c>
      <c r="R1698" s="46" t="s">
        <v>102</v>
      </c>
      <c r="S1698" s="46" t="s">
        <v>102</v>
      </c>
      <c r="T1698" s="46" t="s">
        <v>3477</v>
      </c>
      <c r="U1698" s="51">
        <v>4</v>
      </c>
    </row>
    <row r="1699" spans="2:21" ht="14.5" outlineLevel="3">
      <c r="B1699" s="44" t="s">
        <v>4735</v>
      </c>
      <c r="C1699" s="45" t="s">
        <v>4736</v>
      </c>
      <c r="D1699" s="46" t="s">
        <v>392</v>
      </c>
      <c r="E1699" s="47" t="s">
        <v>102</v>
      </c>
      <c r="F1699" s="46" t="s">
        <v>102</v>
      </c>
      <c r="G1699" s="47" t="s">
        <v>102</v>
      </c>
      <c r="H1699" s="48">
        <v>0</v>
      </c>
      <c r="I1699" s="48">
        <v>0</v>
      </c>
      <c r="J1699" s="47" t="s">
        <v>4364</v>
      </c>
      <c r="K1699" s="49">
        <v>1</v>
      </c>
      <c r="L1699" s="49" t="s">
        <v>2614</v>
      </c>
      <c r="M1699" s="46" t="s">
        <v>117</v>
      </c>
      <c r="N1699" s="50">
        <v>0</v>
      </c>
      <c r="O1699" s="50">
        <v>0</v>
      </c>
      <c r="P1699" s="50">
        <v>0</v>
      </c>
      <c r="Q1699" s="46" t="s">
        <v>102</v>
      </c>
      <c r="R1699" s="46" t="s">
        <v>102</v>
      </c>
      <c r="S1699" s="46" t="s">
        <v>102</v>
      </c>
      <c r="T1699" s="46" t="s">
        <v>4737</v>
      </c>
      <c r="U1699" s="51">
        <v>4</v>
      </c>
    </row>
    <row r="1700" spans="2:21" ht="14.5" outlineLevel="3">
      <c r="B1700" s="44" t="s">
        <v>4738</v>
      </c>
      <c r="C1700" s="45" t="s">
        <v>4739</v>
      </c>
      <c r="D1700" s="46" t="s">
        <v>458</v>
      </c>
      <c r="E1700" s="47" t="s">
        <v>102</v>
      </c>
      <c r="F1700" s="46" t="s">
        <v>102</v>
      </c>
      <c r="G1700" s="47" t="s">
        <v>102</v>
      </c>
      <c r="H1700" s="48">
        <v>0</v>
      </c>
      <c r="I1700" s="48">
        <v>0</v>
      </c>
      <c r="J1700" s="47" t="s">
        <v>4364</v>
      </c>
      <c r="K1700" s="49">
        <v>1</v>
      </c>
      <c r="L1700" s="49" t="s">
        <v>2614</v>
      </c>
      <c r="M1700" s="46" t="s">
        <v>117</v>
      </c>
      <c r="N1700" s="50">
        <v>0</v>
      </c>
      <c r="O1700" s="50">
        <v>0</v>
      </c>
      <c r="P1700" s="50">
        <v>0</v>
      </c>
      <c r="Q1700" s="46" t="s">
        <v>102</v>
      </c>
      <c r="R1700" s="46" t="s">
        <v>102</v>
      </c>
      <c r="S1700" s="46" t="s">
        <v>102</v>
      </c>
      <c r="T1700" s="46" t="s">
        <v>2743</v>
      </c>
      <c r="U1700" s="51">
        <v>4</v>
      </c>
    </row>
    <row r="1701" spans="2:21" ht="14.5" outlineLevel="3">
      <c r="B1701" s="44" t="s">
        <v>4740</v>
      </c>
      <c r="C1701" s="45" t="s">
        <v>4741</v>
      </c>
      <c r="D1701" s="46" t="s">
        <v>392</v>
      </c>
      <c r="E1701" s="47" t="s">
        <v>102</v>
      </c>
      <c r="F1701" s="46" t="s">
        <v>102</v>
      </c>
      <c r="G1701" s="47" t="s">
        <v>102</v>
      </c>
      <c r="H1701" s="48">
        <v>0</v>
      </c>
      <c r="I1701" s="48">
        <v>0</v>
      </c>
      <c r="J1701" s="47" t="s">
        <v>4364</v>
      </c>
      <c r="K1701" s="49">
        <v>1</v>
      </c>
      <c r="L1701" s="49" t="s">
        <v>2614</v>
      </c>
      <c r="M1701" s="46" t="s">
        <v>117</v>
      </c>
      <c r="N1701" s="50">
        <v>0</v>
      </c>
      <c r="O1701" s="50">
        <v>0</v>
      </c>
      <c r="P1701" s="50">
        <v>0</v>
      </c>
      <c r="Q1701" s="46" t="s">
        <v>102</v>
      </c>
      <c r="R1701" s="46" t="s">
        <v>102</v>
      </c>
      <c r="S1701" s="46" t="s">
        <v>102</v>
      </c>
      <c r="T1701" s="46" t="s">
        <v>2784</v>
      </c>
      <c r="U1701" s="51">
        <v>4</v>
      </c>
    </row>
    <row r="1702" spans="2:21" ht="14.5" outlineLevel="3">
      <c r="B1702" s="44" t="s">
        <v>4742</v>
      </c>
      <c r="C1702" s="45" t="s">
        <v>4743</v>
      </c>
      <c r="D1702" s="46" t="s">
        <v>458</v>
      </c>
      <c r="E1702" s="47" t="s">
        <v>102</v>
      </c>
      <c r="F1702" s="46" t="s">
        <v>102</v>
      </c>
      <c r="G1702" s="47" t="s">
        <v>102</v>
      </c>
      <c r="H1702" s="48">
        <v>0</v>
      </c>
      <c r="I1702" s="48">
        <v>0</v>
      </c>
      <c r="J1702" s="47" t="s">
        <v>4364</v>
      </c>
      <c r="K1702" s="49">
        <v>1</v>
      </c>
      <c r="L1702" s="49" t="s">
        <v>2614</v>
      </c>
      <c r="M1702" s="46" t="s">
        <v>117</v>
      </c>
      <c r="N1702" s="50">
        <v>0</v>
      </c>
      <c r="O1702" s="50">
        <v>0</v>
      </c>
      <c r="P1702" s="50">
        <v>0</v>
      </c>
      <c r="Q1702" s="46" t="s">
        <v>102</v>
      </c>
      <c r="R1702" s="46" t="s">
        <v>102</v>
      </c>
      <c r="S1702" s="46" t="s">
        <v>102</v>
      </c>
      <c r="T1702" s="46" t="s">
        <v>2790</v>
      </c>
      <c r="U1702" s="51">
        <v>4</v>
      </c>
    </row>
    <row r="1703" spans="2:21" ht="14.5" outlineLevel="3">
      <c r="B1703" s="44" t="s">
        <v>4744</v>
      </c>
      <c r="C1703" s="45" t="s">
        <v>4745</v>
      </c>
      <c r="D1703" s="46" t="s">
        <v>458</v>
      </c>
      <c r="E1703" s="47" t="s">
        <v>102</v>
      </c>
      <c r="F1703" s="46" t="s">
        <v>102</v>
      </c>
      <c r="G1703" s="47" t="s">
        <v>102</v>
      </c>
      <c r="H1703" s="48">
        <v>0</v>
      </c>
      <c r="I1703" s="48">
        <v>0</v>
      </c>
      <c r="J1703" s="47" t="s">
        <v>4364</v>
      </c>
      <c r="K1703" s="49">
        <v>1</v>
      </c>
      <c r="L1703" s="49" t="s">
        <v>2614</v>
      </c>
      <c r="M1703" s="46" t="s">
        <v>117</v>
      </c>
      <c r="N1703" s="50">
        <v>0</v>
      </c>
      <c r="O1703" s="50">
        <v>0</v>
      </c>
      <c r="P1703" s="50">
        <v>0</v>
      </c>
      <c r="Q1703" s="46" t="s">
        <v>102</v>
      </c>
      <c r="R1703" s="46" t="s">
        <v>102</v>
      </c>
      <c r="S1703" s="46" t="s">
        <v>102</v>
      </c>
      <c r="T1703" s="46" t="s">
        <v>3448</v>
      </c>
      <c r="U1703" s="51">
        <v>4</v>
      </c>
    </row>
    <row r="1704" spans="2:21" ht="14.5" outlineLevel="3">
      <c r="B1704" s="44" t="s">
        <v>4746</v>
      </c>
      <c r="C1704" s="45" t="s">
        <v>4747</v>
      </c>
      <c r="D1704" s="46" t="s">
        <v>458</v>
      </c>
      <c r="E1704" s="47" t="s">
        <v>102</v>
      </c>
      <c r="F1704" s="46" t="s">
        <v>102</v>
      </c>
      <c r="G1704" s="47" t="s">
        <v>102</v>
      </c>
      <c r="H1704" s="48">
        <v>0</v>
      </c>
      <c r="I1704" s="48">
        <v>0</v>
      </c>
      <c r="J1704" s="47" t="s">
        <v>4364</v>
      </c>
      <c r="K1704" s="49">
        <v>1</v>
      </c>
      <c r="L1704" s="49" t="s">
        <v>2614</v>
      </c>
      <c r="M1704" s="46" t="s">
        <v>117</v>
      </c>
      <c r="N1704" s="50">
        <v>0</v>
      </c>
      <c r="O1704" s="50">
        <v>0</v>
      </c>
      <c r="P1704" s="50">
        <v>0</v>
      </c>
      <c r="Q1704" s="46" t="s">
        <v>102</v>
      </c>
      <c r="R1704" s="46" t="s">
        <v>102</v>
      </c>
      <c r="S1704" s="46" t="s">
        <v>102</v>
      </c>
      <c r="T1704" s="46" t="s">
        <v>3484</v>
      </c>
      <c r="U1704" s="51">
        <v>4</v>
      </c>
    </row>
    <row r="1705" spans="2:21" ht="14.5" outlineLevel="3">
      <c r="B1705" s="44" t="s">
        <v>4748</v>
      </c>
      <c r="C1705" s="45" t="s">
        <v>4749</v>
      </c>
      <c r="D1705" s="46" t="s">
        <v>458</v>
      </c>
      <c r="E1705" s="47" t="s">
        <v>102</v>
      </c>
      <c r="F1705" s="46" t="s">
        <v>102</v>
      </c>
      <c r="G1705" s="47" t="s">
        <v>102</v>
      </c>
      <c r="H1705" s="48">
        <v>0</v>
      </c>
      <c r="I1705" s="48">
        <v>0</v>
      </c>
      <c r="J1705" s="47" t="s">
        <v>4364</v>
      </c>
      <c r="K1705" s="49">
        <v>1</v>
      </c>
      <c r="L1705" s="49" t="s">
        <v>2614</v>
      </c>
      <c r="M1705" s="46" t="s">
        <v>117</v>
      </c>
      <c r="N1705" s="50">
        <v>0</v>
      </c>
      <c r="O1705" s="50">
        <v>0</v>
      </c>
      <c r="P1705" s="50">
        <v>0</v>
      </c>
      <c r="Q1705" s="46" t="s">
        <v>102</v>
      </c>
      <c r="R1705" s="46" t="s">
        <v>102</v>
      </c>
      <c r="S1705" s="46" t="s">
        <v>102</v>
      </c>
      <c r="T1705" s="46" t="s">
        <v>3453</v>
      </c>
      <c r="U1705" s="51">
        <v>4</v>
      </c>
    </row>
    <row r="1706" spans="2:21" ht="14.5" outlineLevel="3">
      <c r="B1706" s="44" t="s">
        <v>4750</v>
      </c>
      <c r="C1706" s="45" t="s">
        <v>4751</v>
      </c>
      <c r="D1706" s="46" t="s">
        <v>4752</v>
      </c>
      <c r="E1706" s="47" t="s">
        <v>102</v>
      </c>
      <c r="F1706" s="46" t="s">
        <v>102</v>
      </c>
      <c r="G1706" s="47" t="s">
        <v>102</v>
      </c>
      <c r="H1706" s="48">
        <v>0</v>
      </c>
      <c r="I1706" s="48">
        <v>0</v>
      </c>
      <c r="J1706" s="47" t="s">
        <v>4364</v>
      </c>
      <c r="K1706" s="49">
        <v>1</v>
      </c>
      <c r="L1706" s="49" t="s">
        <v>2614</v>
      </c>
      <c r="M1706" s="46" t="s">
        <v>117</v>
      </c>
      <c r="N1706" s="50">
        <v>0</v>
      </c>
      <c r="O1706" s="50">
        <v>0</v>
      </c>
      <c r="P1706" s="50">
        <v>0</v>
      </c>
      <c r="Q1706" s="46" t="s">
        <v>102</v>
      </c>
      <c r="R1706" s="46" t="s">
        <v>102</v>
      </c>
      <c r="S1706" s="46" t="s">
        <v>102</v>
      </c>
      <c r="T1706" s="46" t="s">
        <v>3456</v>
      </c>
      <c r="U1706" s="51">
        <v>4</v>
      </c>
    </row>
    <row r="1707" spans="2:21" ht="14.5" outlineLevel="3">
      <c r="B1707" s="44" t="s">
        <v>4753</v>
      </c>
      <c r="C1707" s="45" t="s">
        <v>4754</v>
      </c>
      <c r="D1707" s="46" t="s">
        <v>4752</v>
      </c>
      <c r="E1707" s="47" t="s">
        <v>102</v>
      </c>
      <c r="F1707" s="46" t="s">
        <v>102</v>
      </c>
      <c r="G1707" s="47" t="s">
        <v>102</v>
      </c>
      <c r="H1707" s="48">
        <v>0</v>
      </c>
      <c r="I1707" s="48">
        <v>0</v>
      </c>
      <c r="J1707" s="47" t="s">
        <v>4364</v>
      </c>
      <c r="K1707" s="49">
        <v>1</v>
      </c>
      <c r="L1707" s="49" t="s">
        <v>2614</v>
      </c>
      <c r="M1707" s="46" t="s">
        <v>117</v>
      </c>
      <c r="N1707" s="50">
        <v>0</v>
      </c>
      <c r="O1707" s="50">
        <v>0</v>
      </c>
      <c r="P1707" s="50">
        <v>0</v>
      </c>
      <c r="Q1707" s="46" t="s">
        <v>102</v>
      </c>
      <c r="R1707" s="46" t="s">
        <v>102</v>
      </c>
      <c r="S1707" s="46" t="s">
        <v>102</v>
      </c>
      <c r="T1707" s="46" t="s">
        <v>4755</v>
      </c>
      <c r="U1707" s="51">
        <v>4</v>
      </c>
    </row>
    <row r="1708" spans="2:21" ht="14.5" outlineLevel="3">
      <c r="B1708" s="44" t="s">
        <v>4756</v>
      </c>
      <c r="C1708" s="45" t="s">
        <v>4757</v>
      </c>
      <c r="D1708" s="46" t="s">
        <v>458</v>
      </c>
      <c r="E1708" s="47" t="s">
        <v>102</v>
      </c>
      <c r="F1708" s="46" t="s">
        <v>102</v>
      </c>
      <c r="G1708" s="47" t="s">
        <v>102</v>
      </c>
      <c r="H1708" s="48">
        <v>0</v>
      </c>
      <c r="I1708" s="48">
        <v>0</v>
      </c>
      <c r="J1708" s="47" t="s">
        <v>4364</v>
      </c>
      <c r="K1708" s="49">
        <v>1</v>
      </c>
      <c r="L1708" s="49" t="s">
        <v>2614</v>
      </c>
      <c r="M1708" s="46" t="s">
        <v>117</v>
      </c>
      <c r="N1708" s="50">
        <v>0</v>
      </c>
      <c r="O1708" s="50">
        <v>0</v>
      </c>
      <c r="P1708" s="50">
        <v>0</v>
      </c>
      <c r="Q1708" s="46" t="s">
        <v>102</v>
      </c>
      <c r="R1708" s="46" t="s">
        <v>102</v>
      </c>
      <c r="S1708" s="46" t="s">
        <v>102</v>
      </c>
      <c r="T1708" s="46" t="s">
        <v>4758</v>
      </c>
      <c r="U1708" s="51">
        <v>4</v>
      </c>
    </row>
    <row r="1709" spans="2:21" ht="14.5" outlineLevel="3">
      <c r="B1709" s="44" t="s">
        <v>4759</v>
      </c>
      <c r="C1709" s="45" t="s">
        <v>4760</v>
      </c>
      <c r="D1709" s="46" t="s">
        <v>458</v>
      </c>
      <c r="E1709" s="47" t="s">
        <v>102</v>
      </c>
      <c r="F1709" s="46" t="s">
        <v>102</v>
      </c>
      <c r="G1709" s="47" t="s">
        <v>102</v>
      </c>
      <c r="H1709" s="48">
        <v>0</v>
      </c>
      <c r="I1709" s="48">
        <v>0</v>
      </c>
      <c r="J1709" s="47" t="s">
        <v>4364</v>
      </c>
      <c r="K1709" s="49">
        <v>1</v>
      </c>
      <c r="L1709" s="49" t="s">
        <v>2614</v>
      </c>
      <c r="M1709" s="46" t="s">
        <v>117</v>
      </c>
      <c r="N1709" s="50">
        <v>0</v>
      </c>
      <c r="O1709" s="50">
        <v>0</v>
      </c>
      <c r="P1709" s="50">
        <v>0</v>
      </c>
      <c r="Q1709" s="46" t="s">
        <v>102</v>
      </c>
      <c r="R1709" s="46" t="s">
        <v>102</v>
      </c>
      <c r="S1709" s="46" t="s">
        <v>102</v>
      </c>
      <c r="T1709" s="46" t="s">
        <v>4761</v>
      </c>
      <c r="U1709" s="51">
        <v>4</v>
      </c>
    </row>
    <row r="1710" spans="2:21" ht="14.5" outlineLevel="3">
      <c r="B1710" s="44" t="s">
        <v>4762</v>
      </c>
      <c r="C1710" s="45" t="s">
        <v>4763</v>
      </c>
      <c r="D1710" s="46" t="s">
        <v>4752</v>
      </c>
      <c r="E1710" s="47" t="s">
        <v>102</v>
      </c>
      <c r="F1710" s="46" t="s">
        <v>102</v>
      </c>
      <c r="G1710" s="47" t="s">
        <v>102</v>
      </c>
      <c r="H1710" s="48">
        <v>0</v>
      </c>
      <c r="I1710" s="48">
        <v>0</v>
      </c>
      <c r="J1710" s="47" t="s">
        <v>4364</v>
      </c>
      <c r="K1710" s="49">
        <v>1</v>
      </c>
      <c r="L1710" s="49" t="s">
        <v>2614</v>
      </c>
      <c r="M1710" s="46" t="s">
        <v>117</v>
      </c>
      <c r="N1710" s="50">
        <v>0</v>
      </c>
      <c r="O1710" s="50">
        <v>0</v>
      </c>
      <c r="P1710" s="50">
        <v>0</v>
      </c>
      <c r="Q1710" s="46" t="s">
        <v>102</v>
      </c>
      <c r="R1710" s="46" t="s">
        <v>102</v>
      </c>
      <c r="S1710" s="46" t="s">
        <v>102</v>
      </c>
      <c r="T1710" s="46" t="s">
        <v>4764</v>
      </c>
      <c r="U1710" s="51">
        <v>4</v>
      </c>
    </row>
    <row r="1711" spans="2:21" ht="14.5" outlineLevel="3">
      <c r="B1711" s="44" t="s">
        <v>4765</v>
      </c>
      <c r="C1711" s="45" t="s">
        <v>4766</v>
      </c>
      <c r="D1711" s="46" t="s">
        <v>458</v>
      </c>
      <c r="E1711" s="47" t="s">
        <v>102</v>
      </c>
      <c r="F1711" s="46" t="s">
        <v>102</v>
      </c>
      <c r="G1711" s="47" t="s">
        <v>102</v>
      </c>
      <c r="H1711" s="48">
        <v>0</v>
      </c>
      <c r="I1711" s="48">
        <v>0</v>
      </c>
      <c r="J1711" s="47" t="s">
        <v>4364</v>
      </c>
      <c r="K1711" s="49">
        <v>1</v>
      </c>
      <c r="L1711" s="49" t="s">
        <v>2614</v>
      </c>
      <c r="M1711" s="46" t="s">
        <v>117</v>
      </c>
      <c r="N1711" s="50">
        <v>0</v>
      </c>
      <c r="O1711" s="50">
        <v>0</v>
      </c>
      <c r="P1711" s="50">
        <v>0</v>
      </c>
      <c r="Q1711" s="46" t="s">
        <v>102</v>
      </c>
      <c r="R1711" s="46" t="s">
        <v>102</v>
      </c>
      <c r="S1711" s="46" t="s">
        <v>102</v>
      </c>
      <c r="T1711" s="46" t="s">
        <v>2828</v>
      </c>
      <c r="U1711" s="51">
        <v>4</v>
      </c>
    </row>
    <row r="1712" spans="2:21" ht="14.5" outlineLevel="3">
      <c r="B1712" s="44" t="s">
        <v>4767</v>
      </c>
      <c r="C1712" s="45" t="s">
        <v>4768</v>
      </c>
      <c r="D1712" s="46" t="s">
        <v>458</v>
      </c>
      <c r="E1712" s="47" t="s">
        <v>102</v>
      </c>
      <c r="F1712" s="46" t="s">
        <v>102</v>
      </c>
      <c r="G1712" s="47" t="s">
        <v>102</v>
      </c>
      <c r="H1712" s="48">
        <v>0</v>
      </c>
      <c r="I1712" s="48">
        <v>0</v>
      </c>
      <c r="J1712" s="47" t="s">
        <v>4364</v>
      </c>
      <c r="K1712" s="49">
        <v>1</v>
      </c>
      <c r="L1712" s="49" t="s">
        <v>2614</v>
      </c>
      <c r="M1712" s="46" t="s">
        <v>117</v>
      </c>
      <c r="N1712" s="50">
        <v>0</v>
      </c>
      <c r="O1712" s="50">
        <v>0</v>
      </c>
      <c r="P1712" s="50">
        <v>0</v>
      </c>
      <c r="Q1712" s="46" t="s">
        <v>102</v>
      </c>
      <c r="R1712" s="46" t="s">
        <v>102</v>
      </c>
      <c r="S1712" s="46" t="s">
        <v>102</v>
      </c>
      <c r="T1712" s="46" t="s">
        <v>2773</v>
      </c>
      <c r="U1712" s="51">
        <v>4</v>
      </c>
    </row>
    <row r="1713" spans="2:21" ht="14.5" outlineLevel="3">
      <c r="B1713" s="44" t="s">
        <v>4769</v>
      </c>
      <c r="C1713" s="45" t="s">
        <v>4770</v>
      </c>
      <c r="D1713" s="46" t="s">
        <v>458</v>
      </c>
      <c r="E1713" s="47" t="s">
        <v>102</v>
      </c>
      <c r="F1713" s="46" t="s">
        <v>102</v>
      </c>
      <c r="G1713" s="47" t="s">
        <v>102</v>
      </c>
      <c r="H1713" s="48">
        <v>0</v>
      </c>
      <c r="I1713" s="48">
        <v>0</v>
      </c>
      <c r="J1713" s="47" t="s">
        <v>4364</v>
      </c>
      <c r="K1713" s="49">
        <v>1</v>
      </c>
      <c r="L1713" s="49" t="s">
        <v>2614</v>
      </c>
      <c r="M1713" s="46" t="s">
        <v>117</v>
      </c>
      <c r="N1713" s="50">
        <v>0</v>
      </c>
      <c r="O1713" s="50">
        <v>0</v>
      </c>
      <c r="P1713" s="50">
        <v>0</v>
      </c>
      <c r="Q1713" s="46" t="s">
        <v>102</v>
      </c>
      <c r="R1713" s="46" t="s">
        <v>102</v>
      </c>
      <c r="S1713" s="46" t="s">
        <v>102</v>
      </c>
      <c r="T1713" s="46" t="s">
        <v>3066</v>
      </c>
      <c r="U1713" s="51">
        <v>4</v>
      </c>
    </row>
    <row r="1714" spans="2:21" ht="14.5" outlineLevel="2">
      <c r="B1714" s="36" t="s">
        <v>4771</v>
      </c>
      <c r="C1714" s="37" t="s">
        <v>4772</v>
      </c>
      <c r="D1714" s="38" t="s">
        <v>4002</v>
      </c>
      <c r="E1714" s="39" t="s">
        <v>102</v>
      </c>
      <c r="F1714" s="38" t="s">
        <v>102</v>
      </c>
      <c r="G1714" s="39" t="s">
        <v>102</v>
      </c>
      <c r="H1714" s="40">
        <v>0</v>
      </c>
      <c r="I1714" s="40">
        <v>0</v>
      </c>
      <c r="J1714" s="39" t="s">
        <v>4364</v>
      </c>
      <c r="K1714" s="41">
        <v>1</v>
      </c>
      <c r="L1714" s="41" t="s">
        <v>2614</v>
      </c>
      <c r="M1714" s="38" t="s">
        <v>117</v>
      </c>
      <c r="N1714" s="42">
        <v>0</v>
      </c>
      <c r="O1714" s="42">
        <v>0</v>
      </c>
      <c r="P1714" s="42">
        <v>0</v>
      </c>
      <c r="Q1714" s="38" t="s">
        <v>102</v>
      </c>
      <c r="R1714" s="38" t="s">
        <v>102</v>
      </c>
      <c r="S1714" s="38" t="s">
        <v>102</v>
      </c>
      <c r="T1714" s="38" t="s">
        <v>3069</v>
      </c>
      <c r="U1714" s="43">
        <v>4</v>
      </c>
    </row>
    <row r="1715" spans="2:21" ht="14.5" outlineLevel="3">
      <c r="B1715" s="44" t="s">
        <v>4773</v>
      </c>
      <c r="C1715" s="45" t="s">
        <v>4774</v>
      </c>
      <c r="D1715" s="46" t="s">
        <v>458</v>
      </c>
      <c r="E1715" s="47" t="s">
        <v>102</v>
      </c>
      <c r="F1715" s="46" t="s">
        <v>102</v>
      </c>
      <c r="G1715" s="47" t="s">
        <v>102</v>
      </c>
      <c r="H1715" s="48">
        <v>0</v>
      </c>
      <c r="I1715" s="48">
        <v>0</v>
      </c>
      <c r="J1715" s="47" t="s">
        <v>4364</v>
      </c>
      <c r="K1715" s="49">
        <v>1</v>
      </c>
      <c r="L1715" s="49" t="s">
        <v>2614</v>
      </c>
      <c r="M1715" s="46" t="s">
        <v>117</v>
      </c>
      <c r="N1715" s="50">
        <v>0</v>
      </c>
      <c r="O1715" s="50">
        <v>0</v>
      </c>
      <c r="P1715" s="50">
        <v>0</v>
      </c>
      <c r="Q1715" s="46" t="s">
        <v>102</v>
      </c>
      <c r="R1715" s="46" t="s">
        <v>102</v>
      </c>
      <c r="S1715" s="46" t="s">
        <v>102</v>
      </c>
      <c r="T1715" s="46" t="s">
        <v>3072</v>
      </c>
      <c r="U1715" s="51">
        <v>4</v>
      </c>
    </row>
    <row r="1716" spans="2:21" ht="14.5" outlineLevel="3">
      <c r="B1716" s="44" t="s">
        <v>4775</v>
      </c>
      <c r="C1716" s="45" t="s">
        <v>4776</v>
      </c>
      <c r="D1716" s="46" t="s">
        <v>458</v>
      </c>
      <c r="E1716" s="47" t="s">
        <v>102</v>
      </c>
      <c r="F1716" s="46" t="s">
        <v>102</v>
      </c>
      <c r="G1716" s="47" t="s">
        <v>102</v>
      </c>
      <c r="H1716" s="48">
        <v>0</v>
      </c>
      <c r="I1716" s="48">
        <v>0</v>
      </c>
      <c r="J1716" s="47" t="s">
        <v>4364</v>
      </c>
      <c r="K1716" s="49">
        <v>1</v>
      </c>
      <c r="L1716" s="49" t="s">
        <v>2614</v>
      </c>
      <c r="M1716" s="46" t="s">
        <v>117</v>
      </c>
      <c r="N1716" s="50">
        <v>0</v>
      </c>
      <c r="O1716" s="50">
        <v>0</v>
      </c>
      <c r="P1716" s="50">
        <v>0</v>
      </c>
      <c r="Q1716" s="46" t="s">
        <v>102</v>
      </c>
      <c r="R1716" s="46" t="s">
        <v>102</v>
      </c>
      <c r="S1716" s="46" t="s">
        <v>102</v>
      </c>
      <c r="T1716" s="46" t="s">
        <v>3075</v>
      </c>
      <c r="U1716" s="51">
        <v>4</v>
      </c>
    </row>
    <row r="1717" spans="2:21" ht="14.5" outlineLevel="3">
      <c r="B1717" s="44" t="s">
        <v>4777</v>
      </c>
      <c r="C1717" s="45" t="s">
        <v>4778</v>
      </c>
      <c r="D1717" s="46" t="s">
        <v>392</v>
      </c>
      <c r="E1717" s="47" t="s">
        <v>102</v>
      </c>
      <c r="F1717" s="46" t="s">
        <v>102</v>
      </c>
      <c r="G1717" s="47" t="s">
        <v>102</v>
      </c>
      <c r="H1717" s="48">
        <v>0</v>
      </c>
      <c r="I1717" s="48">
        <v>0</v>
      </c>
      <c r="J1717" s="47" t="s">
        <v>4364</v>
      </c>
      <c r="K1717" s="49">
        <v>1</v>
      </c>
      <c r="L1717" s="49" t="s">
        <v>2614</v>
      </c>
      <c r="M1717" s="46" t="s">
        <v>117</v>
      </c>
      <c r="N1717" s="50">
        <v>0</v>
      </c>
      <c r="O1717" s="50">
        <v>0</v>
      </c>
      <c r="P1717" s="50">
        <v>0</v>
      </c>
      <c r="Q1717" s="46" t="s">
        <v>102</v>
      </c>
      <c r="R1717" s="46" t="s">
        <v>102</v>
      </c>
      <c r="S1717" s="46" t="s">
        <v>102</v>
      </c>
      <c r="T1717" s="46" t="s">
        <v>2831</v>
      </c>
      <c r="U1717" s="51">
        <v>4</v>
      </c>
    </row>
    <row r="1718" spans="2:21" ht="14.5" outlineLevel="3">
      <c r="B1718" s="44" t="s">
        <v>4779</v>
      </c>
      <c r="C1718" s="45" t="s">
        <v>4780</v>
      </c>
      <c r="D1718" s="46" t="s">
        <v>392</v>
      </c>
      <c r="E1718" s="47" t="s">
        <v>102</v>
      </c>
      <c r="F1718" s="46" t="s">
        <v>102</v>
      </c>
      <c r="G1718" s="47" t="s">
        <v>102</v>
      </c>
      <c r="H1718" s="48">
        <v>0</v>
      </c>
      <c r="I1718" s="48">
        <v>0</v>
      </c>
      <c r="J1718" s="47" t="s">
        <v>4364</v>
      </c>
      <c r="K1718" s="49">
        <v>1</v>
      </c>
      <c r="L1718" s="49" t="s">
        <v>2614</v>
      </c>
      <c r="M1718" s="46" t="s">
        <v>117</v>
      </c>
      <c r="N1718" s="50">
        <v>0</v>
      </c>
      <c r="O1718" s="50">
        <v>0</v>
      </c>
      <c r="P1718" s="50">
        <v>0</v>
      </c>
      <c r="Q1718" s="46" t="s">
        <v>102</v>
      </c>
      <c r="R1718" s="46" t="s">
        <v>102</v>
      </c>
      <c r="S1718" s="46" t="s">
        <v>102</v>
      </c>
      <c r="T1718" s="46" t="s">
        <v>3431</v>
      </c>
      <c r="U1718" s="51">
        <v>4</v>
      </c>
    </row>
    <row r="1719" spans="2:21" ht="14.5" outlineLevel="3">
      <c r="B1719" s="44" t="s">
        <v>4781</v>
      </c>
      <c r="C1719" s="45" t="s">
        <v>4782</v>
      </c>
      <c r="D1719" s="46" t="s">
        <v>392</v>
      </c>
      <c r="E1719" s="47" t="s">
        <v>102</v>
      </c>
      <c r="F1719" s="46" t="s">
        <v>102</v>
      </c>
      <c r="G1719" s="47" t="s">
        <v>102</v>
      </c>
      <c r="H1719" s="48">
        <v>0</v>
      </c>
      <c r="I1719" s="48">
        <v>0</v>
      </c>
      <c r="J1719" s="47" t="s">
        <v>4364</v>
      </c>
      <c r="K1719" s="49">
        <v>1</v>
      </c>
      <c r="L1719" s="49" t="s">
        <v>2614</v>
      </c>
      <c r="M1719" s="46" t="s">
        <v>117</v>
      </c>
      <c r="N1719" s="50">
        <v>0</v>
      </c>
      <c r="O1719" s="50">
        <v>0</v>
      </c>
      <c r="P1719" s="50">
        <v>0</v>
      </c>
      <c r="Q1719" s="46" t="s">
        <v>102</v>
      </c>
      <c r="R1719" s="46" t="s">
        <v>102</v>
      </c>
      <c r="S1719" s="46" t="s">
        <v>102</v>
      </c>
      <c r="T1719" s="46" t="s">
        <v>3434</v>
      </c>
      <c r="U1719" s="51">
        <v>4</v>
      </c>
    </row>
    <row r="1720" spans="2:21" ht="14.5" outlineLevel="3">
      <c r="B1720" s="44" t="s">
        <v>4783</v>
      </c>
      <c r="C1720" s="45" t="s">
        <v>4784</v>
      </c>
      <c r="D1720" s="46" t="s">
        <v>102</v>
      </c>
      <c r="E1720" s="47" t="s">
        <v>102</v>
      </c>
      <c r="F1720" s="46" t="s">
        <v>102</v>
      </c>
      <c r="G1720" s="47" t="s">
        <v>102</v>
      </c>
      <c r="H1720" s="48">
        <v>0</v>
      </c>
      <c r="I1720" s="48">
        <v>0</v>
      </c>
      <c r="J1720" s="47" t="s">
        <v>102</v>
      </c>
      <c r="K1720" s="49">
        <v>0</v>
      </c>
      <c r="L1720" s="49" t="s">
        <v>102</v>
      </c>
      <c r="M1720" s="46" t="s">
        <v>102</v>
      </c>
      <c r="N1720" s="50">
        <v>0</v>
      </c>
      <c r="O1720" s="50">
        <v>0</v>
      </c>
      <c r="P1720" s="50">
        <v>0</v>
      </c>
      <c r="Q1720" s="46" t="s">
        <v>102</v>
      </c>
      <c r="R1720" s="46" t="s">
        <v>102</v>
      </c>
      <c r="S1720" s="46" t="s">
        <v>4785</v>
      </c>
      <c r="T1720" s="46" t="s">
        <v>102</v>
      </c>
      <c r="U1720" s="51">
        <v>3</v>
      </c>
    </row>
    <row r="1721" spans="2:21" ht="14.5" outlineLevel="3">
      <c r="B1721" s="44" t="s">
        <v>4786</v>
      </c>
      <c r="C1721" s="45" t="s">
        <v>4732</v>
      </c>
      <c r="D1721" s="46" t="s">
        <v>458</v>
      </c>
      <c r="E1721" s="47" t="s">
        <v>102</v>
      </c>
      <c r="F1721" s="46" t="s">
        <v>102</v>
      </c>
      <c r="G1721" s="47" t="s">
        <v>102</v>
      </c>
      <c r="H1721" s="48">
        <v>0</v>
      </c>
      <c r="I1721" s="48">
        <v>0</v>
      </c>
      <c r="J1721" s="47" t="s">
        <v>3788</v>
      </c>
      <c r="K1721" s="49">
        <v>1</v>
      </c>
      <c r="L1721" s="49" t="s">
        <v>2614</v>
      </c>
      <c r="M1721" s="46" t="s">
        <v>117</v>
      </c>
      <c r="N1721" s="50">
        <v>0</v>
      </c>
      <c r="O1721" s="50">
        <v>0</v>
      </c>
      <c r="P1721" s="50">
        <v>0</v>
      </c>
      <c r="Q1721" s="46" t="s">
        <v>102</v>
      </c>
      <c r="R1721" s="46" t="s">
        <v>102</v>
      </c>
      <c r="S1721" s="46" t="s">
        <v>102</v>
      </c>
      <c r="T1721" s="46" t="s">
        <v>2740</v>
      </c>
      <c r="U1721" s="51">
        <v>4</v>
      </c>
    </row>
    <row r="1722" spans="2:21" ht="14.5" outlineLevel="3">
      <c r="B1722" s="44" t="s">
        <v>4787</v>
      </c>
      <c r="C1722" s="45" t="s">
        <v>4734</v>
      </c>
      <c r="D1722" s="46" t="s">
        <v>458</v>
      </c>
      <c r="E1722" s="47" t="s">
        <v>102</v>
      </c>
      <c r="F1722" s="46" t="s">
        <v>102</v>
      </c>
      <c r="G1722" s="47" t="s">
        <v>102</v>
      </c>
      <c r="H1722" s="48">
        <v>0</v>
      </c>
      <c r="I1722" s="48">
        <v>0</v>
      </c>
      <c r="J1722" s="47" t="s">
        <v>3788</v>
      </c>
      <c r="K1722" s="49">
        <v>1</v>
      </c>
      <c r="L1722" s="49" t="s">
        <v>2614</v>
      </c>
      <c r="M1722" s="46" t="s">
        <v>117</v>
      </c>
      <c r="N1722" s="50">
        <v>0</v>
      </c>
      <c r="O1722" s="50">
        <v>0</v>
      </c>
      <c r="P1722" s="50">
        <v>0</v>
      </c>
      <c r="Q1722" s="46" t="s">
        <v>102</v>
      </c>
      <c r="R1722" s="46" t="s">
        <v>102</v>
      </c>
      <c r="S1722" s="46" t="s">
        <v>102</v>
      </c>
      <c r="T1722" s="46" t="s">
        <v>3477</v>
      </c>
      <c r="U1722" s="51">
        <v>4</v>
      </c>
    </row>
    <row r="1723" spans="2:21" ht="14.5" outlineLevel="3">
      <c r="B1723" s="44" t="s">
        <v>4788</v>
      </c>
      <c r="C1723" s="45" t="s">
        <v>4736</v>
      </c>
      <c r="D1723" s="46" t="s">
        <v>392</v>
      </c>
      <c r="E1723" s="47" t="s">
        <v>102</v>
      </c>
      <c r="F1723" s="46" t="s">
        <v>102</v>
      </c>
      <c r="G1723" s="47" t="s">
        <v>102</v>
      </c>
      <c r="H1723" s="48">
        <v>0</v>
      </c>
      <c r="I1723" s="48">
        <v>0</v>
      </c>
      <c r="J1723" s="47" t="s">
        <v>3788</v>
      </c>
      <c r="K1723" s="49">
        <v>1</v>
      </c>
      <c r="L1723" s="49" t="s">
        <v>2614</v>
      </c>
      <c r="M1723" s="46" t="s">
        <v>117</v>
      </c>
      <c r="N1723" s="50">
        <v>0</v>
      </c>
      <c r="O1723" s="50">
        <v>0</v>
      </c>
      <c r="P1723" s="50">
        <v>0</v>
      </c>
      <c r="Q1723" s="46" t="s">
        <v>102</v>
      </c>
      <c r="R1723" s="46" t="s">
        <v>102</v>
      </c>
      <c r="S1723" s="46" t="s">
        <v>102</v>
      </c>
      <c r="T1723" s="46" t="s">
        <v>4737</v>
      </c>
      <c r="U1723" s="51">
        <v>4</v>
      </c>
    </row>
    <row r="1724" spans="2:21" ht="14.5" outlineLevel="3">
      <c r="B1724" s="44" t="s">
        <v>4789</v>
      </c>
      <c r="C1724" s="45" t="s">
        <v>4739</v>
      </c>
      <c r="D1724" s="46" t="s">
        <v>458</v>
      </c>
      <c r="E1724" s="47" t="s">
        <v>102</v>
      </c>
      <c r="F1724" s="46" t="s">
        <v>102</v>
      </c>
      <c r="G1724" s="47" t="s">
        <v>102</v>
      </c>
      <c r="H1724" s="48">
        <v>0</v>
      </c>
      <c r="I1724" s="48">
        <v>0</v>
      </c>
      <c r="J1724" s="47" t="s">
        <v>3788</v>
      </c>
      <c r="K1724" s="49">
        <v>1</v>
      </c>
      <c r="L1724" s="49" t="s">
        <v>2614</v>
      </c>
      <c r="M1724" s="46" t="s">
        <v>117</v>
      </c>
      <c r="N1724" s="50">
        <v>0</v>
      </c>
      <c r="O1724" s="50">
        <v>0</v>
      </c>
      <c r="P1724" s="50">
        <v>0</v>
      </c>
      <c r="Q1724" s="46" t="s">
        <v>102</v>
      </c>
      <c r="R1724" s="46" t="s">
        <v>102</v>
      </c>
      <c r="S1724" s="46" t="s">
        <v>102</v>
      </c>
      <c r="T1724" s="46" t="s">
        <v>2743</v>
      </c>
      <c r="U1724" s="51">
        <v>4</v>
      </c>
    </row>
    <row r="1725" spans="2:21" ht="14.5" outlineLevel="3">
      <c r="B1725" s="44" t="s">
        <v>4790</v>
      </c>
      <c r="C1725" s="45" t="s">
        <v>4791</v>
      </c>
      <c r="D1725" s="46" t="s">
        <v>458</v>
      </c>
      <c r="E1725" s="47" t="s">
        <v>102</v>
      </c>
      <c r="F1725" s="46" t="s">
        <v>102</v>
      </c>
      <c r="G1725" s="47" t="s">
        <v>102</v>
      </c>
      <c r="H1725" s="48">
        <v>0</v>
      </c>
      <c r="I1725" s="48">
        <v>0</v>
      </c>
      <c r="J1725" s="47" t="s">
        <v>3788</v>
      </c>
      <c r="K1725" s="49">
        <v>1</v>
      </c>
      <c r="L1725" s="49" t="s">
        <v>2614</v>
      </c>
      <c r="M1725" s="46" t="s">
        <v>117</v>
      </c>
      <c r="N1725" s="50">
        <v>0</v>
      </c>
      <c r="O1725" s="50">
        <v>0</v>
      </c>
      <c r="P1725" s="50">
        <v>0</v>
      </c>
      <c r="Q1725" s="46" t="s">
        <v>102</v>
      </c>
      <c r="R1725" s="46" t="s">
        <v>102</v>
      </c>
      <c r="S1725" s="46" t="s">
        <v>102</v>
      </c>
      <c r="T1725" s="46" t="s">
        <v>4698</v>
      </c>
      <c r="U1725" s="51">
        <v>4</v>
      </c>
    </row>
    <row r="1726" spans="2:21" ht="14.5" outlineLevel="3">
      <c r="B1726" s="44" t="s">
        <v>4792</v>
      </c>
      <c r="C1726" s="45" t="s">
        <v>4793</v>
      </c>
      <c r="D1726" s="46" t="s">
        <v>458</v>
      </c>
      <c r="E1726" s="47" t="s">
        <v>102</v>
      </c>
      <c r="F1726" s="46" t="s">
        <v>102</v>
      </c>
      <c r="G1726" s="47" t="s">
        <v>102</v>
      </c>
      <c r="H1726" s="48">
        <v>0</v>
      </c>
      <c r="I1726" s="48">
        <v>0</v>
      </c>
      <c r="J1726" s="47" t="s">
        <v>3788</v>
      </c>
      <c r="K1726" s="49">
        <v>1</v>
      </c>
      <c r="L1726" s="49" t="s">
        <v>2614</v>
      </c>
      <c r="M1726" s="46" t="s">
        <v>117</v>
      </c>
      <c r="N1726" s="50">
        <v>0</v>
      </c>
      <c r="O1726" s="50">
        <v>0</v>
      </c>
      <c r="P1726" s="50">
        <v>0</v>
      </c>
      <c r="Q1726" s="46" t="s">
        <v>102</v>
      </c>
      <c r="R1726" s="46" t="s">
        <v>102</v>
      </c>
      <c r="S1726" s="46" t="s">
        <v>102</v>
      </c>
      <c r="T1726" s="46" t="s">
        <v>4701</v>
      </c>
      <c r="U1726" s="51">
        <v>4</v>
      </c>
    </row>
    <row r="1727" spans="2:21" ht="14.5" outlineLevel="3">
      <c r="B1727" s="44" t="s">
        <v>4794</v>
      </c>
      <c r="C1727" s="45" t="s">
        <v>4795</v>
      </c>
      <c r="D1727" s="46" t="s">
        <v>392</v>
      </c>
      <c r="E1727" s="47" t="s">
        <v>102</v>
      </c>
      <c r="F1727" s="46" t="s">
        <v>102</v>
      </c>
      <c r="G1727" s="47" t="s">
        <v>102</v>
      </c>
      <c r="H1727" s="48">
        <v>0</v>
      </c>
      <c r="I1727" s="48">
        <v>0</v>
      </c>
      <c r="J1727" s="47" t="s">
        <v>3788</v>
      </c>
      <c r="K1727" s="49">
        <v>1</v>
      </c>
      <c r="L1727" s="49" t="s">
        <v>2614</v>
      </c>
      <c r="M1727" s="46" t="s">
        <v>117</v>
      </c>
      <c r="N1727" s="50">
        <v>0</v>
      </c>
      <c r="O1727" s="50">
        <v>0</v>
      </c>
      <c r="P1727" s="50">
        <v>0</v>
      </c>
      <c r="Q1727" s="46" t="s">
        <v>102</v>
      </c>
      <c r="R1727" s="46" t="s">
        <v>102</v>
      </c>
      <c r="S1727" s="46" t="s">
        <v>102</v>
      </c>
      <c r="T1727" s="46" t="s">
        <v>4704</v>
      </c>
      <c r="U1727" s="51">
        <v>4</v>
      </c>
    </row>
    <row r="1728" spans="2:21" ht="14.5" outlineLevel="3">
      <c r="B1728" s="44" t="s">
        <v>4796</v>
      </c>
      <c r="C1728" s="45" t="s">
        <v>4749</v>
      </c>
      <c r="D1728" s="46" t="s">
        <v>458</v>
      </c>
      <c r="E1728" s="47" t="s">
        <v>102</v>
      </c>
      <c r="F1728" s="46" t="s">
        <v>102</v>
      </c>
      <c r="G1728" s="47" t="s">
        <v>102</v>
      </c>
      <c r="H1728" s="48">
        <v>0</v>
      </c>
      <c r="I1728" s="48">
        <v>0</v>
      </c>
      <c r="J1728" s="47" t="s">
        <v>3788</v>
      </c>
      <c r="K1728" s="49">
        <v>1</v>
      </c>
      <c r="L1728" s="49" t="s">
        <v>2614</v>
      </c>
      <c r="M1728" s="46" t="s">
        <v>117</v>
      </c>
      <c r="N1728" s="50">
        <v>0</v>
      </c>
      <c r="O1728" s="50">
        <v>0</v>
      </c>
      <c r="P1728" s="50">
        <v>0</v>
      </c>
      <c r="Q1728" s="46" t="s">
        <v>102</v>
      </c>
      <c r="R1728" s="46" t="s">
        <v>102</v>
      </c>
      <c r="S1728" s="46" t="s">
        <v>102</v>
      </c>
      <c r="T1728" s="46" t="s">
        <v>3453</v>
      </c>
      <c r="U1728" s="51">
        <v>4</v>
      </c>
    </row>
    <row r="1729" spans="2:21" ht="14.5" outlineLevel="2">
      <c r="B1729" s="36" t="s">
        <v>4797</v>
      </c>
      <c r="C1729" s="37" t="s">
        <v>4751</v>
      </c>
      <c r="D1729" s="38" t="s">
        <v>4752</v>
      </c>
      <c r="E1729" s="39" t="s">
        <v>102</v>
      </c>
      <c r="F1729" s="38" t="s">
        <v>102</v>
      </c>
      <c r="G1729" s="39" t="s">
        <v>102</v>
      </c>
      <c r="H1729" s="40">
        <v>0</v>
      </c>
      <c r="I1729" s="40">
        <v>0</v>
      </c>
      <c r="J1729" s="39" t="s">
        <v>3788</v>
      </c>
      <c r="K1729" s="41">
        <v>1</v>
      </c>
      <c r="L1729" s="41" t="s">
        <v>2614</v>
      </c>
      <c r="M1729" s="38" t="s">
        <v>117</v>
      </c>
      <c r="N1729" s="42">
        <v>0</v>
      </c>
      <c r="O1729" s="42">
        <v>0</v>
      </c>
      <c r="P1729" s="42">
        <v>0</v>
      </c>
      <c r="Q1729" s="38" t="s">
        <v>102</v>
      </c>
      <c r="R1729" s="38" t="s">
        <v>102</v>
      </c>
      <c r="S1729" s="38" t="s">
        <v>102</v>
      </c>
      <c r="T1729" s="38" t="s">
        <v>3456</v>
      </c>
      <c r="U1729" s="43">
        <v>4</v>
      </c>
    </row>
    <row r="1730" spans="2:21" ht="14.5" outlineLevel="3">
      <c r="B1730" s="44" t="s">
        <v>4798</v>
      </c>
      <c r="C1730" s="45" t="s">
        <v>4763</v>
      </c>
      <c r="D1730" s="46" t="s">
        <v>4752</v>
      </c>
      <c r="E1730" s="47" t="s">
        <v>102</v>
      </c>
      <c r="F1730" s="46" t="s">
        <v>102</v>
      </c>
      <c r="G1730" s="47" t="s">
        <v>102</v>
      </c>
      <c r="H1730" s="48">
        <v>0</v>
      </c>
      <c r="I1730" s="48">
        <v>0</v>
      </c>
      <c r="J1730" s="47" t="s">
        <v>3788</v>
      </c>
      <c r="K1730" s="49">
        <v>1</v>
      </c>
      <c r="L1730" s="49" t="s">
        <v>2614</v>
      </c>
      <c r="M1730" s="46" t="s">
        <v>117</v>
      </c>
      <c r="N1730" s="50">
        <v>0</v>
      </c>
      <c r="O1730" s="50">
        <v>0</v>
      </c>
      <c r="P1730" s="50">
        <v>0</v>
      </c>
      <c r="Q1730" s="46" t="s">
        <v>102</v>
      </c>
      <c r="R1730" s="46" t="s">
        <v>102</v>
      </c>
      <c r="S1730" s="46" t="s">
        <v>102</v>
      </c>
      <c r="T1730" s="46" t="s">
        <v>4764</v>
      </c>
      <c r="U1730" s="51">
        <v>4</v>
      </c>
    </row>
    <row r="1731" spans="2:21" ht="14.5" outlineLevel="3">
      <c r="B1731" s="44" t="s">
        <v>4799</v>
      </c>
      <c r="C1731" s="45" t="s">
        <v>4800</v>
      </c>
      <c r="D1731" s="46" t="s">
        <v>458</v>
      </c>
      <c r="E1731" s="47" t="s">
        <v>102</v>
      </c>
      <c r="F1731" s="46" t="s">
        <v>102</v>
      </c>
      <c r="G1731" s="47" t="s">
        <v>102</v>
      </c>
      <c r="H1731" s="48">
        <v>0</v>
      </c>
      <c r="I1731" s="48">
        <v>0</v>
      </c>
      <c r="J1731" s="47" t="s">
        <v>3788</v>
      </c>
      <c r="K1731" s="49">
        <v>1</v>
      </c>
      <c r="L1731" s="49" t="s">
        <v>2614</v>
      </c>
      <c r="M1731" s="46" t="s">
        <v>117</v>
      </c>
      <c r="N1731" s="50">
        <v>0</v>
      </c>
      <c r="O1731" s="50">
        <v>0</v>
      </c>
      <c r="P1731" s="50">
        <v>0</v>
      </c>
      <c r="Q1731" s="46" t="s">
        <v>102</v>
      </c>
      <c r="R1731" s="46" t="s">
        <v>102</v>
      </c>
      <c r="S1731" s="46" t="s">
        <v>102</v>
      </c>
      <c r="T1731" s="46" t="s">
        <v>3459</v>
      </c>
      <c r="U1731" s="51">
        <v>4</v>
      </c>
    </row>
    <row r="1732" spans="2:21" ht="14.5" outlineLevel="3">
      <c r="B1732" s="44" t="s">
        <v>4801</v>
      </c>
      <c r="C1732" s="45" t="s">
        <v>4802</v>
      </c>
      <c r="D1732" s="46" t="s">
        <v>458</v>
      </c>
      <c r="E1732" s="47" t="s">
        <v>102</v>
      </c>
      <c r="F1732" s="46" t="s">
        <v>102</v>
      </c>
      <c r="G1732" s="47" t="s">
        <v>102</v>
      </c>
      <c r="H1732" s="48">
        <v>0</v>
      </c>
      <c r="I1732" s="48">
        <v>0</v>
      </c>
      <c r="J1732" s="47" t="s">
        <v>3788</v>
      </c>
      <c r="K1732" s="49">
        <v>1</v>
      </c>
      <c r="L1732" s="49" t="s">
        <v>2614</v>
      </c>
      <c r="M1732" s="46" t="s">
        <v>117</v>
      </c>
      <c r="N1732" s="50">
        <v>0</v>
      </c>
      <c r="O1732" s="50">
        <v>0</v>
      </c>
      <c r="P1732" s="50">
        <v>0</v>
      </c>
      <c r="Q1732" s="46" t="s">
        <v>102</v>
      </c>
      <c r="R1732" s="46" t="s">
        <v>102</v>
      </c>
      <c r="S1732" s="46" t="s">
        <v>102</v>
      </c>
      <c r="T1732" s="46" t="s">
        <v>4803</v>
      </c>
      <c r="U1732" s="51">
        <v>4</v>
      </c>
    </row>
    <row r="1733" spans="2:21" ht="14.5" outlineLevel="3">
      <c r="B1733" s="44" t="s">
        <v>4804</v>
      </c>
      <c r="C1733" s="45" t="s">
        <v>4805</v>
      </c>
      <c r="D1733" s="46" t="s">
        <v>458</v>
      </c>
      <c r="E1733" s="47" t="s">
        <v>102</v>
      </c>
      <c r="F1733" s="46" t="s">
        <v>102</v>
      </c>
      <c r="G1733" s="47" t="s">
        <v>102</v>
      </c>
      <c r="H1733" s="48">
        <v>0</v>
      </c>
      <c r="I1733" s="48">
        <v>0</v>
      </c>
      <c r="J1733" s="47" t="s">
        <v>3788</v>
      </c>
      <c r="K1733" s="49">
        <v>1</v>
      </c>
      <c r="L1733" s="49" t="s">
        <v>2614</v>
      </c>
      <c r="M1733" s="46" t="s">
        <v>117</v>
      </c>
      <c r="N1733" s="50">
        <v>0</v>
      </c>
      <c r="O1733" s="50">
        <v>0</v>
      </c>
      <c r="P1733" s="50">
        <v>0</v>
      </c>
      <c r="Q1733" s="46" t="s">
        <v>102</v>
      </c>
      <c r="R1733" s="46" t="s">
        <v>102</v>
      </c>
      <c r="S1733" s="46" t="s">
        <v>102</v>
      </c>
      <c r="T1733" s="46" t="s">
        <v>4806</v>
      </c>
      <c r="U1733" s="51">
        <v>4</v>
      </c>
    </row>
    <row r="1734" spans="2:21" ht="14.5" outlineLevel="3">
      <c r="B1734" s="44" t="s">
        <v>4807</v>
      </c>
      <c r="C1734" s="45" t="s">
        <v>4808</v>
      </c>
      <c r="D1734" s="46" t="s">
        <v>458</v>
      </c>
      <c r="E1734" s="47" t="s">
        <v>102</v>
      </c>
      <c r="F1734" s="46" t="s">
        <v>102</v>
      </c>
      <c r="G1734" s="47" t="s">
        <v>102</v>
      </c>
      <c r="H1734" s="48">
        <v>0</v>
      </c>
      <c r="I1734" s="48">
        <v>0</v>
      </c>
      <c r="J1734" s="47" t="s">
        <v>3788</v>
      </c>
      <c r="K1734" s="49">
        <v>1</v>
      </c>
      <c r="L1734" s="49" t="s">
        <v>2614</v>
      </c>
      <c r="M1734" s="46" t="s">
        <v>117</v>
      </c>
      <c r="N1734" s="50">
        <v>0</v>
      </c>
      <c r="O1734" s="50">
        <v>0</v>
      </c>
      <c r="P1734" s="50">
        <v>0</v>
      </c>
      <c r="Q1734" s="46" t="s">
        <v>102</v>
      </c>
      <c r="R1734" s="46" t="s">
        <v>102</v>
      </c>
      <c r="S1734" s="46" t="s">
        <v>102</v>
      </c>
      <c r="T1734" s="46" t="s">
        <v>4809</v>
      </c>
      <c r="U1734" s="51">
        <v>4</v>
      </c>
    </row>
    <row r="1735" spans="2:21" ht="14.5" outlineLevel="3">
      <c r="B1735" s="44" t="s">
        <v>4810</v>
      </c>
      <c r="C1735" s="45" t="s">
        <v>4811</v>
      </c>
      <c r="D1735" s="46" t="s">
        <v>102</v>
      </c>
      <c r="E1735" s="47" t="s">
        <v>102</v>
      </c>
      <c r="F1735" s="46" t="s">
        <v>102</v>
      </c>
      <c r="G1735" s="47" t="s">
        <v>102</v>
      </c>
      <c r="H1735" s="48">
        <v>0</v>
      </c>
      <c r="I1735" s="48">
        <v>0</v>
      </c>
      <c r="J1735" s="47" t="s">
        <v>102</v>
      </c>
      <c r="K1735" s="49">
        <v>0</v>
      </c>
      <c r="L1735" s="49" t="s">
        <v>102</v>
      </c>
      <c r="M1735" s="46" t="s">
        <v>102</v>
      </c>
      <c r="N1735" s="50">
        <v>0</v>
      </c>
      <c r="O1735" s="50">
        <v>0</v>
      </c>
      <c r="P1735" s="50">
        <v>0</v>
      </c>
      <c r="Q1735" s="46" t="s">
        <v>102</v>
      </c>
      <c r="R1735" s="46" t="s">
        <v>102</v>
      </c>
      <c r="S1735" s="46" t="s">
        <v>4812</v>
      </c>
      <c r="T1735" s="46" t="s">
        <v>102</v>
      </c>
      <c r="U1735" s="51">
        <v>3</v>
      </c>
    </row>
    <row r="1736" spans="2:21" ht="14.5" outlineLevel="3">
      <c r="B1736" s="44" t="s">
        <v>4813</v>
      </c>
      <c r="C1736" s="45" t="s">
        <v>4814</v>
      </c>
      <c r="D1736" s="46" t="s">
        <v>458</v>
      </c>
      <c r="E1736" s="47" t="s">
        <v>102</v>
      </c>
      <c r="F1736" s="46" t="s">
        <v>102</v>
      </c>
      <c r="G1736" s="47" t="s">
        <v>102</v>
      </c>
      <c r="H1736" s="48">
        <v>0</v>
      </c>
      <c r="I1736" s="48">
        <v>0</v>
      </c>
      <c r="J1736" s="47" t="s">
        <v>4281</v>
      </c>
      <c r="K1736" s="49">
        <v>1</v>
      </c>
      <c r="L1736" s="49" t="s">
        <v>2614</v>
      </c>
      <c r="M1736" s="46" t="s">
        <v>117</v>
      </c>
      <c r="N1736" s="50">
        <v>0</v>
      </c>
      <c r="O1736" s="50">
        <v>0</v>
      </c>
      <c r="P1736" s="50">
        <v>0</v>
      </c>
      <c r="Q1736" s="46" t="s">
        <v>102</v>
      </c>
      <c r="R1736" s="46" t="s">
        <v>102</v>
      </c>
      <c r="S1736" s="46" t="s">
        <v>102</v>
      </c>
      <c r="T1736" s="46" t="s">
        <v>1019</v>
      </c>
      <c r="U1736" s="51">
        <v>4</v>
      </c>
    </row>
    <row r="1737" spans="2:21" ht="14.5" outlineLevel="3">
      <c r="B1737" s="44" t="s">
        <v>4815</v>
      </c>
      <c r="C1737" s="45" t="s">
        <v>4816</v>
      </c>
      <c r="D1737" s="46" t="s">
        <v>392</v>
      </c>
      <c r="E1737" s="47" t="s">
        <v>102</v>
      </c>
      <c r="F1737" s="46" t="s">
        <v>102</v>
      </c>
      <c r="G1737" s="47" t="s">
        <v>102</v>
      </c>
      <c r="H1737" s="48">
        <v>0</v>
      </c>
      <c r="I1737" s="48">
        <v>0</v>
      </c>
      <c r="J1737" s="47" t="s">
        <v>4287</v>
      </c>
      <c r="K1737" s="49">
        <v>1</v>
      </c>
      <c r="L1737" s="49" t="s">
        <v>2614</v>
      </c>
      <c r="M1737" s="46" t="s">
        <v>117</v>
      </c>
      <c r="N1737" s="50">
        <v>0</v>
      </c>
      <c r="O1737" s="50">
        <v>0</v>
      </c>
      <c r="P1737" s="50">
        <v>0</v>
      </c>
      <c r="Q1737" s="46" t="s">
        <v>102</v>
      </c>
      <c r="R1737" s="46" t="s">
        <v>102</v>
      </c>
      <c r="S1737" s="46" t="s">
        <v>102</v>
      </c>
      <c r="T1737" s="46" t="s">
        <v>2815</v>
      </c>
      <c r="U1737" s="51">
        <v>4</v>
      </c>
    </row>
    <row r="1738" spans="2:21" ht="14.5" outlineLevel="3">
      <c r="B1738" s="44" t="s">
        <v>4817</v>
      </c>
      <c r="C1738" s="45" t="s">
        <v>4818</v>
      </c>
      <c r="D1738" s="46" t="s">
        <v>4002</v>
      </c>
      <c r="E1738" s="47" t="s">
        <v>102</v>
      </c>
      <c r="F1738" s="46" t="s">
        <v>102</v>
      </c>
      <c r="G1738" s="47" t="s">
        <v>102</v>
      </c>
      <c r="H1738" s="48">
        <v>0</v>
      </c>
      <c r="I1738" s="48">
        <v>0</v>
      </c>
      <c r="J1738" s="47" t="s">
        <v>4115</v>
      </c>
      <c r="K1738" s="49">
        <v>1</v>
      </c>
      <c r="L1738" s="49" t="s">
        <v>2614</v>
      </c>
      <c r="M1738" s="46" t="s">
        <v>117</v>
      </c>
      <c r="N1738" s="50">
        <v>0</v>
      </c>
      <c r="O1738" s="50">
        <v>0</v>
      </c>
      <c r="P1738" s="50">
        <v>0</v>
      </c>
      <c r="Q1738" s="46" t="s">
        <v>102</v>
      </c>
      <c r="R1738" s="46" t="s">
        <v>102</v>
      </c>
      <c r="S1738" s="46" t="s">
        <v>102</v>
      </c>
      <c r="T1738" s="46" t="s">
        <v>461</v>
      </c>
      <c r="U1738" s="51">
        <v>4</v>
      </c>
    </row>
    <row r="1739" spans="2:21" ht="14.5" outlineLevel="3">
      <c r="B1739" s="44" t="s">
        <v>4819</v>
      </c>
      <c r="C1739" s="45" t="s">
        <v>4820</v>
      </c>
      <c r="D1739" s="46" t="s">
        <v>179</v>
      </c>
      <c r="E1739" s="47" t="s">
        <v>102</v>
      </c>
      <c r="F1739" s="46" t="s">
        <v>102</v>
      </c>
      <c r="G1739" s="47" t="s">
        <v>102</v>
      </c>
      <c r="H1739" s="48">
        <v>0</v>
      </c>
      <c r="I1739" s="48">
        <v>0</v>
      </c>
      <c r="J1739" s="47" t="s">
        <v>4425</v>
      </c>
      <c r="K1739" s="49">
        <v>1</v>
      </c>
      <c r="L1739" s="49" t="s">
        <v>2614</v>
      </c>
      <c r="M1739" s="46" t="s">
        <v>117</v>
      </c>
      <c r="N1739" s="50">
        <v>0</v>
      </c>
      <c r="O1739" s="50">
        <v>0</v>
      </c>
      <c r="P1739" s="50">
        <v>0</v>
      </c>
      <c r="Q1739" s="46" t="s">
        <v>102</v>
      </c>
      <c r="R1739" s="46" t="s">
        <v>102</v>
      </c>
      <c r="S1739" s="46" t="s">
        <v>102</v>
      </c>
      <c r="T1739" s="46" t="s">
        <v>2828</v>
      </c>
      <c r="U1739" s="51">
        <v>4</v>
      </c>
    </row>
    <row r="1740" spans="2:21" ht="14.5" outlineLevel="3">
      <c r="B1740" s="44" t="s">
        <v>4821</v>
      </c>
      <c r="C1740" s="45" t="s">
        <v>4822</v>
      </c>
      <c r="D1740" s="46" t="s">
        <v>458</v>
      </c>
      <c r="E1740" s="47" t="s">
        <v>102</v>
      </c>
      <c r="F1740" s="46" t="s">
        <v>102</v>
      </c>
      <c r="G1740" s="47" t="s">
        <v>102</v>
      </c>
      <c r="H1740" s="48">
        <v>0</v>
      </c>
      <c r="I1740" s="48">
        <v>0</v>
      </c>
      <c r="J1740" s="47" t="s">
        <v>4425</v>
      </c>
      <c r="K1740" s="49">
        <v>1</v>
      </c>
      <c r="L1740" s="49" t="s">
        <v>2614</v>
      </c>
      <c r="M1740" s="46" t="s">
        <v>117</v>
      </c>
      <c r="N1740" s="50">
        <v>0</v>
      </c>
      <c r="O1740" s="50">
        <v>0</v>
      </c>
      <c r="P1740" s="50">
        <v>0</v>
      </c>
      <c r="Q1740" s="46" t="s">
        <v>102</v>
      </c>
      <c r="R1740" s="46" t="s">
        <v>102</v>
      </c>
      <c r="S1740" s="46" t="s">
        <v>102</v>
      </c>
      <c r="T1740" s="46" t="s">
        <v>2773</v>
      </c>
      <c r="U1740" s="51">
        <v>4</v>
      </c>
    </row>
    <row r="1741" spans="2:21" ht="14.5" outlineLevel="2">
      <c r="B1741" s="36" t="s">
        <v>4823</v>
      </c>
      <c r="C1741" s="37" t="s">
        <v>4824</v>
      </c>
      <c r="D1741" s="38" t="s">
        <v>458</v>
      </c>
      <c r="E1741" s="39" t="s">
        <v>102</v>
      </c>
      <c r="F1741" s="38" t="s">
        <v>102</v>
      </c>
      <c r="G1741" s="39" t="s">
        <v>102</v>
      </c>
      <c r="H1741" s="40">
        <v>0</v>
      </c>
      <c r="I1741" s="40">
        <v>0</v>
      </c>
      <c r="J1741" s="39" t="s">
        <v>4281</v>
      </c>
      <c r="K1741" s="41">
        <v>1</v>
      </c>
      <c r="L1741" s="41" t="s">
        <v>116</v>
      </c>
      <c r="M1741" s="38" t="s">
        <v>117</v>
      </c>
      <c r="N1741" s="42">
        <v>0</v>
      </c>
      <c r="O1741" s="42">
        <v>0</v>
      </c>
      <c r="P1741" s="42">
        <v>0</v>
      </c>
      <c r="Q1741" s="38" t="s">
        <v>102</v>
      </c>
      <c r="R1741" s="38" t="s">
        <v>102</v>
      </c>
      <c r="S1741" s="38" t="s">
        <v>102</v>
      </c>
      <c r="T1741" s="38" t="s">
        <v>2831</v>
      </c>
      <c r="U1741" s="43">
        <v>4</v>
      </c>
    </row>
    <row r="1742" spans="2:21" ht="14.5" outlineLevel="3">
      <c r="B1742" s="44" t="s">
        <v>4825</v>
      </c>
      <c r="C1742" s="45" t="s">
        <v>4826</v>
      </c>
      <c r="D1742" s="46" t="s">
        <v>4002</v>
      </c>
      <c r="E1742" s="47" t="s">
        <v>102</v>
      </c>
      <c r="F1742" s="46" t="s">
        <v>102</v>
      </c>
      <c r="G1742" s="47" t="s">
        <v>102</v>
      </c>
      <c r="H1742" s="48">
        <v>0</v>
      </c>
      <c r="I1742" s="48">
        <v>0</v>
      </c>
      <c r="J1742" s="47" t="s">
        <v>4281</v>
      </c>
      <c r="K1742" s="49">
        <v>1</v>
      </c>
      <c r="L1742" s="49" t="s">
        <v>2614</v>
      </c>
      <c r="M1742" s="46" t="s">
        <v>117</v>
      </c>
      <c r="N1742" s="50">
        <v>0</v>
      </c>
      <c r="O1742" s="50">
        <v>0</v>
      </c>
      <c r="P1742" s="50">
        <v>0</v>
      </c>
      <c r="Q1742" s="46" t="s">
        <v>102</v>
      </c>
      <c r="R1742" s="46" t="s">
        <v>102</v>
      </c>
      <c r="S1742" s="46" t="s">
        <v>102</v>
      </c>
      <c r="T1742" s="46" t="s">
        <v>532</v>
      </c>
      <c r="U1742" s="51">
        <v>4</v>
      </c>
    </row>
    <row r="1743" spans="2:21" ht="14.5" outlineLevel="3">
      <c r="B1743" s="44" t="s">
        <v>4827</v>
      </c>
      <c r="C1743" s="45" t="s">
        <v>4828</v>
      </c>
      <c r="D1743" s="46" t="s">
        <v>458</v>
      </c>
      <c r="E1743" s="47" t="s">
        <v>102</v>
      </c>
      <c r="F1743" s="46" t="s">
        <v>102</v>
      </c>
      <c r="G1743" s="47" t="s">
        <v>102</v>
      </c>
      <c r="H1743" s="48">
        <v>0</v>
      </c>
      <c r="I1743" s="48">
        <v>0</v>
      </c>
      <c r="J1743" s="47" t="s">
        <v>4281</v>
      </c>
      <c r="K1743" s="49">
        <v>1</v>
      </c>
      <c r="L1743" s="49" t="s">
        <v>2614</v>
      </c>
      <c r="M1743" s="46" t="s">
        <v>117</v>
      </c>
      <c r="N1743" s="50">
        <v>0</v>
      </c>
      <c r="O1743" s="50">
        <v>0</v>
      </c>
      <c r="P1743" s="50">
        <v>0</v>
      </c>
      <c r="Q1743" s="46" t="s">
        <v>102</v>
      </c>
      <c r="R1743" s="46" t="s">
        <v>102</v>
      </c>
      <c r="S1743" s="46" t="s">
        <v>102</v>
      </c>
      <c r="T1743" s="46" t="s">
        <v>4300</v>
      </c>
      <c r="U1743" s="51">
        <v>4</v>
      </c>
    </row>
    <row r="1744" spans="2:21" ht="14.5" outlineLevel="3">
      <c r="B1744" s="44" t="s">
        <v>4829</v>
      </c>
      <c r="C1744" s="45" t="s">
        <v>4830</v>
      </c>
      <c r="D1744" s="46" t="s">
        <v>458</v>
      </c>
      <c r="E1744" s="47" t="s">
        <v>102</v>
      </c>
      <c r="F1744" s="46" t="s">
        <v>102</v>
      </c>
      <c r="G1744" s="47" t="s">
        <v>102</v>
      </c>
      <c r="H1744" s="48">
        <v>0</v>
      </c>
      <c r="I1744" s="48">
        <v>0</v>
      </c>
      <c r="J1744" s="47" t="s">
        <v>4287</v>
      </c>
      <c r="K1744" s="49">
        <v>1</v>
      </c>
      <c r="L1744" s="49" t="s">
        <v>2614</v>
      </c>
      <c r="M1744" s="46" t="s">
        <v>117</v>
      </c>
      <c r="N1744" s="50">
        <v>0</v>
      </c>
      <c r="O1744" s="50">
        <v>0</v>
      </c>
      <c r="P1744" s="50">
        <v>0</v>
      </c>
      <c r="Q1744" s="46" t="s">
        <v>102</v>
      </c>
      <c r="R1744" s="46" t="s">
        <v>102</v>
      </c>
      <c r="S1744" s="46" t="s">
        <v>102</v>
      </c>
      <c r="T1744" s="46" t="s">
        <v>4303</v>
      </c>
      <c r="U1744" s="51">
        <v>4</v>
      </c>
    </row>
    <row r="1745" spans="2:21" ht="14.5" outlineLevel="3">
      <c r="B1745" s="44" t="s">
        <v>4831</v>
      </c>
      <c r="C1745" s="45" t="s">
        <v>4832</v>
      </c>
      <c r="D1745" s="46" t="s">
        <v>458</v>
      </c>
      <c r="E1745" s="47" t="s">
        <v>102</v>
      </c>
      <c r="F1745" s="46" t="s">
        <v>102</v>
      </c>
      <c r="G1745" s="47" t="s">
        <v>102</v>
      </c>
      <c r="H1745" s="48">
        <v>0</v>
      </c>
      <c r="I1745" s="48">
        <v>0</v>
      </c>
      <c r="J1745" s="47" t="s">
        <v>4287</v>
      </c>
      <c r="K1745" s="49">
        <v>1</v>
      </c>
      <c r="L1745" s="49" t="s">
        <v>2614</v>
      </c>
      <c r="M1745" s="46" t="s">
        <v>117</v>
      </c>
      <c r="N1745" s="50">
        <v>0</v>
      </c>
      <c r="O1745" s="50">
        <v>0</v>
      </c>
      <c r="P1745" s="50">
        <v>0</v>
      </c>
      <c r="Q1745" s="46" t="s">
        <v>102</v>
      </c>
      <c r="R1745" s="46" t="s">
        <v>102</v>
      </c>
      <c r="S1745" s="46" t="s">
        <v>102</v>
      </c>
      <c r="T1745" s="46" t="s">
        <v>4306</v>
      </c>
      <c r="U1745" s="51">
        <v>4</v>
      </c>
    </row>
    <row r="1746" spans="2:21" ht="14.5" outlineLevel="3">
      <c r="B1746" s="44" t="s">
        <v>4833</v>
      </c>
      <c r="C1746" s="45" t="s">
        <v>4834</v>
      </c>
      <c r="D1746" s="46" t="s">
        <v>392</v>
      </c>
      <c r="E1746" s="47" t="s">
        <v>102</v>
      </c>
      <c r="F1746" s="46" t="s">
        <v>102</v>
      </c>
      <c r="G1746" s="47" t="s">
        <v>102</v>
      </c>
      <c r="H1746" s="48">
        <v>0</v>
      </c>
      <c r="I1746" s="48">
        <v>0</v>
      </c>
      <c r="J1746" s="47" t="s">
        <v>4485</v>
      </c>
      <c r="K1746" s="49">
        <v>1</v>
      </c>
      <c r="L1746" s="49" t="s">
        <v>2614</v>
      </c>
      <c r="M1746" s="46" t="s">
        <v>117</v>
      </c>
      <c r="N1746" s="50">
        <v>0</v>
      </c>
      <c r="O1746" s="50">
        <v>0</v>
      </c>
      <c r="P1746" s="50">
        <v>0</v>
      </c>
      <c r="Q1746" s="46" t="s">
        <v>102</v>
      </c>
      <c r="R1746" s="46" t="s">
        <v>102</v>
      </c>
      <c r="S1746" s="46" t="s">
        <v>102</v>
      </c>
      <c r="T1746" s="46" t="s">
        <v>3431</v>
      </c>
      <c r="U1746" s="51">
        <v>4</v>
      </c>
    </row>
    <row r="1747" spans="2:21" ht="14.5" outlineLevel="2">
      <c r="B1747" s="36" t="s">
        <v>4835</v>
      </c>
      <c r="C1747" s="37" t="s">
        <v>4836</v>
      </c>
      <c r="D1747" s="38" t="s">
        <v>102</v>
      </c>
      <c r="E1747" s="39" t="s">
        <v>102</v>
      </c>
      <c r="F1747" s="38" t="s">
        <v>102</v>
      </c>
      <c r="G1747" s="39" t="s">
        <v>102</v>
      </c>
      <c r="H1747" s="40">
        <v>0</v>
      </c>
      <c r="I1747" s="40">
        <v>0</v>
      </c>
      <c r="J1747" s="39" t="s">
        <v>102</v>
      </c>
      <c r="K1747" s="41">
        <v>0</v>
      </c>
      <c r="L1747" s="41" t="s">
        <v>102</v>
      </c>
      <c r="M1747" s="38" t="s">
        <v>102</v>
      </c>
      <c r="N1747" s="42">
        <v>0</v>
      </c>
      <c r="O1747" s="42">
        <v>0</v>
      </c>
      <c r="P1747" s="42">
        <v>0</v>
      </c>
      <c r="Q1747" s="38" t="s">
        <v>102</v>
      </c>
      <c r="R1747" s="38" t="s">
        <v>102</v>
      </c>
      <c r="S1747" s="38" t="s">
        <v>4837</v>
      </c>
      <c r="T1747" s="38" t="s">
        <v>102</v>
      </c>
      <c r="U1747" s="43">
        <v>3</v>
      </c>
    </row>
    <row r="1748" spans="2:21" ht="14.5" outlineLevel="3">
      <c r="B1748" s="44" t="s">
        <v>4838</v>
      </c>
      <c r="C1748" s="45" t="s">
        <v>4839</v>
      </c>
      <c r="D1748" s="46" t="s">
        <v>392</v>
      </c>
      <c r="E1748" s="47" t="s">
        <v>102</v>
      </c>
      <c r="F1748" s="46" t="s">
        <v>102</v>
      </c>
      <c r="G1748" s="47" t="s">
        <v>102</v>
      </c>
      <c r="H1748" s="48">
        <v>0</v>
      </c>
      <c r="I1748" s="48">
        <v>0</v>
      </c>
      <c r="J1748" s="47" t="s">
        <v>4115</v>
      </c>
      <c r="K1748" s="49">
        <v>1</v>
      </c>
      <c r="L1748" s="49" t="s">
        <v>2614</v>
      </c>
      <c r="M1748" s="46" t="s">
        <v>117</v>
      </c>
      <c r="N1748" s="50">
        <v>0</v>
      </c>
      <c r="O1748" s="50">
        <v>0</v>
      </c>
      <c r="P1748" s="50">
        <v>0</v>
      </c>
      <c r="Q1748" s="46" t="s">
        <v>102</v>
      </c>
      <c r="R1748" s="46" t="s">
        <v>102</v>
      </c>
      <c r="S1748" s="46" t="s">
        <v>102</v>
      </c>
      <c r="T1748" s="46" t="s">
        <v>1019</v>
      </c>
      <c r="U1748" s="51">
        <v>4</v>
      </c>
    </row>
    <row r="1749" spans="2:21" ht="14.5" outlineLevel="3">
      <c r="B1749" s="44" t="s">
        <v>4840</v>
      </c>
      <c r="C1749" s="45" t="s">
        <v>4841</v>
      </c>
      <c r="D1749" s="46" t="s">
        <v>392</v>
      </c>
      <c r="E1749" s="47" t="s">
        <v>102</v>
      </c>
      <c r="F1749" s="46" t="s">
        <v>102</v>
      </c>
      <c r="G1749" s="47" t="s">
        <v>102</v>
      </c>
      <c r="H1749" s="48">
        <v>0</v>
      </c>
      <c r="I1749" s="48">
        <v>0</v>
      </c>
      <c r="J1749" s="47" t="s">
        <v>4115</v>
      </c>
      <c r="K1749" s="49">
        <v>1</v>
      </c>
      <c r="L1749" s="49" t="s">
        <v>2614</v>
      </c>
      <c r="M1749" s="46" t="s">
        <v>117</v>
      </c>
      <c r="N1749" s="50">
        <v>0</v>
      </c>
      <c r="O1749" s="50">
        <v>0</v>
      </c>
      <c r="P1749" s="50">
        <v>0</v>
      </c>
      <c r="Q1749" s="46" t="s">
        <v>102</v>
      </c>
      <c r="R1749" s="46" t="s">
        <v>102</v>
      </c>
      <c r="S1749" s="46" t="s">
        <v>102</v>
      </c>
      <c r="T1749" s="46" t="s">
        <v>2815</v>
      </c>
      <c r="U1749" s="51">
        <v>4</v>
      </c>
    </row>
    <row r="1750" spans="2:21" ht="14.5" outlineLevel="3">
      <c r="B1750" s="44" t="s">
        <v>4842</v>
      </c>
      <c r="C1750" s="45" t="s">
        <v>4843</v>
      </c>
      <c r="D1750" s="46" t="s">
        <v>392</v>
      </c>
      <c r="E1750" s="47" t="s">
        <v>102</v>
      </c>
      <c r="F1750" s="46" t="s">
        <v>102</v>
      </c>
      <c r="G1750" s="47" t="s">
        <v>102</v>
      </c>
      <c r="H1750" s="48">
        <v>0</v>
      </c>
      <c r="I1750" s="48">
        <v>0</v>
      </c>
      <c r="J1750" s="47" t="s">
        <v>4485</v>
      </c>
      <c r="K1750" s="49">
        <v>1</v>
      </c>
      <c r="L1750" s="49" t="s">
        <v>2614</v>
      </c>
      <c r="M1750" s="46" t="s">
        <v>117</v>
      </c>
      <c r="N1750" s="50">
        <v>0</v>
      </c>
      <c r="O1750" s="50">
        <v>0</v>
      </c>
      <c r="P1750" s="50">
        <v>0</v>
      </c>
      <c r="Q1750" s="46" t="s">
        <v>102</v>
      </c>
      <c r="R1750" s="46" t="s">
        <v>102</v>
      </c>
      <c r="S1750" s="46" t="s">
        <v>102</v>
      </c>
      <c r="T1750" s="46" t="s">
        <v>461</v>
      </c>
      <c r="U1750" s="51">
        <v>4</v>
      </c>
    </row>
    <row r="1751" spans="2:21" ht="14.5" outlineLevel="1">
      <c r="B1751" s="28" t="s">
        <v>4844</v>
      </c>
      <c r="C1751" s="29" t="s">
        <v>4845</v>
      </c>
      <c r="D1751" s="30" t="s">
        <v>392</v>
      </c>
      <c r="E1751" s="31" t="s">
        <v>102</v>
      </c>
      <c r="F1751" s="30" t="s">
        <v>102</v>
      </c>
      <c r="G1751" s="31" t="s">
        <v>102</v>
      </c>
      <c r="H1751" s="32">
        <v>0</v>
      </c>
      <c r="I1751" s="32">
        <v>0</v>
      </c>
      <c r="J1751" s="31" t="s">
        <v>4115</v>
      </c>
      <c r="K1751" s="33">
        <v>1</v>
      </c>
      <c r="L1751" s="33" t="s">
        <v>2614</v>
      </c>
      <c r="M1751" s="30" t="s">
        <v>117</v>
      </c>
      <c r="N1751" s="34">
        <v>0</v>
      </c>
      <c r="O1751" s="34">
        <v>0</v>
      </c>
      <c r="P1751" s="34">
        <v>0</v>
      </c>
      <c r="Q1751" s="30" t="s">
        <v>102</v>
      </c>
      <c r="R1751" s="30" t="s">
        <v>102</v>
      </c>
      <c r="S1751" s="30" t="s">
        <v>102</v>
      </c>
      <c r="T1751" s="30" t="s">
        <v>466</v>
      </c>
      <c r="U1751" s="35">
        <v>4</v>
      </c>
    </row>
    <row r="1752" spans="2:21" ht="14.5" outlineLevel="2">
      <c r="B1752" s="36" t="s">
        <v>4846</v>
      </c>
      <c r="C1752" s="37" t="s">
        <v>4847</v>
      </c>
      <c r="D1752" s="38" t="s">
        <v>392</v>
      </c>
      <c r="E1752" s="39" t="s">
        <v>102</v>
      </c>
      <c r="F1752" s="38" t="s">
        <v>102</v>
      </c>
      <c r="G1752" s="39" t="s">
        <v>102</v>
      </c>
      <c r="H1752" s="40">
        <v>0</v>
      </c>
      <c r="I1752" s="40">
        <v>0</v>
      </c>
      <c r="J1752" s="39" t="s">
        <v>4485</v>
      </c>
      <c r="K1752" s="41">
        <v>1</v>
      </c>
      <c r="L1752" s="41" t="s">
        <v>2614</v>
      </c>
      <c r="M1752" s="38" t="s">
        <v>117</v>
      </c>
      <c r="N1752" s="42">
        <v>0</v>
      </c>
      <c r="O1752" s="42">
        <v>0</v>
      </c>
      <c r="P1752" s="42">
        <v>0</v>
      </c>
      <c r="Q1752" s="38" t="s">
        <v>102</v>
      </c>
      <c r="R1752" s="38" t="s">
        <v>102</v>
      </c>
      <c r="S1752" s="38" t="s">
        <v>102</v>
      </c>
      <c r="T1752" s="38" t="s">
        <v>2828</v>
      </c>
      <c r="U1752" s="43">
        <v>4</v>
      </c>
    </row>
    <row r="1753" spans="2:21" ht="14.5" outlineLevel="3">
      <c r="B1753" s="44" t="s">
        <v>4848</v>
      </c>
      <c r="C1753" s="45" t="s">
        <v>4849</v>
      </c>
      <c r="D1753" s="46" t="s">
        <v>102</v>
      </c>
      <c r="E1753" s="47" t="s">
        <v>102</v>
      </c>
      <c r="F1753" s="46" t="s">
        <v>102</v>
      </c>
      <c r="G1753" s="47" t="s">
        <v>102</v>
      </c>
      <c r="H1753" s="48">
        <v>0</v>
      </c>
      <c r="I1753" s="48">
        <v>0</v>
      </c>
      <c r="J1753" s="47" t="s">
        <v>102</v>
      </c>
      <c r="K1753" s="49">
        <v>0</v>
      </c>
      <c r="L1753" s="49" t="s">
        <v>102</v>
      </c>
      <c r="M1753" s="46" t="s">
        <v>102</v>
      </c>
      <c r="N1753" s="50">
        <v>0</v>
      </c>
      <c r="O1753" s="50">
        <v>0</v>
      </c>
      <c r="P1753" s="50">
        <v>0</v>
      </c>
      <c r="Q1753" s="46" t="s">
        <v>102</v>
      </c>
      <c r="R1753" s="46" t="s">
        <v>102</v>
      </c>
      <c r="S1753" s="46" t="s">
        <v>2530</v>
      </c>
      <c r="T1753" s="46" t="s">
        <v>102</v>
      </c>
      <c r="U1753" s="51">
        <v>3</v>
      </c>
    </row>
    <row r="1754" spans="2:21" ht="14.5" outlineLevel="3">
      <c r="B1754" s="44" t="s">
        <v>4850</v>
      </c>
      <c r="C1754" s="45" t="s">
        <v>4851</v>
      </c>
      <c r="D1754" s="46" t="s">
        <v>392</v>
      </c>
      <c r="E1754" s="47" t="s">
        <v>102</v>
      </c>
      <c r="F1754" s="46" t="s">
        <v>102</v>
      </c>
      <c r="G1754" s="47" t="s">
        <v>102</v>
      </c>
      <c r="H1754" s="48">
        <v>0</v>
      </c>
      <c r="I1754" s="48">
        <v>0</v>
      </c>
      <c r="J1754" s="47" t="s">
        <v>4281</v>
      </c>
      <c r="K1754" s="49">
        <v>1</v>
      </c>
      <c r="L1754" s="49" t="s">
        <v>116</v>
      </c>
      <c r="M1754" s="46" t="s">
        <v>117</v>
      </c>
      <c r="N1754" s="50">
        <v>0</v>
      </c>
      <c r="O1754" s="50">
        <v>0</v>
      </c>
      <c r="P1754" s="50">
        <v>0</v>
      </c>
      <c r="Q1754" s="46" t="s">
        <v>102</v>
      </c>
      <c r="R1754" s="46" t="s">
        <v>102</v>
      </c>
      <c r="S1754" s="46" t="s">
        <v>102</v>
      </c>
      <c r="T1754" s="46" t="s">
        <v>1019</v>
      </c>
      <c r="U1754" s="51">
        <v>4</v>
      </c>
    </row>
    <row r="1755" spans="2:21" ht="14.5" outlineLevel="3">
      <c r="B1755" s="44" t="s">
        <v>5180</v>
      </c>
      <c r="C1755" s="45" t="s">
        <v>3677</v>
      </c>
      <c r="D1755" s="46" t="s">
        <v>392</v>
      </c>
      <c r="E1755" s="47" t="s">
        <v>102</v>
      </c>
      <c r="F1755" s="46" t="s">
        <v>102</v>
      </c>
      <c r="G1755" s="47" t="s">
        <v>102</v>
      </c>
      <c r="H1755" s="48">
        <v>0</v>
      </c>
      <c r="I1755" s="48">
        <v>0</v>
      </c>
      <c r="J1755" s="47" t="s">
        <v>102</v>
      </c>
      <c r="K1755" s="49">
        <v>0</v>
      </c>
      <c r="L1755" s="49" t="s">
        <v>116</v>
      </c>
      <c r="M1755" s="46" t="s">
        <v>102</v>
      </c>
      <c r="N1755" s="50">
        <v>0</v>
      </c>
      <c r="O1755" s="50">
        <v>0</v>
      </c>
      <c r="P1755" s="50">
        <v>0</v>
      </c>
      <c r="Q1755" s="46" t="s">
        <v>102</v>
      </c>
      <c r="R1755" s="46" t="s">
        <v>102</v>
      </c>
      <c r="S1755" s="46" t="s">
        <v>102</v>
      </c>
      <c r="T1755" s="46" t="s">
        <v>2815</v>
      </c>
      <c r="U1755" s="51">
        <v>4</v>
      </c>
    </row>
    <row r="1756" spans="2:21" ht="14.5" outlineLevel="3">
      <c r="B1756" s="44" t="s">
        <v>4852</v>
      </c>
      <c r="C1756" s="45" t="s">
        <v>4853</v>
      </c>
      <c r="D1756" s="46" t="s">
        <v>392</v>
      </c>
      <c r="E1756" s="47" t="s">
        <v>102</v>
      </c>
      <c r="F1756" s="46" t="s">
        <v>102</v>
      </c>
      <c r="G1756" s="47" t="s">
        <v>102</v>
      </c>
      <c r="H1756" s="48">
        <v>0</v>
      </c>
      <c r="I1756" s="48">
        <v>0</v>
      </c>
      <c r="J1756" s="47" t="s">
        <v>4485</v>
      </c>
      <c r="K1756" s="49">
        <v>1</v>
      </c>
      <c r="L1756" s="49" t="s">
        <v>2614</v>
      </c>
      <c r="M1756" s="46" t="s">
        <v>117</v>
      </c>
      <c r="N1756" s="50">
        <v>0</v>
      </c>
      <c r="O1756" s="50">
        <v>0</v>
      </c>
      <c r="P1756" s="50">
        <v>0</v>
      </c>
      <c r="Q1756" s="46" t="s">
        <v>102</v>
      </c>
      <c r="R1756" s="46" t="s">
        <v>102</v>
      </c>
      <c r="S1756" s="46" t="s">
        <v>102</v>
      </c>
      <c r="T1756" s="46" t="s">
        <v>3431</v>
      </c>
      <c r="U1756" s="51">
        <v>4</v>
      </c>
    </row>
    <row r="1757" spans="2:21" ht="14.5" outlineLevel="3">
      <c r="B1757" s="44" t="s">
        <v>4854</v>
      </c>
      <c r="C1757" s="45" t="s">
        <v>4855</v>
      </c>
      <c r="D1757" s="46" t="s">
        <v>392</v>
      </c>
      <c r="E1757" s="47" t="s">
        <v>102</v>
      </c>
      <c r="F1757" s="46" t="s">
        <v>102</v>
      </c>
      <c r="G1757" s="47" t="s">
        <v>102</v>
      </c>
      <c r="H1757" s="48">
        <v>0</v>
      </c>
      <c r="I1757" s="48">
        <v>0</v>
      </c>
      <c r="J1757" s="47" t="s">
        <v>3788</v>
      </c>
      <c r="K1757" s="49">
        <v>1</v>
      </c>
      <c r="L1757" s="49" t="s">
        <v>2614</v>
      </c>
      <c r="M1757" s="46" t="s">
        <v>117</v>
      </c>
      <c r="N1757" s="50">
        <v>0</v>
      </c>
      <c r="O1757" s="50">
        <v>0</v>
      </c>
      <c r="P1757" s="50">
        <v>0</v>
      </c>
      <c r="Q1757" s="46" t="s">
        <v>102</v>
      </c>
      <c r="R1757" s="46" t="s">
        <v>102</v>
      </c>
      <c r="S1757" s="46" t="s">
        <v>102</v>
      </c>
      <c r="T1757" s="46" t="s">
        <v>3434</v>
      </c>
      <c r="U1757" s="51">
        <v>4</v>
      </c>
    </row>
    <row r="1758" spans="2:21" ht="14.5" outlineLevel="3">
      <c r="B1758" s="44" t="s">
        <v>4856</v>
      </c>
      <c r="C1758" s="45" t="s">
        <v>4857</v>
      </c>
      <c r="D1758" s="46" t="s">
        <v>102</v>
      </c>
      <c r="E1758" s="47" t="s">
        <v>102</v>
      </c>
      <c r="F1758" s="46" t="s">
        <v>102</v>
      </c>
      <c r="G1758" s="47" t="s">
        <v>102</v>
      </c>
      <c r="H1758" s="48">
        <v>0</v>
      </c>
      <c r="I1758" s="48">
        <v>0</v>
      </c>
      <c r="J1758" s="47" t="s">
        <v>102</v>
      </c>
      <c r="K1758" s="49">
        <v>0</v>
      </c>
      <c r="L1758" s="49" t="s">
        <v>102</v>
      </c>
      <c r="M1758" s="46" t="s">
        <v>102</v>
      </c>
      <c r="N1758" s="50">
        <v>0</v>
      </c>
      <c r="O1758" s="50">
        <v>0</v>
      </c>
      <c r="P1758" s="50">
        <v>0</v>
      </c>
      <c r="Q1758" s="46" t="s">
        <v>102</v>
      </c>
      <c r="R1758" s="46" t="s">
        <v>4858</v>
      </c>
      <c r="S1758" s="46" t="s">
        <v>102</v>
      </c>
      <c r="T1758" s="46" t="s">
        <v>102</v>
      </c>
      <c r="U1758" s="51">
        <v>2</v>
      </c>
    </row>
    <row r="1759" spans="2:21" ht="14.5" outlineLevel="2">
      <c r="B1759" s="36" t="s">
        <v>4859</v>
      </c>
      <c r="C1759" s="37" t="s">
        <v>4860</v>
      </c>
      <c r="D1759" s="38" t="s">
        <v>102</v>
      </c>
      <c r="E1759" s="39" t="s">
        <v>102</v>
      </c>
      <c r="F1759" s="38" t="s">
        <v>102</v>
      </c>
      <c r="G1759" s="39" t="s">
        <v>102</v>
      </c>
      <c r="H1759" s="40">
        <v>0</v>
      </c>
      <c r="I1759" s="40">
        <v>0</v>
      </c>
      <c r="J1759" s="39" t="s">
        <v>102</v>
      </c>
      <c r="K1759" s="41">
        <v>0</v>
      </c>
      <c r="L1759" s="41" t="s">
        <v>102</v>
      </c>
      <c r="M1759" s="38" t="s">
        <v>102</v>
      </c>
      <c r="N1759" s="42">
        <v>0</v>
      </c>
      <c r="O1759" s="42">
        <v>0</v>
      </c>
      <c r="P1759" s="42">
        <v>0</v>
      </c>
      <c r="Q1759" s="38" t="s">
        <v>102</v>
      </c>
      <c r="R1759" s="38" t="s">
        <v>102</v>
      </c>
      <c r="S1759" s="38" t="s">
        <v>4861</v>
      </c>
      <c r="T1759" s="38" t="s">
        <v>102</v>
      </c>
      <c r="U1759" s="43">
        <v>3</v>
      </c>
    </row>
    <row r="1760" spans="2:21" ht="14.5" outlineLevel="3">
      <c r="B1760" s="44" t="s">
        <v>4862</v>
      </c>
      <c r="C1760" s="45" t="s">
        <v>4863</v>
      </c>
      <c r="D1760" s="46" t="s">
        <v>392</v>
      </c>
      <c r="E1760" s="47" t="s">
        <v>102</v>
      </c>
      <c r="F1760" s="46" t="s">
        <v>102</v>
      </c>
      <c r="G1760" s="47" t="s">
        <v>102</v>
      </c>
      <c r="H1760" s="48">
        <v>0</v>
      </c>
      <c r="I1760" s="48">
        <v>0</v>
      </c>
      <c r="J1760" s="47" t="s">
        <v>4864</v>
      </c>
      <c r="K1760" s="49">
        <v>0</v>
      </c>
      <c r="L1760" s="49" t="s">
        <v>116</v>
      </c>
      <c r="M1760" s="46" t="s">
        <v>117</v>
      </c>
      <c r="N1760" s="50">
        <v>0</v>
      </c>
      <c r="O1760" s="50">
        <v>0</v>
      </c>
      <c r="P1760" s="50">
        <v>0</v>
      </c>
      <c r="Q1760" s="46" t="s">
        <v>102</v>
      </c>
      <c r="R1760" s="46" t="s">
        <v>102</v>
      </c>
      <c r="S1760" s="46" t="s">
        <v>102</v>
      </c>
      <c r="T1760" s="46" t="s">
        <v>259</v>
      </c>
      <c r="U1760" s="51">
        <v>4</v>
      </c>
    </row>
    <row r="1761" spans="2:21" ht="14.5" outlineLevel="3">
      <c r="B1761" s="44" t="s">
        <v>4865</v>
      </c>
      <c r="C1761" s="45" t="s">
        <v>4866</v>
      </c>
      <c r="D1761" s="46" t="s">
        <v>392</v>
      </c>
      <c r="E1761" s="47" t="s">
        <v>102</v>
      </c>
      <c r="F1761" s="46" t="s">
        <v>102</v>
      </c>
      <c r="G1761" s="47" t="s">
        <v>102</v>
      </c>
      <c r="H1761" s="48">
        <v>0</v>
      </c>
      <c r="I1761" s="48">
        <v>0</v>
      </c>
      <c r="J1761" s="47" t="s">
        <v>4864</v>
      </c>
      <c r="K1761" s="49">
        <v>0</v>
      </c>
      <c r="L1761" s="49" t="s">
        <v>116</v>
      </c>
      <c r="M1761" s="46" t="s">
        <v>117</v>
      </c>
      <c r="N1761" s="50">
        <v>0</v>
      </c>
      <c r="O1761" s="50">
        <v>0</v>
      </c>
      <c r="P1761" s="50">
        <v>0</v>
      </c>
      <c r="Q1761" s="46" t="s">
        <v>102</v>
      </c>
      <c r="R1761" s="46" t="s">
        <v>102</v>
      </c>
      <c r="S1761" s="46" t="s">
        <v>102</v>
      </c>
      <c r="T1761" s="46" t="s">
        <v>418</v>
      </c>
      <c r="U1761" s="51">
        <v>4</v>
      </c>
    </row>
    <row r="1762" spans="2:21" ht="14.5" outlineLevel="3">
      <c r="B1762" s="44" t="s">
        <v>4867</v>
      </c>
      <c r="C1762" s="45" t="s">
        <v>4868</v>
      </c>
      <c r="D1762" s="46" t="s">
        <v>392</v>
      </c>
      <c r="E1762" s="47" t="s">
        <v>102</v>
      </c>
      <c r="F1762" s="46" t="s">
        <v>102</v>
      </c>
      <c r="G1762" s="47" t="s">
        <v>102</v>
      </c>
      <c r="H1762" s="48">
        <v>0</v>
      </c>
      <c r="I1762" s="48">
        <v>0</v>
      </c>
      <c r="J1762" s="47" t="s">
        <v>4864</v>
      </c>
      <c r="K1762" s="49">
        <v>0</v>
      </c>
      <c r="L1762" s="49" t="s">
        <v>116</v>
      </c>
      <c r="M1762" s="46" t="s">
        <v>117</v>
      </c>
      <c r="N1762" s="50">
        <v>0</v>
      </c>
      <c r="O1762" s="50">
        <v>0</v>
      </c>
      <c r="P1762" s="50">
        <v>0</v>
      </c>
      <c r="Q1762" s="46" t="s">
        <v>102</v>
      </c>
      <c r="R1762" s="46" t="s">
        <v>102</v>
      </c>
      <c r="S1762" s="46" t="s">
        <v>102</v>
      </c>
      <c r="T1762" s="46" t="s">
        <v>223</v>
      </c>
      <c r="U1762" s="51">
        <v>4</v>
      </c>
    </row>
    <row r="1763" spans="2:21" ht="14.5" outlineLevel="3">
      <c r="B1763" s="44" t="s">
        <v>4869</v>
      </c>
      <c r="C1763" s="45" t="s">
        <v>4870</v>
      </c>
      <c r="D1763" s="46" t="s">
        <v>392</v>
      </c>
      <c r="E1763" s="47" t="s">
        <v>102</v>
      </c>
      <c r="F1763" s="46" t="s">
        <v>102</v>
      </c>
      <c r="G1763" s="47" t="s">
        <v>102</v>
      </c>
      <c r="H1763" s="48">
        <v>0</v>
      </c>
      <c r="I1763" s="48">
        <v>0</v>
      </c>
      <c r="J1763" s="47" t="s">
        <v>4864</v>
      </c>
      <c r="K1763" s="49">
        <v>0</v>
      </c>
      <c r="L1763" s="49" t="s">
        <v>116</v>
      </c>
      <c r="M1763" s="46" t="s">
        <v>117</v>
      </c>
      <c r="N1763" s="50">
        <v>0</v>
      </c>
      <c r="O1763" s="50">
        <v>0</v>
      </c>
      <c r="P1763" s="50">
        <v>0</v>
      </c>
      <c r="Q1763" s="46" t="s">
        <v>102</v>
      </c>
      <c r="R1763" s="46" t="s">
        <v>102</v>
      </c>
      <c r="S1763" s="46" t="s">
        <v>102</v>
      </c>
      <c r="T1763" s="46" t="s">
        <v>427</v>
      </c>
      <c r="U1763" s="51">
        <v>4</v>
      </c>
    </row>
    <row r="1764" spans="2:21" ht="14.5" outlineLevel="3">
      <c r="B1764" s="44" t="s">
        <v>4871</v>
      </c>
      <c r="C1764" s="45" t="s">
        <v>4872</v>
      </c>
      <c r="D1764" s="46" t="s">
        <v>392</v>
      </c>
      <c r="E1764" s="47" t="s">
        <v>102</v>
      </c>
      <c r="F1764" s="46" t="s">
        <v>102</v>
      </c>
      <c r="G1764" s="47" t="s">
        <v>102</v>
      </c>
      <c r="H1764" s="48">
        <v>0</v>
      </c>
      <c r="I1764" s="48">
        <v>0</v>
      </c>
      <c r="J1764" s="47" t="s">
        <v>4864</v>
      </c>
      <c r="K1764" s="49">
        <v>0</v>
      </c>
      <c r="L1764" s="49" t="s">
        <v>116</v>
      </c>
      <c r="M1764" s="46" t="s">
        <v>117</v>
      </c>
      <c r="N1764" s="50">
        <v>0</v>
      </c>
      <c r="O1764" s="50">
        <v>0</v>
      </c>
      <c r="P1764" s="50">
        <v>0</v>
      </c>
      <c r="Q1764" s="46" t="s">
        <v>102</v>
      </c>
      <c r="R1764" s="46" t="s">
        <v>102</v>
      </c>
      <c r="S1764" s="46" t="s">
        <v>102</v>
      </c>
      <c r="T1764" s="46" t="s">
        <v>778</v>
      </c>
      <c r="U1764" s="51">
        <v>4</v>
      </c>
    </row>
    <row r="1765" spans="2:21" ht="14.5" outlineLevel="3">
      <c r="B1765" s="44" t="s">
        <v>4873</v>
      </c>
      <c r="C1765" s="45" t="s">
        <v>4874</v>
      </c>
      <c r="D1765" s="46" t="s">
        <v>392</v>
      </c>
      <c r="E1765" s="47" t="s">
        <v>102</v>
      </c>
      <c r="F1765" s="46" t="s">
        <v>102</v>
      </c>
      <c r="G1765" s="47" t="s">
        <v>102</v>
      </c>
      <c r="H1765" s="48">
        <v>0</v>
      </c>
      <c r="I1765" s="48">
        <v>0</v>
      </c>
      <c r="J1765" s="47" t="s">
        <v>4864</v>
      </c>
      <c r="K1765" s="49">
        <v>0</v>
      </c>
      <c r="L1765" s="49" t="s">
        <v>116</v>
      </c>
      <c r="M1765" s="46" t="s">
        <v>117</v>
      </c>
      <c r="N1765" s="50">
        <v>0</v>
      </c>
      <c r="O1765" s="50">
        <v>0</v>
      </c>
      <c r="P1765" s="50">
        <v>0</v>
      </c>
      <c r="Q1765" s="46" t="s">
        <v>102</v>
      </c>
      <c r="R1765" s="46" t="s">
        <v>102</v>
      </c>
      <c r="S1765" s="46" t="s">
        <v>102</v>
      </c>
      <c r="T1765" s="46" t="s">
        <v>3431</v>
      </c>
      <c r="U1765" s="51">
        <v>4</v>
      </c>
    </row>
    <row r="1766" spans="2:21" ht="14.5" outlineLevel="3">
      <c r="B1766" s="44" t="s">
        <v>4875</v>
      </c>
      <c r="C1766" s="45" t="s">
        <v>4876</v>
      </c>
      <c r="D1766" s="46" t="s">
        <v>102</v>
      </c>
      <c r="E1766" s="47" t="s">
        <v>102</v>
      </c>
      <c r="F1766" s="46" t="s">
        <v>102</v>
      </c>
      <c r="G1766" s="47" t="s">
        <v>102</v>
      </c>
      <c r="H1766" s="48">
        <v>0</v>
      </c>
      <c r="I1766" s="48">
        <v>0</v>
      </c>
      <c r="J1766" s="47" t="s">
        <v>102</v>
      </c>
      <c r="K1766" s="49">
        <v>0</v>
      </c>
      <c r="L1766" s="49" t="s">
        <v>102</v>
      </c>
      <c r="M1766" s="46" t="s">
        <v>102</v>
      </c>
      <c r="N1766" s="50">
        <v>0</v>
      </c>
      <c r="O1766" s="50">
        <v>0</v>
      </c>
      <c r="P1766" s="50">
        <v>0</v>
      </c>
      <c r="Q1766" s="46" t="s">
        <v>102</v>
      </c>
      <c r="R1766" s="46" t="s">
        <v>102</v>
      </c>
      <c r="S1766" s="46" t="s">
        <v>4877</v>
      </c>
      <c r="T1766" s="46" t="s">
        <v>102</v>
      </c>
      <c r="U1766" s="51">
        <v>3</v>
      </c>
    </row>
    <row r="1767" spans="2:21" ht="14.5" outlineLevel="2">
      <c r="B1767" s="36" t="s">
        <v>4878</v>
      </c>
      <c r="C1767" s="37" t="s">
        <v>4879</v>
      </c>
      <c r="D1767" s="38" t="s">
        <v>392</v>
      </c>
      <c r="E1767" s="39" t="s">
        <v>102</v>
      </c>
      <c r="F1767" s="38" t="s">
        <v>102</v>
      </c>
      <c r="G1767" s="39" t="s">
        <v>102</v>
      </c>
      <c r="H1767" s="40">
        <v>0</v>
      </c>
      <c r="I1767" s="40">
        <v>0</v>
      </c>
      <c r="J1767" s="39" t="s">
        <v>4880</v>
      </c>
      <c r="K1767" s="41">
        <v>0</v>
      </c>
      <c r="L1767" s="41" t="s">
        <v>116</v>
      </c>
      <c r="M1767" s="38" t="s">
        <v>117</v>
      </c>
      <c r="N1767" s="42">
        <v>0</v>
      </c>
      <c r="O1767" s="42">
        <v>0</v>
      </c>
      <c r="P1767" s="42">
        <v>0</v>
      </c>
      <c r="Q1767" s="38" t="s">
        <v>102</v>
      </c>
      <c r="R1767" s="38" t="s">
        <v>102</v>
      </c>
      <c r="S1767" s="38" t="s">
        <v>102</v>
      </c>
      <c r="T1767" s="38" t="s">
        <v>259</v>
      </c>
      <c r="U1767" s="43">
        <v>4</v>
      </c>
    </row>
    <row r="1768" spans="2:21" ht="14.5" outlineLevel="3">
      <c r="B1768" s="44" t="s">
        <v>4881</v>
      </c>
      <c r="C1768" s="45" t="s">
        <v>4882</v>
      </c>
      <c r="D1768" s="46" t="s">
        <v>392</v>
      </c>
      <c r="E1768" s="47" t="s">
        <v>102</v>
      </c>
      <c r="F1768" s="46" t="s">
        <v>102</v>
      </c>
      <c r="G1768" s="47" t="s">
        <v>102</v>
      </c>
      <c r="H1768" s="48">
        <v>0</v>
      </c>
      <c r="I1768" s="48">
        <v>0</v>
      </c>
      <c r="J1768" s="47" t="s">
        <v>4880</v>
      </c>
      <c r="K1768" s="49">
        <v>0</v>
      </c>
      <c r="L1768" s="49" t="s">
        <v>116</v>
      </c>
      <c r="M1768" s="46" t="s">
        <v>117</v>
      </c>
      <c r="N1768" s="50">
        <v>0</v>
      </c>
      <c r="O1768" s="50">
        <v>0</v>
      </c>
      <c r="P1768" s="50">
        <v>0</v>
      </c>
      <c r="Q1768" s="46" t="s">
        <v>102</v>
      </c>
      <c r="R1768" s="46" t="s">
        <v>102</v>
      </c>
      <c r="S1768" s="46" t="s">
        <v>102</v>
      </c>
      <c r="T1768" s="46" t="s">
        <v>1019</v>
      </c>
      <c r="U1768" s="51">
        <v>4</v>
      </c>
    </row>
    <row r="1769" spans="2:21" ht="14.5" outlineLevel="3">
      <c r="B1769" s="44" t="s">
        <v>4883</v>
      </c>
      <c r="C1769" s="45" t="s">
        <v>4884</v>
      </c>
      <c r="D1769" s="46" t="s">
        <v>392</v>
      </c>
      <c r="E1769" s="47" t="s">
        <v>102</v>
      </c>
      <c r="F1769" s="46" t="s">
        <v>102</v>
      </c>
      <c r="G1769" s="47" t="s">
        <v>102</v>
      </c>
      <c r="H1769" s="48">
        <v>0</v>
      </c>
      <c r="I1769" s="48">
        <v>0</v>
      </c>
      <c r="J1769" s="47" t="s">
        <v>4880</v>
      </c>
      <c r="K1769" s="49">
        <v>0</v>
      </c>
      <c r="L1769" s="49" t="s">
        <v>116</v>
      </c>
      <c r="M1769" s="46" t="s">
        <v>117</v>
      </c>
      <c r="N1769" s="50">
        <v>0</v>
      </c>
      <c r="O1769" s="50">
        <v>0</v>
      </c>
      <c r="P1769" s="50">
        <v>0</v>
      </c>
      <c r="Q1769" s="46" t="s">
        <v>102</v>
      </c>
      <c r="R1769" s="46" t="s">
        <v>102</v>
      </c>
      <c r="S1769" s="46" t="s">
        <v>102</v>
      </c>
      <c r="T1769" s="46" t="s">
        <v>2815</v>
      </c>
      <c r="U1769" s="51">
        <v>4</v>
      </c>
    </row>
    <row r="1770" spans="2:21" ht="14.5" outlineLevel="1">
      <c r="B1770" s="28" t="s">
        <v>4885</v>
      </c>
      <c r="C1770" s="29" t="s">
        <v>4886</v>
      </c>
      <c r="D1770" s="30" t="s">
        <v>392</v>
      </c>
      <c r="E1770" s="31" t="s">
        <v>102</v>
      </c>
      <c r="F1770" s="30" t="s">
        <v>102</v>
      </c>
      <c r="G1770" s="31" t="s">
        <v>102</v>
      </c>
      <c r="H1770" s="32">
        <v>0</v>
      </c>
      <c r="I1770" s="32">
        <v>0</v>
      </c>
      <c r="J1770" s="31" t="s">
        <v>4880</v>
      </c>
      <c r="K1770" s="33">
        <v>0</v>
      </c>
      <c r="L1770" s="33" t="s">
        <v>116</v>
      </c>
      <c r="M1770" s="30" t="s">
        <v>117</v>
      </c>
      <c r="N1770" s="34">
        <v>0</v>
      </c>
      <c r="O1770" s="34">
        <v>0</v>
      </c>
      <c r="P1770" s="34">
        <v>0</v>
      </c>
      <c r="Q1770" s="30" t="s">
        <v>102</v>
      </c>
      <c r="R1770" s="30" t="s">
        <v>102</v>
      </c>
      <c r="S1770" s="30" t="s">
        <v>102</v>
      </c>
      <c r="T1770" s="30" t="s">
        <v>461</v>
      </c>
      <c r="U1770" s="35">
        <v>4</v>
      </c>
    </row>
    <row r="1771" spans="2:21" ht="14.5" outlineLevel="2">
      <c r="B1771" s="36" t="s">
        <v>4887</v>
      </c>
      <c r="C1771" s="37" t="s">
        <v>4888</v>
      </c>
      <c r="D1771" s="38" t="s">
        <v>392</v>
      </c>
      <c r="E1771" s="39" t="s">
        <v>102</v>
      </c>
      <c r="F1771" s="38" t="s">
        <v>102</v>
      </c>
      <c r="G1771" s="39" t="s">
        <v>102</v>
      </c>
      <c r="H1771" s="40">
        <v>0</v>
      </c>
      <c r="I1771" s="40">
        <v>0</v>
      </c>
      <c r="J1771" s="39" t="s">
        <v>4880</v>
      </c>
      <c r="K1771" s="41">
        <v>0</v>
      </c>
      <c r="L1771" s="41" t="s">
        <v>116</v>
      </c>
      <c r="M1771" s="38" t="s">
        <v>117</v>
      </c>
      <c r="N1771" s="42">
        <v>0</v>
      </c>
      <c r="O1771" s="42">
        <v>0</v>
      </c>
      <c r="P1771" s="42">
        <v>0</v>
      </c>
      <c r="Q1771" s="38" t="s">
        <v>102</v>
      </c>
      <c r="R1771" s="38" t="s">
        <v>102</v>
      </c>
      <c r="S1771" s="38" t="s">
        <v>102</v>
      </c>
      <c r="T1771" s="38" t="s">
        <v>2828</v>
      </c>
      <c r="U1771" s="43">
        <v>4</v>
      </c>
    </row>
    <row r="1772" spans="2:21" ht="14.5" outlineLevel="3">
      <c r="B1772" s="44" t="s">
        <v>4889</v>
      </c>
      <c r="C1772" s="45" t="s">
        <v>4890</v>
      </c>
      <c r="D1772" s="46" t="s">
        <v>392</v>
      </c>
      <c r="E1772" s="47" t="s">
        <v>102</v>
      </c>
      <c r="F1772" s="46" t="s">
        <v>102</v>
      </c>
      <c r="G1772" s="47" t="s">
        <v>102</v>
      </c>
      <c r="H1772" s="48">
        <v>0</v>
      </c>
      <c r="I1772" s="48">
        <v>0</v>
      </c>
      <c r="J1772" s="47" t="s">
        <v>4880</v>
      </c>
      <c r="K1772" s="49">
        <v>0</v>
      </c>
      <c r="L1772" s="49" t="s">
        <v>116</v>
      </c>
      <c r="M1772" s="46" t="s">
        <v>117</v>
      </c>
      <c r="N1772" s="50">
        <v>0</v>
      </c>
      <c r="O1772" s="50">
        <v>0</v>
      </c>
      <c r="P1772" s="50">
        <v>0</v>
      </c>
      <c r="Q1772" s="46" t="s">
        <v>102</v>
      </c>
      <c r="R1772" s="46" t="s">
        <v>102</v>
      </c>
      <c r="S1772" s="46" t="s">
        <v>102</v>
      </c>
      <c r="T1772" s="46" t="s">
        <v>2773</v>
      </c>
      <c r="U1772" s="51">
        <v>4</v>
      </c>
    </row>
    <row r="1773" spans="2:21" ht="14.5" outlineLevel="2">
      <c r="B1773" s="36" t="s">
        <v>4891</v>
      </c>
      <c r="C1773" s="37" t="s">
        <v>4892</v>
      </c>
      <c r="D1773" s="38" t="s">
        <v>392</v>
      </c>
      <c r="E1773" s="39" t="s">
        <v>102</v>
      </c>
      <c r="F1773" s="38" t="s">
        <v>102</v>
      </c>
      <c r="G1773" s="39" t="s">
        <v>102</v>
      </c>
      <c r="H1773" s="40">
        <v>0</v>
      </c>
      <c r="I1773" s="40">
        <v>0</v>
      </c>
      <c r="J1773" s="39" t="s">
        <v>4880</v>
      </c>
      <c r="K1773" s="41">
        <v>0</v>
      </c>
      <c r="L1773" s="41" t="s">
        <v>116</v>
      </c>
      <c r="M1773" s="38" t="s">
        <v>117</v>
      </c>
      <c r="N1773" s="42">
        <v>0</v>
      </c>
      <c r="O1773" s="42">
        <v>0</v>
      </c>
      <c r="P1773" s="42">
        <v>0</v>
      </c>
      <c r="Q1773" s="38" t="s">
        <v>102</v>
      </c>
      <c r="R1773" s="38" t="s">
        <v>102</v>
      </c>
      <c r="S1773" s="38" t="s">
        <v>102</v>
      </c>
      <c r="T1773" s="38" t="s">
        <v>2795</v>
      </c>
      <c r="U1773" s="43">
        <v>4</v>
      </c>
    </row>
    <row r="1774" spans="2:21" ht="14.5" outlineLevel="3">
      <c r="B1774" s="44" t="s">
        <v>4893</v>
      </c>
      <c r="C1774" s="45" t="s">
        <v>4894</v>
      </c>
      <c r="D1774" s="46" t="s">
        <v>102</v>
      </c>
      <c r="E1774" s="47" t="s">
        <v>102</v>
      </c>
      <c r="F1774" s="46" t="s">
        <v>102</v>
      </c>
      <c r="G1774" s="47" t="s">
        <v>102</v>
      </c>
      <c r="H1774" s="48">
        <v>0</v>
      </c>
      <c r="I1774" s="48">
        <v>0</v>
      </c>
      <c r="J1774" s="47" t="s">
        <v>102</v>
      </c>
      <c r="K1774" s="49">
        <v>0</v>
      </c>
      <c r="L1774" s="49" t="s">
        <v>102</v>
      </c>
      <c r="M1774" s="46" t="s">
        <v>102</v>
      </c>
      <c r="N1774" s="50">
        <v>0</v>
      </c>
      <c r="O1774" s="50">
        <v>0</v>
      </c>
      <c r="P1774" s="50">
        <v>0</v>
      </c>
      <c r="Q1774" s="46" t="s">
        <v>102</v>
      </c>
      <c r="R1774" s="46" t="s">
        <v>102</v>
      </c>
      <c r="S1774" s="46" t="s">
        <v>4895</v>
      </c>
      <c r="T1774" s="46" t="s">
        <v>102</v>
      </c>
      <c r="U1774" s="51">
        <v>3</v>
      </c>
    </row>
    <row r="1775" spans="2:21" ht="14.5" outlineLevel="2">
      <c r="B1775" s="36" t="s">
        <v>4896</v>
      </c>
      <c r="C1775" s="37" t="s">
        <v>4897</v>
      </c>
      <c r="D1775" s="38" t="s">
        <v>392</v>
      </c>
      <c r="E1775" s="39" t="s">
        <v>102</v>
      </c>
      <c r="F1775" s="38" t="s">
        <v>102</v>
      </c>
      <c r="G1775" s="39" t="s">
        <v>102</v>
      </c>
      <c r="H1775" s="40">
        <v>0</v>
      </c>
      <c r="I1775" s="40">
        <v>0</v>
      </c>
      <c r="J1775" s="39" t="s">
        <v>4898</v>
      </c>
      <c r="K1775" s="41">
        <v>0</v>
      </c>
      <c r="L1775" s="41" t="s">
        <v>116</v>
      </c>
      <c r="M1775" s="38" t="s">
        <v>117</v>
      </c>
      <c r="N1775" s="42">
        <v>0</v>
      </c>
      <c r="O1775" s="42">
        <v>0</v>
      </c>
      <c r="P1775" s="42">
        <v>0</v>
      </c>
      <c r="Q1775" s="38" t="s">
        <v>102</v>
      </c>
      <c r="R1775" s="38" t="s">
        <v>102</v>
      </c>
      <c r="S1775" s="38" t="s">
        <v>102</v>
      </c>
      <c r="T1775" s="38" t="s">
        <v>1019</v>
      </c>
      <c r="U1775" s="43">
        <v>4</v>
      </c>
    </row>
    <row r="1776" spans="2:21" ht="14.5" outlineLevel="3">
      <c r="B1776" s="44" t="s">
        <v>4899</v>
      </c>
      <c r="C1776" s="45" t="s">
        <v>4900</v>
      </c>
      <c r="D1776" s="46" t="s">
        <v>392</v>
      </c>
      <c r="E1776" s="47" t="s">
        <v>102</v>
      </c>
      <c r="F1776" s="46" t="s">
        <v>102</v>
      </c>
      <c r="G1776" s="47" t="s">
        <v>102</v>
      </c>
      <c r="H1776" s="48">
        <v>0</v>
      </c>
      <c r="I1776" s="48">
        <v>0</v>
      </c>
      <c r="J1776" s="47" t="s">
        <v>4864</v>
      </c>
      <c r="K1776" s="49">
        <v>0</v>
      </c>
      <c r="L1776" s="49" t="s">
        <v>116</v>
      </c>
      <c r="M1776" s="46" t="s">
        <v>117</v>
      </c>
      <c r="N1776" s="50">
        <v>0</v>
      </c>
      <c r="O1776" s="50">
        <v>0</v>
      </c>
      <c r="P1776" s="50">
        <v>0</v>
      </c>
      <c r="Q1776" s="46" t="s">
        <v>102</v>
      </c>
      <c r="R1776" s="46" t="s">
        <v>102</v>
      </c>
      <c r="S1776" s="46" t="s">
        <v>102</v>
      </c>
      <c r="T1776" s="46" t="s">
        <v>3431</v>
      </c>
      <c r="U1776" s="51">
        <v>4</v>
      </c>
    </row>
    <row r="1777" spans="2:21" ht="14.5" outlineLevel="2">
      <c r="B1777" s="36" t="s">
        <v>4901</v>
      </c>
      <c r="C1777" s="37" t="s">
        <v>4902</v>
      </c>
      <c r="D1777" s="38" t="s">
        <v>102</v>
      </c>
      <c r="E1777" s="39" t="s">
        <v>102</v>
      </c>
      <c r="F1777" s="38" t="s">
        <v>102</v>
      </c>
      <c r="G1777" s="39" t="s">
        <v>102</v>
      </c>
      <c r="H1777" s="40">
        <v>0</v>
      </c>
      <c r="I1777" s="40">
        <v>0</v>
      </c>
      <c r="J1777" s="39" t="s">
        <v>102</v>
      </c>
      <c r="K1777" s="41">
        <v>0</v>
      </c>
      <c r="L1777" s="41" t="s">
        <v>102</v>
      </c>
      <c r="M1777" s="38" t="s">
        <v>102</v>
      </c>
      <c r="N1777" s="42">
        <v>0</v>
      </c>
      <c r="O1777" s="42">
        <v>0</v>
      </c>
      <c r="P1777" s="42">
        <v>0</v>
      </c>
      <c r="Q1777" s="38" t="s">
        <v>102</v>
      </c>
      <c r="R1777" s="38" t="s">
        <v>4903</v>
      </c>
      <c r="S1777" s="38" t="s">
        <v>102</v>
      </c>
      <c r="T1777" s="38" t="s">
        <v>102</v>
      </c>
      <c r="U1777" s="43">
        <v>2</v>
      </c>
    </row>
    <row r="1778" spans="2:21" ht="14.5" outlineLevel="3">
      <c r="B1778" s="44" t="s">
        <v>4904</v>
      </c>
      <c r="C1778" s="45" t="s">
        <v>4905</v>
      </c>
      <c r="D1778" s="46" t="s">
        <v>102</v>
      </c>
      <c r="E1778" s="47" t="s">
        <v>102</v>
      </c>
      <c r="F1778" s="46" t="s">
        <v>102</v>
      </c>
      <c r="G1778" s="47" t="s">
        <v>102</v>
      </c>
      <c r="H1778" s="48">
        <v>0</v>
      </c>
      <c r="I1778" s="48">
        <v>0</v>
      </c>
      <c r="J1778" s="47" t="s">
        <v>102</v>
      </c>
      <c r="K1778" s="49">
        <v>0</v>
      </c>
      <c r="L1778" s="49" t="s">
        <v>102</v>
      </c>
      <c r="M1778" s="46" t="s">
        <v>102</v>
      </c>
      <c r="N1778" s="50">
        <v>0</v>
      </c>
      <c r="O1778" s="50">
        <v>0</v>
      </c>
      <c r="P1778" s="50">
        <v>0</v>
      </c>
      <c r="Q1778" s="46" t="s">
        <v>102</v>
      </c>
      <c r="R1778" s="46" t="s">
        <v>102</v>
      </c>
      <c r="S1778" s="46" t="s">
        <v>4906</v>
      </c>
      <c r="T1778" s="46" t="s">
        <v>102</v>
      </c>
      <c r="U1778" s="51">
        <v>3</v>
      </c>
    </row>
    <row r="1779" spans="2:21" ht="14.5" outlineLevel="2">
      <c r="B1779" s="36" t="s">
        <v>4907</v>
      </c>
      <c r="C1779" s="37" t="s">
        <v>4908</v>
      </c>
      <c r="D1779" s="38" t="s">
        <v>392</v>
      </c>
      <c r="E1779" s="39" t="s">
        <v>102</v>
      </c>
      <c r="F1779" s="38" t="s">
        <v>102</v>
      </c>
      <c r="G1779" s="39" t="s">
        <v>102</v>
      </c>
      <c r="H1779" s="40">
        <v>0</v>
      </c>
      <c r="I1779" s="40">
        <v>0</v>
      </c>
      <c r="J1779" s="39" t="s">
        <v>4909</v>
      </c>
      <c r="K1779" s="41">
        <v>1</v>
      </c>
      <c r="L1779" s="41" t="s">
        <v>116</v>
      </c>
      <c r="M1779" s="38" t="s">
        <v>117</v>
      </c>
      <c r="N1779" s="42">
        <v>0</v>
      </c>
      <c r="O1779" s="42">
        <v>0</v>
      </c>
      <c r="P1779" s="42">
        <v>0</v>
      </c>
      <c r="Q1779" s="38" t="s">
        <v>102</v>
      </c>
      <c r="R1779" s="38" t="s">
        <v>102</v>
      </c>
      <c r="S1779" s="38" t="s">
        <v>102</v>
      </c>
      <c r="T1779" s="38" t="s">
        <v>118</v>
      </c>
      <c r="U1779" s="43">
        <v>4</v>
      </c>
    </row>
    <row r="1780" spans="2:21" ht="14.5" outlineLevel="3">
      <c r="B1780" s="44" t="s">
        <v>4910</v>
      </c>
      <c r="C1780" s="45" t="s">
        <v>4911</v>
      </c>
      <c r="D1780" s="46" t="s">
        <v>102</v>
      </c>
      <c r="E1780" s="47" t="s">
        <v>102</v>
      </c>
      <c r="F1780" s="46" t="s">
        <v>102</v>
      </c>
      <c r="G1780" s="47" t="s">
        <v>102</v>
      </c>
      <c r="H1780" s="48">
        <v>0</v>
      </c>
      <c r="I1780" s="48">
        <v>0</v>
      </c>
      <c r="J1780" s="47" t="s">
        <v>102</v>
      </c>
      <c r="K1780" s="49">
        <v>0</v>
      </c>
      <c r="L1780" s="49" t="s">
        <v>102</v>
      </c>
      <c r="M1780" s="46" t="s">
        <v>102</v>
      </c>
      <c r="N1780" s="50">
        <v>0</v>
      </c>
      <c r="O1780" s="50">
        <v>0</v>
      </c>
      <c r="P1780" s="50">
        <v>0</v>
      </c>
      <c r="Q1780" s="46" t="s">
        <v>102</v>
      </c>
      <c r="R1780" s="46" t="s">
        <v>102</v>
      </c>
      <c r="S1780" s="46" t="s">
        <v>4912</v>
      </c>
      <c r="T1780" s="46" t="s">
        <v>102</v>
      </c>
      <c r="U1780" s="51">
        <v>3</v>
      </c>
    </row>
    <row r="1781" spans="2:21" ht="14.5" outlineLevel="2">
      <c r="B1781" s="36" t="s">
        <v>4913</v>
      </c>
      <c r="C1781" s="37" t="s">
        <v>4914</v>
      </c>
      <c r="D1781" s="38" t="s">
        <v>392</v>
      </c>
      <c r="E1781" s="39" t="s">
        <v>102</v>
      </c>
      <c r="F1781" s="38" t="s">
        <v>102</v>
      </c>
      <c r="G1781" s="39" t="s">
        <v>102</v>
      </c>
      <c r="H1781" s="40">
        <v>0</v>
      </c>
      <c r="I1781" s="40">
        <v>0</v>
      </c>
      <c r="J1781" s="39" t="s">
        <v>4909</v>
      </c>
      <c r="K1781" s="41">
        <v>1</v>
      </c>
      <c r="L1781" s="41" t="s">
        <v>116</v>
      </c>
      <c r="M1781" s="38" t="s">
        <v>117</v>
      </c>
      <c r="N1781" s="42">
        <v>0</v>
      </c>
      <c r="O1781" s="42">
        <v>0</v>
      </c>
      <c r="P1781" s="42">
        <v>0</v>
      </c>
      <c r="Q1781" s="38" t="s">
        <v>102</v>
      </c>
      <c r="R1781" s="38" t="s">
        <v>102</v>
      </c>
      <c r="S1781" s="38" t="s">
        <v>102</v>
      </c>
      <c r="T1781" s="38" t="s">
        <v>118</v>
      </c>
      <c r="U1781" s="43">
        <v>4</v>
      </c>
    </row>
    <row r="1782" spans="2:21" ht="14.5" outlineLevel="3">
      <c r="B1782" s="44" t="s">
        <v>4915</v>
      </c>
      <c r="C1782" s="45" t="s">
        <v>4916</v>
      </c>
      <c r="D1782" s="46" t="s">
        <v>102</v>
      </c>
      <c r="E1782" s="47" t="s">
        <v>102</v>
      </c>
      <c r="F1782" s="46" t="s">
        <v>102</v>
      </c>
      <c r="G1782" s="47" t="s">
        <v>102</v>
      </c>
      <c r="H1782" s="48">
        <v>0</v>
      </c>
      <c r="I1782" s="48">
        <v>0</v>
      </c>
      <c r="J1782" s="47" t="s">
        <v>102</v>
      </c>
      <c r="K1782" s="49">
        <v>0</v>
      </c>
      <c r="L1782" s="49" t="s">
        <v>102</v>
      </c>
      <c r="M1782" s="46" t="s">
        <v>102</v>
      </c>
      <c r="N1782" s="50">
        <v>0</v>
      </c>
      <c r="O1782" s="50">
        <v>0</v>
      </c>
      <c r="P1782" s="50">
        <v>0</v>
      </c>
      <c r="Q1782" s="46" t="s">
        <v>102</v>
      </c>
      <c r="R1782" s="46" t="s">
        <v>102</v>
      </c>
      <c r="S1782" s="46" t="s">
        <v>4917</v>
      </c>
      <c r="T1782" s="46" t="s">
        <v>102</v>
      </c>
      <c r="U1782" s="51">
        <v>3</v>
      </c>
    </row>
    <row r="1783" spans="2:21" ht="14.5" outlineLevel="2">
      <c r="B1783" s="36" t="s">
        <v>4918</v>
      </c>
      <c r="C1783" s="37" t="s">
        <v>4919</v>
      </c>
      <c r="D1783" s="38" t="s">
        <v>392</v>
      </c>
      <c r="E1783" s="39" t="s">
        <v>102</v>
      </c>
      <c r="F1783" s="38" t="s">
        <v>102</v>
      </c>
      <c r="G1783" s="39" t="s">
        <v>102</v>
      </c>
      <c r="H1783" s="40">
        <v>0</v>
      </c>
      <c r="I1783" s="40">
        <v>0</v>
      </c>
      <c r="J1783" s="39" t="s">
        <v>4909</v>
      </c>
      <c r="K1783" s="41">
        <v>1</v>
      </c>
      <c r="L1783" s="41" t="s">
        <v>116</v>
      </c>
      <c r="M1783" s="38" t="s">
        <v>117</v>
      </c>
      <c r="N1783" s="42">
        <v>0</v>
      </c>
      <c r="O1783" s="42">
        <v>0</v>
      </c>
      <c r="P1783" s="42">
        <v>0</v>
      </c>
      <c r="Q1783" s="38" t="s">
        <v>102</v>
      </c>
      <c r="R1783" s="38" t="s">
        <v>102</v>
      </c>
      <c r="S1783" s="38" t="s">
        <v>102</v>
      </c>
      <c r="T1783" s="38" t="s">
        <v>118</v>
      </c>
      <c r="U1783" s="43">
        <v>4</v>
      </c>
    </row>
    <row r="1784" spans="2:21" ht="14.5" outlineLevel="3">
      <c r="B1784" s="44" t="s">
        <v>4920</v>
      </c>
      <c r="C1784" s="45" t="s">
        <v>4921</v>
      </c>
      <c r="D1784" s="46" t="s">
        <v>102</v>
      </c>
      <c r="E1784" s="47" t="s">
        <v>102</v>
      </c>
      <c r="F1784" s="46" t="s">
        <v>102</v>
      </c>
      <c r="G1784" s="47" t="s">
        <v>102</v>
      </c>
      <c r="H1784" s="48">
        <v>0</v>
      </c>
      <c r="I1784" s="48">
        <v>0</v>
      </c>
      <c r="J1784" s="47" t="s">
        <v>102</v>
      </c>
      <c r="K1784" s="49">
        <v>0</v>
      </c>
      <c r="L1784" s="49" t="s">
        <v>102</v>
      </c>
      <c r="M1784" s="46" t="s">
        <v>102</v>
      </c>
      <c r="N1784" s="50">
        <v>0</v>
      </c>
      <c r="O1784" s="50">
        <v>0</v>
      </c>
      <c r="P1784" s="50">
        <v>0</v>
      </c>
      <c r="Q1784" s="46" t="s">
        <v>102</v>
      </c>
      <c r="R1784" s="46" t="s">
        <v>102</v>
      </c>
      <c r="S1784" s="46" t="s">
        <v>4922</v>
      </c>
      <c r="T1784" s="46" t="s">
        <v>102</v>
      </c>
      <c r="U1784" s="51">
        <v>3</v>
      </c>
    </row>
    <row r="1785" spans="2:21" ht="14.5" outlineLevel="3">
      <c r="B1785" s="44" t="s">
        <v>4923</v>
      </c>
      <c r="C1785" s="45" t="s">
        <v>4924</v>
      </c>
      <c r="D1785" s="46" t="s">
        <v>392</v>
      </c>
      <c r="E1785" s="47" t="s">
        <v>102</v>
      </c>
      <c r="F1785" s="46" t="s">
        <v>102</v>
      </c>
      <c r="G1785" s="47" t="s">
        <v>102</v>
      </c>
      <c r="H1785" s="48">
        <v>0</v>
      </c>
      <c r="I1785" s="48">
        <v>0</v>
      </c>
      <c r="J1785" s="47" t="s">
        <v>4909</v>
      </c>
      <c r="K1785" s="49">
        <v>1</v>
      </c>
      <c r="L1785" s="49" t="s">
        <v>116</v>
      </c>
      <c r="M1785" s="46" t="s">
        <v>117</v>
      </c>
      <c r="N1785" s="50">
        <v>0</v>
      </c>
      <c r="O1785" s="50">
        <v>0</v>
      </c>
      <c r="P1785" s="50">
        <v>0</v>
      </c>
      <c r="Q1785" s="46" t="s">
        <v>102</v>
      </c>
      <c r="R1785" s="46" t="s">
        <v>102</v>
      </c>
      <c r="S1785" s="46" t="s">
        <v>102</v>
      </c>
      <c r="T1785" s="46" t="s">
        <v>118</v>
      </c>
      <c r="U1785" s="51">
        <v>4</v>
      </c>
    </row>
    <row r="1786" spans="2:21" ht="14.5" outlineLevel="1">
      <c r="B1786" s="28" t="s">
        <v>4925</v>
      </c>
      <c r="C1786" s="29" t="s">
        <v>4926</v>
      </c>
      <c r="D1786" s="30" t="s">
        <v>102</v>
      </c>
      <c r="E1786" s="31" t="s">
        <v>102</v>
      </c>
      <c r="F1786" s="30" t="s">
        <v>102</v>
      </c>
      <c r="G1786" s="31" t="s">
        <v>102</v>
      </c>
      <c r="H1786" s="32">
        <v>0</v>
      </c>
      <c r="I1786" s="32">
        <v>0</v>
      </c>
      <c r="J1786" s="31" t="s">
        <v>102</v>
      </c>
      <c r="K1786" s="33">
        <v>0</v>
      </c>
      <c r="L1786" s="33" t="s">
        <v>102</v>
      </c>
      <c r="M1786" s="30" t="s">
        <v>102</v>
      </c>
      <c r="N1786" s="34">
        <v>0</v>
      </c>
      <c r="O1786" s="34">
        <v>0</v>
      </c>
      <c r="P1786" s="34">
        <v>0</v>
      </c>
      <c r="Q1786" s="30" t="s">
        <v>102</v>
      </c>
      <c r="R1786" s="30" t="s">
        <v>102</v>
      </c>
      <c r="S1786" s="30" t="s">
        <v>4927</v>
      </c>
      <c r="T1786" s="30" t="s">
        <v>102</v>
      </c>
      <c r="U1786" s="35">
        <v>3</v>
      </c>
    </row>
    <row r="1787" spans="2:21" ht="14.5" outlineLevel="2">
      <c r="B1787" s="36" t="s">
        <v>4928</v>
      </c>
      <c r="C1787" s="37" t="s">
        <v>4929</v>
      </c>
      <c r="D1787" s="38" t="s">
        <v>392</v>
      </c>
      <c r="E1787" s="39" t="s">
        <v>102</v>
      </c>
      <c r="F1787" s="38" t="s">
        <v>102</v>
      </c>
      <c r="G1787" s="39" t="s">
        <v>102</v>
      </c>
      <c r="H1787" s="40">
        <v>0</v>
      </c>
      <c r="I1787" s="40">
        <v>0</v>
      </c>
      <c r="J1787" s="39" t="s">
        <v>4909</v>
      </c>
      <c r="K1787" s="41">
        <v>1</v>
      </c>
      <c r="L1787" s="41" t="s">
        <v>116</v>
      </c>
      <c r="M1787" s="38" t="s">
        <v>117</v>
      </c>
      <c r="N1787" s="42">
        <v>0</v>
      </c>
      <c r="O1787" s="42">
        <v>0</v>
      </c>
      <c r="P1787" s="42">
        <v>0</v>
      </c>
      <c r="Q1787" s="38" t="s">
        <v>102</v>
      </c>
      <c r="R1787" s="38" t="s">
        <v>102</v>
      </c>
      <c r="S1787" s="38" t="s">
        <v>102</v>
      </c>
      <c r="T1787" s="38" t="s">
        <v>118</v>
      </c>
      <c r="U1787" s="43">
        <v>4</v>
      </c>
    </row>
    <row r="1788" spans="2:21" ht="14.5" outlineLevel="3">
      <c r="B1788" s="44" t="s">
        <v>4930</v>
      </c>
      <c r="C1788" s="45" t="s">
        <v>4931</v>
      </c>
      <c r="D1788" s="46" t="s">
        <v>102</v>
      </c>
      <c r="E1788" s="47" t="s">
        <v>102</v>
      </c>
      <c r="F1788" s="46" t="s">
        <v>102</v>
      </c>
      <c r="G1788" s="47" t="s">
        <v>102</v>
      </c>
      <c r="H1788" s="48">
        <v>0</v>
      </c>
      <c r="I1788" s="48">
        <v>0</v>
      </c>
      <c r="J1788" s="47" t="s">
        <v>102</v>
      </c>
      <c r="K1788" s="49">
        <v>0</v>
      </c>
      <c r="L1788" s="49" t="s">
        <v>102</v>
      </c>
      <c r="M1788" s="46" t="s">
        <v>102</v>
      </c>
      <c r="N1788" s="50">
        <v>0</v>
      </c>
      <c r="O1788" s="50">
        <v>0</v>
      </c>
      <c r="P1788" s="50">
        <v>0</v>
      </c>
      <c r="Q1788" s="46" t="s">
        <v>102</v>
      </c>
      <c r="R1788" s="46" t="s">
        <v>102</v>
      </c>
      <c r="S1788" s="46" t="s">
        <v>4932</v>
      </c>
      <c r="T1788" s="46" t="s">
        <v>102</v>
      </c>
      <c r="U1788" s="51">
        <v>3</v>
      </c>
    </row>
    <row r="1789" spans="2:21" ht="14.5" outlineLevel="3">
      <c r="B1789" s="44" t="s">
        <v>4933</v>
      </c>
      <c r="C1789" s="45" t="s">
        <v>4934</v>
      </c>
      <c r="D1789" s="46" t="s">
        <v>392</v>
      </c>
      <c r="E1789" s="47" t="s">
        <v>102</v>
      </c>
      <c r="F1789" s="46" t="s">
        <v>102</v>
      </c>
      <c r="G1789" s="47" t="s">
        <v>102</v>
      </c>
      <c r="H1789" s="48">
        <v>0</v>
      </c>
      <c r="I1789" s="48">
        <v>0</v>
      </c>
      <c r="J1789" s="47" t="s">
        <v>4909</v>
      </c>
      <c r="K1789" s="49">
        <v>1</v>
      </c>
      <c r="L1789" s="49" t="s">
        <v>116</v>
      </c>
      <c r="M1789" s="46" t="s">
        <v>117</v>
      </c>
      <c r="N1789" s="50">
        <v>0</v>
      </c>
      <c r="O1789" s="50">
        <v>0</v>
      </c>
      <c r="P1789" s="50">
        <v>0</v>
      </c>
      <c r="Q1789" s="46" t="s">
        <v>102</v>
      </c>
      <c r="R1789" s="46" t="s">
        <v>102</v>
      </c>
      <c r="S1789" s="46" t="s">
        <v>102</v>
      </c>
      <c r="T1789" s="46" t="s">
        <v>3431</v>
      </c>
      <c r="U1789" s="51">
        <v>4</v>
      </c>
    </row>
    <row r="1790" spans="2:21" ht="14.5" outlineLevel="3">
      <c r="B1790" s="44" t="s">
        <v>4935</v>
      </c>
      <c r="C1790" s="45" t="s">
        <v>4936</v>
      </c>
      <c r="D1790" s="46" t="s">
        <v>102</v>
      </c>
      <c r="E1790" s="47" t="s">
        <v>102</v>
      </c>
      <c r="F1790" s="46" t="s">
        <v>102</v>
      </c>
      <c r="G1790" s="47" t="s">
        <v>102</v>
      </c>
      <c r="H1790" s="48">
        <v>0</v>
      </c>
      <c r="I1790" s="48">
        <v>0</v>
      </c>
      <c r="J1790" s="47" t="s">
        <v>102</v>
      </c>
      <c r="K1790" s="49">
        <v>0</v>
      </c>
      <c r="L1790" s="49" t="s">
        <v>102</v>
      </c>
      <c r="M1790" s="46" t="s">
        <v>102</v>
      </c>
      <c r="N1790" s="50">
        <v>0</v>
      </c>
      <c r="O1790" s="50">
        <v>0</v>
      </c>
      <c r="P1790" s="50">
        <v>0</v>
      </c>
      <c r="Q1790" s="46" t="s">
        <v>102</v>
      </c>
      <c r="R1790" s="46" t="s">
        <v>102</v>
      </c>
      <c r="S1790" s="46" t="s">
        <v>2530</v>
      </c>
      <c r="T1790" s="46" t="s">
        <v>102</v>
      </c>
      <c r="U1790" s="51">
        <v>3</v>
      </c>
    </row>
    <row r="1791" spans="2:21" ht="14.5" outlineLevel="3">
      <c r="B1791" s="44" t="s">
        <v>4937</v>
      </c>
      <c r="C1791" s="45" t="s">
        <v>4938</v>
      </c>
      <c r="D1791" s="46" t="s">
        <v>4002</v>
      </c>
      <c r="E1791" s="47" t="s">
        <v>102</v>
      </c>
      <c r="F1791" s="46" t="s">
        <v>102</v>
      </c>
      <c r="G1791" s="47" t="s">
        <v>102</v>
      </c>
      <c r="H1791" s="48">
        <v>0</v>
      </c>
      <c r="I1791" s="48">
        <v>0</v>
      </c>
      <c r="J1791" s="47" t="s">
        <v>4909</v>
      </c>
      <c r="K1791" s="49">
        <v>1</v>
      </c>
      <c r="L1791" s="49" t="s">
        <v>116</v>
      </c>
      <c r="M1791" s="46" t="s">
        <v>117</v>
      </c>
      <c r="N1791" s="50">
        <v>0</v>
      </c>
      <c r="O1791" s="50">
        <v>0</v>
      </c>
      <c r="P1791" s="50">
        <v>0</v>
      </c>
      <c r="Q1791" s="46" t="s">
        <v>102</v>
      </c>
      <c r="R1791" s="46" t="s">
        <v>102</v>
      </c>
      <c r="S1791" s="46" t="s">
        <v>102</v>
      </c>
      <c r="T1791" s="46" t="s">
        <v>1019</v>
      </c>
      <c r="U1791" s="51">
        <v>4</v>
      </c>
    </row>
    <row r="1792" spans="2:21" ht="14.5" outlineLevel="2">
      <c r="B1792" s="36" t="s">
        <v>4939</v>
      </c>
      <c r="C1792" s="37" t="s">
        <v>4940</v>
      </c>
      <c r="D1792" s="38" t="s">
        <v>392</v>
      </c>
      <c r="E1792" s="39" t="s">
        <v>102</v>
      </c>
      <c r="F1792" s="38" t="s">
        <v>102</v>
      </c>
      <c r="G1792" s="39" t="s">
        <v>102</v>
      </c>
      <c r="H1792" s="40">
        <v>0</v>
      </c>
      <c r="I1792" s="40">
        <v>0</v>
      </c>
      <c r="J1792" s="39" t="s">
        <v>4909</v>
      </c>
      <c r="K1792" s="41">
        <v>1</v>
      </c>
      <c r="L1792" s="41" t="s">
        <v>116</v>
      </c>
      <c r="M1792" s="38" t="s">
        <v>117</v>
      </c>
      <c r="N1792" s="42">
        <v>0</v>
      </c>
      <c r="O1792" s="42">
        <v>0</v>
      </c>
      <c r="P1792" s="42">
        <v>0</v>
      </c>
      <c r="Q1792" s="38" t="s">
        <v>102</v>
      </c>
      <c r="R1792" s="38" t="s">
        <v>102</v>
      </c>
      <c r="S1792" s="38" t="s">
        <v>102</v>
      </c>
      <c r="T1792" s="38" t="s">
        <v>2795</v>
      </c>
      <c r="U1792" s="43">
        <v>4</v>
      </c>
    </row>
    <row r="1793" spans="2:21" ht="14.5" outlineLevel="3">
      <c r="B1793" s="44" t="s">
        <v>4941</v>
      </c>
      <c r="C1793" s="45" t="s">
        <v>4942</v>
      </c>
      <c r="D1793" s="46" t="s">
        <v>102</v>
      </c>
      <c r="E1793" s="47" t="s">
        <v>102</v>
      </c>
      <c r="F1793" s="46" t="s">
        <v>102</v>
      </c>
      <c r="G1793" s="47" t="s">
        <v>102</v>
      </c>
      <c r="H1793" s="48">
        <v>0</v>
      </c>
      <c r="I1793" s="48">
        <v>0</v>
      </c>
      <c r="J1793" s="47" t="s">
        <v>102</v>
      </c>
      <c r="K1793" s="49">
        <v>0</v>
      </c>
      <c r="L1793" s="49" t="s">
        <v>102</v>
      </c>
      <c r="M1793" s="46" t="s">
        <v>102</v>
      </c>
      <c r="N1793" s="50">
        <v>0</v>
      </c>
      <c r="O1793" s="50">
        <v>0</v>
      </c>
      <c r="P1793" s="50">
        <v>0</v>
      </c>
      <c r="Q1793" s="46" t="s">
        <v>102</v>
      </c>
      <c r="R1793" s="46" t="s">
        <v>4943</v>
      </c>
      <c r="S1793" s="46" t="s">
        <v>102</v>
      </c>
      <c r="T1793" s="46" t="s">
        <v>102</v>
      </c>
      <c r="U1793" s="51">
        <v>2</v>
      </c>
    </row>
    <row r="1794" spans="2:21" ht="14.5" outlineLevel="2">
      <c r="B1794" s="36" t="s">
        <v>4944</v>
      </c>
      <c r="C1794" s="37" t="s">
        <v>4945</v>
      </c>
      <c r="D1794" s="38" t="s">
        <v>102</v>
      </c>
      <c r="E1794" s="39" t="s">
        <v>102</v>
      </c>
      <c r="F1794" s="38" t="s">
        <v>102</v>
      </c>
      <c r="G1794" s="39" t="s">
        <v>102</v>
      </c>
      <c r="H1794" s="40">
        <v>0</v>
      </c>
      <c r="I1794" s="40">
        <v>0</v>
      </c>
      <c r="J1794" s="39" t="s">
        <v>102</v>
      </c>
      <c r="K1794" s="41">
        <v>0</v>
      </c>
      <c r="L1794" s="41" t="s">
        <v>102</v>
      </c>
      <c r="M1794" s="38" t="s">
        <v>102</v>
      </c>
      <c r="N1794" s="42">
        <v>0</v>
      </c>
      <c r="O1794" s="42">
        <v>0</v>
      </c>
      <c r="P1794" s="42">
        <v>0</v>
      </c>
      <c r="Q1794" s="38" t="s">
        <v>102</v>
      </c>
      <c r="R1794" s="38" t="s">
        <v>102</v>
      </c>
      <c r="S1794" s="38" t="s">
        <v>4946</v>
      </c>
      <c r="T1794" s="38" t="s">
        <v>102</v>
      </c>
      <c r="U1794" s="43">
        <v>3</v>
      </c>
    </row>
    <row r="1795" spans="2:21" ht="14.5" outlineLevel="2">
      <c r="B1795" s="44" t="s">
        <v>4947</v>
      </c>
      <c r="C1795" s="45" t="s">
        <v>4948</v>
      </c>
      <c r="D1795" s="46" t="s">
        <v>392</v>
      </c>
      <c r="E1795" s="47" t="s">
        <v>102</v>
      </c>
      <c r="F1795" s="46" t="s">
        <v>102</v>
      </c>
      <c r="G1795" s="47" t="s">
        <v>102</v>
      </c>
      <c r="H1795" s="48">
        <v>0</v>
      </c>
      <c r="I1795" s="48">
        <v>0</v>
      </c>
      <c r="J1795" s="47" t="s">
        <v>4864</v>
      </c>
      <c r="K1795" s="49">
        <v>0</v>
      </c>
      <c r="L1795" s="49" t="s">
        <v>116</v>
      </c>
      <c r="M1795" s="46" t="s">
        <v>117</v>
      </c>
      <c r="N1795" s="50">
        <v>0</v>
      </c>
      <c r="O1795" s="50">
        <v>0</v>
      </c>
      <c r="P1795" s="50">
        <v>0</v>
      </c>
      <c r="Q1795" s="46" t="s">
        <v>102</v>
      </c>
      <c r="R1795" s="46" t="s">
        <v>102</v>
      </c>
      <c r="S1795" s="46" t="s">
        <v>102</v>
      </c>
      <c r="T1795" s="46" t="s">
        <v>1019</v>
      </c>
      <c r="U1795" s="51">
        <v>4</v>
      </c>
    </row>
    <row r="1796" spans="2:21" ht="15" outlineLevel="2" thickBot="1">
      <c r="B1796" s="60" t="s">
        <v>4949</v>
      </c>
      <c r="C1796" s="61" t="s">
        <v>4950</v>
      </c>
      <c r="D1796" s="62" t="s">
        <v>392</v>
      </c>
      <c r="E1796" s="63" t="s">
        <v>102</v>
      </c>
      <c r="F1796" s="62" t="s">
        <v>102</v>
      </c>
      <c r="G1796" s="63" t="s">
        <v>102</v>
      </c>
      <c r="H1796" s="64">
        <v>0</v>
      </c>
      <c r="I1796" s="64">
        <v>0</v>
      </c>
      <c r="J1796" s="63" t="s">
        <v>4864</v>
      </c>
      <c r="K1796" s="65">
        <v>0</v>
      </c>
      <c r="L1796" s="65" t="s">
        <v>116</v>
      </c>
      <c r="M1796" s="62" t="s">
        <v>117</v>
      </c>
      <c r="N1796" s="66">
        <v>0</v>
      </c>
      <c r="O1796" s="66">
        <v>0</v>
      </c>
      <c r="P1796" s="66">
        <v>0</v>
      </c>
      <c r="Q1796" s="62" t="s">
        <v>102</v>
      </c>
      <c r="R1796" s="62" t="s">
        <v>102</v>
      </c>
      <c r="S1796" s="62" t="s">
        <v>102</v>
      </c>
      <c r="T1796" s="62" t="s">
        <v>2815</v>
      </c>
      <c r="U1796" s="67">
        <v>4</v>
      </c>
    </row>
    <row r="1797" spans="2:21">
      <c r="B1797" s="12" t="s">
        <v>4951</v>
      </c>
      <c r="C1797" s="12" t="s">
        <v>4952</v>
      </c>
      <c r="D1797" s="12" t="s">
        <v>392</v>
      </c>
      <c r="E1797" s="12" t="s">
        <v>102</v>
      </c>
      <c r="F1797" s="12" t="s">
        <v>102</v>
      </c>
      <c r="G1797" s="12" t="s">
        <v>102</v>
      </c>
      <c r="H1797" s="12">
        <v>0</v>
      </c>
      <c r="I1797" s="12">
        <v>0</v>
      </c>
      <c r="J1797" s="12" t="s">
        <v>4864</v>
      </c>
      <c r="K1797" s="12">
        <v>0</v>
      </c>
      <c r="L1797" s="12" t="s">
        <v>116</v>
      </c>
      <c r="M1797" s="12" t="s">
        <v>117</v>
      </c>
      <c r="N1797" s="12">
        <v>0</v>
      </c>
      <c r="O1797" s="12">
        <v>0</v>
      </c>
      <c r="P1797" s="12">
        <v>0</v>
      </c>
      <c r="Q1797" s="12" t="s">
        <v>102</v>
      </c>
      <c r="R1797" s="12" t="s">
        <v>102</v>
      </c>
      <c r="S1797" s="12" t="s">
        <v>102</v>
      </c>
      <c r="T1797" s="12" t="s">
        <v>461</v>
      </c>
      <c r="U1797" s="12">
        <v>4</v>
      </c>
    </row>
    <row r="1798" spans="2:21">
      <c r="B1798" s="12" t="s">
        <v>4953</v>
      </c>
      <c r="C1798" s="12" t="s">
        <v>4954</v>
      </c>
      <c r="D1798" s="12" t="s">
        <v>392</v>
      </c>
      <c r="E1798" s="12" t="s">
        <v>102</v>
      </c>
      <c r="F1798" s="12" t="s">
        <v>102</v>
      </c>
      <c r="G1798" s="12" t="s">
        <v>102</v>
      </c>
      <c r="H1798" s="12">
        <v>0</v>
      </c>
      <c r="I1798" s="12">
        <v>0</v>
      </c>
      <c r="J1798" s="12" t="s">
        <v>4864</v>
      </c>
      <c r="K1798" s="12">
        <v>0</v>
      </c>
      <c r="L1798" s="12" t="s">
        <v>116</v>
      </c>
      <c r="M1798" s="12" t="s">
        <v>117</v>
      </c>
      <c r="N1798" s="12">
        <v>0</v>
      </c>
      <c r="O1798" s="12">
        <v>0</v>
      </c>
      <c r="P1798" s="12">
        <v>0</v>
      </c>
      <c r="Q1798" s="12" t="s">
        <v>102</v>
      </c>
      <c r="R1798" s="12" t="s">
        <v>102</v>
      </c>
      <c r="S1798" s="12" t="s">
        <v>102</v>
      </c>
      <c r="T1798" s="12" t="s">
        <v>3608</v>
      </c>
      <c r="U1798" s="12">
        <v>4</v>
      </c>
    </row>
    <row r="1799" spans="2:21">
      <c r="B1799" s="12" t="s">
        <v>4955</v>
      </c>
      <c r="C1799" s="12" t="s">
        <v>4956</v>
      </c>
      <c r="D1799" s="12" t="s">
        <v>102</v>
      </c>
      <c r="E1799" s="12" t="s">
        <v>102</v>
      </c>
      <c r="F1799" s="12" t="s">
        <v>102</v>
      </c>
      <c r="G1799" s="12" t="s">
        <v>102</v>
      </c>
      <c r="H1799" s="12">
        <v>0</v>
      </c>
      <c r="I1799" s="12">
        <v>0</v>
      </c>
      <c r="J1799" s="12" t="s">
        <v>102</v>
      </c>
      <c r="K1799" s="12">
        <v>0</v>
      </c>
      <c r="L1799" s="12" t="s">
        <v>102</v>
      </c>
      <c r="M1799" s="12" t="s">
        <v>102</v>
      </c>
      <c r="N1799" s="12">
        <v>0</v>
      </c>
      <c r="O1799" s="12">
        <v>0</v>
      </c>
      <c r="P1799" s="12">
        <v>0</v>
      </c>
      <c r="Q1799" s="12" t="s">
        <v>102</v>
      </c>
      <c r="R1799" s="12" t="s">
        <v>102</v>
      </c>
      <c r="S1799" s="12" t="s">
        <v>4957</v>
      </c>
      <c r="T1799" s="12" t="s">
        <v>102</v>
      </c>
      <c r="U1799" s="12">
        <v>3</v>
      </c>
    </row>
    <row r="1800" spans="2:21">
      <c r="B1800" s="12" t="s">
        <v>4958</v>
      </c>
      <c r="C1800" s="12" t="s">
        <v>4959</v>
      </c>
      <c r="D1800" s="12" t="s">
        <v>392</v>
      </c>
      <c r="E1800" s="12" t="s">
        <v>102</v>
      </c>
      <c r="F1800" s="12" t="s">
        <v>102</v>
      </c>
      <c r="G1800" s="12" t="s">
        <v>102</v>
      </c>
      <c r="H1800" s="12">
        <v>0</v>
      </c>
      <c r="I1800" s="12">
        <v>0</v>
      </c>
      <c r="J1800" s="12" t="s">
        <v>4281</v>
      </c>
      <c r="K1800" s="12">
        <v>0</v>
      </c>
      <c r="L1800" s="12" t="s">
        <v>116</v>
      </c>
      <c r="M1800" s="12" t="s">
        <v>117</v>
      </c>
      <c r="N1800" s="12">
        <v>0</v>
      </c>
      <c r="O1800" s="12">
        <v>0</v>
      </c>
      <c r="P1800" s="12">
        <v>0</v>
      </c>
      <c r="Q1800" s="12" t="s">
        <v>102</v>
      </c>
      <c r="R1800" s="12" t="s">
        <v>102</v>
      </c>
      <c r="S1800" s="12" t="s">
        <v>102</v>
      </c>
      <c r="T1800" s="12" t="s">
        <v>3431</v>
      </c>
      <c r="U1800" s="12">
        <v>4</v>
      </c>
    </row>
    <row r="1801" spans="2:21">
      <c r="B1801" s="12" t="s">
        <v>4960</v>
      </c>
      <c r="C1801" s="12" t="s">
        <v>4961</v>
      </c>
      <c r="D1801" s="12" t="s">
        <v>102</v>
      </c>
      <c r="E1801" s="12" t="s">
        <v>102</v>
      </c>
      <c r="F1801" s="12" t="s">
        <v>102</v>
      </c>
      <c r="G1801" s="12" t="s">
        <v>102</v>
      </c>
      <c r="H1801" s="12">
        <v>0</v>
      </c>
      <c r="I1801" s="12">
        <v>0</v>
      </c>
      <c r="J1801" s="12" t="s">
        <v>102</v>
      </c>
      <c r="K1801" s="12">
        <v>0</v>
      </c>
      <c r="L1801" s="12" t="s">
        <v>102</v>
      </c>
      <c r="M1801" s="12" t="s">
        <v>102</v>
      </c>
      <c r="N1801" s="12">
        <v>0</v>
      </c>
      <c r="O1801" s="12">
        <v>0</v>
      </c>
      <c r="P1801" s="12">
        <v>0</v>
      </c>
      <c r="Q1801" s="12" t="s">
        <v>102</v>
      </c>
      <c r="R1801" s="12" t="s">
        <v>102</v>
      </c>
      <c r="S1801" s="12" t="s">
        <v>2530</v>
      </c>
      <c r="T1801" s="12" t="s">
        <v>102</v>
      </c>
      <c r="U1801" s="12">
        <v>3</v>
      </c>
    </row>
    <row r="1802" spans="2:21">
      <c r="B1802" s="12" t="s">
        <v>4962</v>
      </c>
      <c r="C1802" s="12" t="s">
        <v>4963</v>
      </c>
      <c r="D1802" s="12" t="s">
        <v>4002</v>
      </c>
      <c r="E1802" s="12" t="s">
        <v>102</v>
      </c>
      <c r="F1802" s="12" t="s">
        <v>102</v>
      </c>
      <c r="G1802" s="12" t="s">
        <v>102</v>
      </c>
      <c r="H1802" s="12">
        <v>0</v>
      </c>
      <c r="I1802" s="12">
        <v>0</v>
      </c>
      <c r="J1802" s="12" t="s">
        <v>4281</v>
      </c>
      <c r="K1802" s="12">
        <v>0</v>
      </c>
      <c r="L1802" s="12" t="s">
        <v>116</v>
      </c>
      <c r="M1802" s="12" t="s">
        <v>117</v>
      </c>
      <c r="N1802" s="12">
        <v>0</v>
      </c>
      <c r="O1802" s="12">
        <v>0</v>
      </c>
      <c r="P1802" s="12">
        <v>0</v>
      </c>
      <c r="Q1802" s="12" t="s">
        <v>102</v>
      </c>
      <c r="R1802" s="12" t="s">
        <v>102</v>
      </c>
      <c r="S1802" s="12" t="s">
        <v>102</v>
      </c>
      <c r="T1802" s="12" t="s">
        <v>1019</v>
      </c>
      <c r="U1802" s="12">
        <v>4</v>
      </c>
    </row>
    <row r="1803" spans="2:21">
      <c r="B1803" s="12" t="s">
        <v>5181</v>
      </c>
      <c r="C1803" s="12" t="s">
        <v>5182</v>
      </c>
      <c r="D1803" s="12" t="s">
        <v>392</v>
      </c>
      <c r="E1803" s="12" t="s">
        <v>102</v>
      </c>
      <c r="F1803" s="12" t="s">
        <v>102</v>
      </c>
      <c r="G1803" s="12" t="s">
        <v>102</v>
      </c>
      <c r="H1803" s="12">
        <v>0</v>
      </c>
      <c r="I1803" s="12">
        <v>0</v>
      </c>
      <c r="J1803" s="12" t="s">
        <v>102</v>
      </c>
      <c r="K1803" s="12">
        <v>0</v>
      </c>
      <c r="L1803" s="12" t="s">
        <v>116</v>
      </c>
      <c r="M1803" s="12" t="s">
        <v>102</v>
      </c>
      <c r="N1803" s="12">
        <v>0</v>
      </c>
      <c r="O1803" s="12">
        <v>0</v>
      </c>
      <c r="P1803" s="12">
        <v>0</v>
      </c>
      <c r="Q1803" s="12" t="s">
        <v>102</v>
      </c>
      <c r="R1803" s="12" t="s">
        <v>102</v>
      </c>
      <c r="S1803" s="12" t="s">
        <v>102</v>
      </c>
      <c r="T1803" s="12" t="s">
        <v>2815</v>
      </c>
      <c r="U1803" s="12">
        <v>4</v>
      </c>
    </row>
    <row r="1804" spans="2:21">
      <c r="B1804" s="12" t="s">
        <v>4964</v>
      </c>
      <c r="C1804" s="12" t="s">
        <v>4965</v>
      </c>
      <c r="D1804" s="12" t="s">
        <v>392</v>
      </c>
      <c r="E1804" s="12" t="s">
        <v>102</v>
      </c>
      <c r="F1804" s="12" t="s">
        <v>102</v>
      </c>
      <c r="G1804" s="12" t="s">
        <v>102</v>
      </c>
      <c r="H1804" s="12">
        <v>0</v>
      </c>
      <c r="I1804" s="12">
        <v>0</v>
      </c>
      <c r="J1804" s="12" t="s">
        <v>4281</v>
      </c>
      <c r="K1804" s="12">
        <v>0</v>
      </c>
      <c r="L1804" s="12" t="s">
        <v>116</v>
      </c>
      <c r="M1804" s="12" t="s">
        <v>117</v>
      </c>
      <c r="N1804" s="12">
        <v>0</v>
      </c>
      <c r="O1804" s="12">
        <v>0</v>
      </c>
      <c r="P1804" s="12">
        <v>0</v>
      </c>
      <c r="Q1804" s="12" t="s">
        <v>102</v>
      </c>
      <c r="R1804" s="12" t="s">
        <v>102</v>
      </c>
      <c r="S1804" s="12" t="s">
        <v>102</v>
      </c>
      <c r="T1804" s="12" t="s">
        <v>2795</v>
      </c>
      <c r="U1804" s="1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D4F7-992B-4C6C-B956-AF976C5A72B4}">
  <sheetPr codeName="Sheet8"/>
  <dimension ref="F6:BO52"/>
  <sheetViews>
    <sheetView workbookViewId="0"/>
  </sheetViews>
  <sheetFormatPr defaultRowHeight="14.5"/>
  <cols>
    <col min="6" max="6" width="13.26953125" bestFit="1" customWidth="1"/>
    <col min="7" max="12" width="8.90625" bestFit="1" customWidth="1"/>
    <col min="13" max="13" width="12.54296875" bestFit="1" customWidth="1"/>
    <col min="14" max="14" width="11.81640625" bestFit="1" customWidth="1"/>
    <col min="15" max="66" width="8.90625" bestFit="1" customWidth="1"/>
    <col min="67" max="67" width="11.81640625" bestFit="1" customWidth="1"/>
  </cols>
  <sheetData>
    <row r="6" spans="6:67">
      <c r="G6" s="4">
        <v>45292</v>
      </c>
      <c r="H6" s="4">
        <v>45323</v>
      </c>
      <c r="I6" s="4">
        <v>45352</v>
      </c>
      <c r="J6" s="4">
        <v>45383</v>
      </c>
      <c r="K6" s="4">
        <v>45413</v>
      </c>
      <c r="L6" s="4">
        <v>45444</v>
      </c>
      <c r="M6" s="4">
        <v>45474</v>
      </c>
      <c r="N6" s="4">
        <v>45505</v>
      </c>
      <c r="O6" s="4">
        <v>45536</v>
      </c>
      <c r="P6" s="4">
        <v>45566</v>
      </c>
      <c r="Q6" s="4">
        <v>45597</v>
      </c>
      <c r="R6" s="4">
        <v>45627</v>
      </c>
      <c r="S6" s="4">
        <v>45658</v>
      </c>
      <c r="T6" s="4">
        <v>45689</v>
      </c>
      <c r="U6" s="4">
        <v>45717</v>
      </c>
      <c r="V6" s="4">
        <v>45748</v>
      </c>
      <c r="W6" s="4">
        <v>45778</v>
      </c>
      <c r="X6" s="4">
        <v>45809</v>
      </c>
      <c r="Y6" s="4">
        <v>45839</v>
      </c>
      <c r="Z6" s="4">
        <v>45870</v>
      </c>
      <c r="AA6" s="4">
        <v>45901</v>
      </c>
      <c r="AB6" s="4">
        <v>45931</v>
      </c>
      <c r="AC6" s="4">
        <v>45962</v>
      </c>
      <c r="AD6" s="4">
        <v>45992</v>
      </c>
      <c r="AE6" s="4">
        <v>46023</v>
      </c>
      <c r="AF6" s="4">
        <v>46054</v>
      </c>
      <c r="AG6" s="4">
        <v>46082</v>
      </c>
      <c r="AH6" s="4">
        <v>46113</v>
      </c>
      <c r="AI6" s="4">
        <v>46143</v>
      </c>
      <c r="AJ6" s="4">
        <v>46174</v>
      </c>
      <c r="AK6" s="4">
        <v>46204</v>
      </c>
      <c r="AL6" s="4">
        <v>46235</v>
      </c>
      <c r="AM6" s="4">
        <v>46266</v>
      </c>
      <c r="AN6" s="4">
        <v>46296</v>
      </c>
      <c r="AO6" s="4">
        <v>46327</v>
      </c>
      <c r="AP6" s="4">
        <v>46357</v>
      </c>
      <c r="AQ6" s="4">
        <v>46388</v>
      </c>
      <c r="AR6" s="4">
        <v>46419</v>
      </c>
      <c r="AS6" s="4">
        <v>46447</v>
      </c>
      <c r="AT6" s="4">
        <v>46478</v>
      </c>
      <c r="AU6" s="4">
        <v>46508</v>
      </c>
      <c r="AV6" s="4">
        <v>46539</v>
      </c>
      <c r="AW6" s="4">
        <v>46569</v>
      </c>
      <c r="AX6" s="4">
        <v>46600</v>
      </c>
      <c r="AY6" s="4">
        <v>46631</v>
      </c>
      <c r="AZ6" s="4">
        <v>46661</v>
      </c>
      <c r="BA6" s="4">
        <v>46692</v>
      </c>
      <c r="BB6" s="4">
        <v>46722</v>
      </c>
      <c r="BC6" s="4">
        <v>46753</v>
      </c>
      <c r="BD6" s="4">
        <v>46784</v>
      </c>
      <c r="BE6" s="4">
        <v>46813</v>
      </c>
      <c r="BF6" s="4">
        <v>46844</v>
      </c>
      <c r="BG6" s="4">
        <v>46874</v>
      </c>
      <c r="BH6" s="4">
        <v>46905</v>
      </c>
      <c r="BI6" s="4">
        <v>46935</v>
      </c>
      <c r="BJ6" s="4">
        <v>46966</v>
      </c>
      <c r="BK6" s="4">
        <v>46997</v>
      </c>
      <c r="BL6" s="4">
        <v>47027</v>
      </c>
      <c r="BM6" s="4">
        <v>47058</v>
      </c>
      <c r="BN6" s="4">
        <v>47088</v>
      </c>
    </row>
    <row r="7" spans="6:67">
      <c r="F7" t="s">
        <v>34</v>
      </c>
      <c r="G7">
        <v>0</v>
      </c>
      <c r="H7">
        <v>1604531.375</v>
      </c>
      <c r="I7">
        <v>3197090.8449999997</v>
      </c>
      <c r="J7">
        <v>9888175.3219200019</v>
      </c>
      <c r="K7">
        <v>21135944.233759999</v>
      </c>
      <c r="L7">
        <v>21486741.613599997</v>
      </c>
      <c r="M7">
        <v>24975706.867599998</v>
      </c>
      <c r="N7">
        <v>20361983.877760001</v>
      </c>
      <c r="O7">
        <v>20499074.447360005</v>
      </c>
      <c r="P7">
        <v>19557266.724799998</v>
      </c>
      <c r="Q7">
        <v>10985838.8576</v>
      </c>
      <c r="R7">
        <v>12242553.057599999</v>
      </c>
      <c r="S7">
        <v>10087777.324000001</v>
      </c>
      <c r="T7">
        <v>9437163.9167999998</v>
      </c>
      <c r="U7">
        <v>9192617.6399999987</v>
      </c>
      <c r="V7">
        <v>7429842.6432000007</v>
      </c>
      <c r="W7">
        <v>8940045.7241599988</v>
      </c>
      <c r="X7">
        <v>6623569.6272000009</v>
      </c>
      <c r="Y7">
        <v>8725962.2908800021</v>
      </c>
      <c r="Z7">
        <v>8549295.9398400001</v>
      </c>
      <c r="AA7">
        <v>7987715.1398400003</v>
      </c>
      <c r="AB7">
        <v>7987715.1398400003</v>
      </c>
      <c r="AC7">
        <v>7987715.1398400003</v>
      </c>
      <c r="AD7">
        <v>7987715.1398400003</v>
      </c>
      <c r="AE7">
        <v>7987715.1398400003</v>
      </c>
      <c r="AF7">
        <v>7987715.1398400003</v>
      </c>
      <c r="AG7">
        <v>5990786.3548800014</v>
      </c>
      <c r="AH7">
        <v>7538126.5046400009</v>
      </c>
      <c r="AI7">
        <v>8221159.2101600002</v>
      </c>
      <c r="AJ7">
        <v>7884575.9536000006</v>
      </c>
      <c r="AK7">
        <v>11410071.548800001</v>
      </c>
      <c r="AL7">
        <v>11437004.888800001</v>
      </c>
      <c r="AM7">
        <v>11561190.2688</v>
      </c>
      <c r="AN7">
        <v>11612472.2688</v>
      </c>
      <c r="AO7">
        <v>9035296.1135999989</v>
      </c>
      <c r="AP7">
        <v>2056915.08</v>
      </c>
      <c r="AQ7">
        <v>0</v>
      </c>
      <c r="AR7">
        <v>0</v>
      </c>
      <c r="AS7">
        <v>0</v>
      </c>
      <c r="AT7">
        <v>0</v>
      </c>
      <c r="AU7">
        <v>0</v>
      </c>
      <c r="AV7">
        <v>0</v>
      </c>
      <c r="AW7">
        <v>0</v>
      </c>
      <c r="AX7">
        <v>0</v>
      </c>
      <c r="AY7">
        <v>0</v>
      </c>
      <c r="BA7">
        <v>0</v>
      </c>
      <c r="BC7">
        <v>0</v>
      </c>
      <c r="BE7">
        <v>0</v>
      </c>
      <c r="BO7">
        <f>+SUM(N7:BN7)</f>
        <v>287306881.10231996</v>
      </c>
    </row>
    <row r="8" spans="6:67">
      <c r="N8">
        <f t="shared" ref="N8:BE8" si="0">+N7/$BO$7</f>
        <v>7.087189767135578E-2</v>
      </c>
      <c r="O8">
        <f t="shared" si="0"/>
        <v>7.1349054950269608E-2</v>
      </c>
      <c r="P8">
        <f t="shared" si="0"/>
        <v>6.8071000074080984E-2</v>
      </c>
      <c r="Q8">
        <f t="shared" si="0"/>
        <v>3.8237298095507716E-2</v>
      </c>
      <c r="R8">
        <f t="shared" si="0"/>
        <v>4.2611416094973376E-2</v>
      </c>
      <c r="S8">
        <f t="shared" si="0"/>
        <v>3.5111506154310981E-2</v>
      </c>
      <c r="T8">
        <f t="shared" si="0"/>
        <v>3.2846981877329623E-2</v>
      </c>
      <c r="U8">
        <f t="shared" si="0"/>
        <v>3.1995814387495262E-2</v>
      </c>
      <c r="V8">
        <f t="shared" si="0"/>
        <v>2.586030176059019E-2</v>
      </c>
      <c r="W8">
        <f t="shared" si="0"/>
        <v>3.1116712867646695E-2</v>
      </c>
      <c r="X8">
        <f t="shared" si="0"/>
        <v>2.3053988828207417E-2</v>
      </c>
      <c r="Y8">
        <f t="shared" si="0"/>
        <v>3.0371574315939839E-2</v>
      </c>
      <c r="Z8">
        <f t="shared" si="0"/>
        <v>2.9756669617652838E-2</v>
      </c>
      <c r="AA8">
        <f t="shared" si="0"/>
        <v>2.7802032130916133E-2</v>
      </c>
      <c r="AB8">
        <f t="shared" si="0"/>
        <v>2.7802032130916133E-2</v>
      </c>
      <c r="AC8">
        <f t="shared" si="0"/>
        <v>2.7802032130916133E-2</v>
      </c>
      <c r="AD8">
        <f t="shared" si="0"/>
        <v>2.7802032130916133E-2</v>
      </c>
      <c r="AE8">
        <f t="shared" si="0"/>
        <v>2.7802032130916133E-2</v>
      </c>
      <c r="AF8">
        <f t="shared" si="0"/>
        <v>2.7802032130916133E-2</v>
      </c>
      <c r="AG8">
        <f t="shared" si="0"/>
        <v>2.0851524098187104E-2</v>
      </c>
      <c r="AH8">
        <f t="shared" si="0"/>
        <v>2.6237194444206201E-2</v>
      </c>
      <c r="AI8">
        <f t="shared" si="0"/>
        <v>2.8614557293642266E-2</v>
      </c>
      <c r="AJ8">
        <f t="shared" si="0"/>
        <v>2.7443045997885548E-2</v>
      </c>
      <c r="AK8">
        <f t="shared" si="0"/>
        <v>3.9713881912687217E-2</v>
      </c>
      <c r="AL8">
        <f t="shared" si="0"/>
        <v>3.9807626064921456E-2</v>
      </c>
      <c r="AM8">
        <f t="shared" si="0"/>
        <v>4.0239865555752763E-2</v>
      </c>
      <c r="AN8">
        <f t="shared" si="0"/>
        <v>4.0418357625985279E-2</v>
      </c>
      <c r="AO8">
        <f t="shared" si="0"/>
        <v>3.1448241263606271E-2</v>
      </c>
      <c r="AP8">
        <f t="shared" si="0"/>
        <v>7.1592962622689885E-3</v>
      </c>
      <c r="AQ8">
        <f t="shared" si="0"/>
        <v>0</v>
      </c>
      <c r="AR8">
        <f t="shared" si="0"/>
        <v>0</v>
      </c>
      <c r="AS8">
        <f t="shared" si="0"/>
        <v>0</v>
      </c>
      <c r="AT8">
        <f t="shared" si="0"/>
        <v>0</v>
      </c>
      <c r="AU8">
        <f t="shared" si="0"/>
        <v>0</v>
      </c>
      <c r="AV8">
        <f t="shared" si="0"/>
        <v>0</v>
      </c>
      <c r="AW8">
        <f t="shared" si="0"/>
        <v>0</v>
      </c>
      <c r="AX8">
        <f t="shared" si="0"/>
        <v>0</v>
      </c>
      <c r="AY8">
        <f t="shared" si="0"/>
        <v>0</v>
      </c>
      <c r="AZ8">
        <f t="shared" si="0"/>
        <v>0</v>
      </c>
      <c r="BA8">
        <f t="shared" si="0"/>
        <v>0</v>
      </c>
      <c r="BB8">
        <f t="shared" si="0"/>
        <v>0</v>
      </c>
      <c r="BC8">
        <f t="shared" si="0"/>
        <v>0</v>
      </c>
      <c r="BD8">
        <f t="shared" si="0"/>
        <v>0</v>
      </c>
      <c r="BE8">
        <f t="shared" si="0"/>
        <v>0</v>
      </c>
    </row>
    <row r="14" spans="6:67">
      <c r="L14" t="s">
        <v>34</v>
      </c>
    </row>
    <row r="15" spans="6:67" ht="15.5">
      <c r="M15">
        <v>2216.7159582547924</v>
      </c>
      <c r="N15" s="78">
        <v>45505</v>
      </c>
      <c r="O15" s="78">
        <v>45536</v>
      </c>
      <c r="P15" s="78">
        <v>45566</v>
      </c>
      <c r="Q15" s="78">
        <v>45597</v>
      </c>
      <c r="R15" s="78">
        <v>45627</v>
      </c>
      <c r="S15" s="78">
        <v>45658</v>
      </c>
      <c r="T15" s="78">
        <v>45689</v>
      </c>
      <c r="U15" s="78">
        <v>45717</v>
      </c>
      <c r="V15" s="78">
        <v>45748</v>
      </c>
      <c r="W15" s="78">
        <v>45778</v>
      </c>
      <c r="X15" s="78">
        <v>45809</v>
      </c>
      <c r="Y15" s="78">
        <v>45839</v>
      </c>
      <c r="Z15" s="78">
        <v>45870</v>
      </c>
      <c r="AA15" s="78">
        <v>45901</v>
      </c>
      <c r="AB15" s="78">
        <v>45931</v>
      </c>
      <c r="AC15" s="78">
        <v>45962</v>
      </c>
      <c r="AD15" s="78">
        <v>45992</v>
      </c>
      <c r="AE15" s="78">
        <v>46023</v>
      </c>
      <c r="AF15" s="78">
        <v>46054</v>
      </c>
      <c r="AG15" s="78">
        <v>46082</v>
      </c>
      <c r="AH15" s="78">
        <v>46113</v>
      </c>
      <c r="AI15" s="78">
        <v>46143</v>
      </c>
      <c r="AJ15" s="78">
        <v>46174</v>
      </c>
      <c r="AK15" s="78">
        <v>46204</v>
      </c>
      <c r="AL15" s="78">
        <v>46235</v>
      </c>
      <c r="AM15" s="78">
        <v>46266</v>
      </c>
      <c r="AN15" s="78">
        <v>46296</v>
      </c>
      <c r="AO15" s="78">
        <v>46327</v>
      </c>
      <c r="AP15" s="78">
        <v>46722</v>
      </c>
    </row>
    <row r="16" spans="6:67">
      <c r="M16">
        <f>+SUM(N16:AO16)</f>
        <v>2265</v>
      </c>
      <c r="N16" s="77">
        <v>112</v>
      </c>
      <c r="O16" s="77">
        <v>176</v>
      </c>
      <c r="P16" s="77">
        <v>162</v>
      </c>
      <c r="Q16" s="77">
        <v>88</v>
      </c>
      <c r="R16" s="77">
        <v>88</v>
      </c>
      <c r="S16" s="77">
        <v>88</v>
      </c>
      <c r="T16" s="77">
        <v>88</v>
      </c>
      <c r="U16" s="77">
        <v>88</v>
      </c>
      <c r="V16" s="77">
        <v>66</v>
      </c>
      <c r="W16" s="77">
        <v>88</v>
      </c>
      <c r="X16" s="77">
        <v>66</v>
      </c>
      <c r="Y16" s="77">
        <v>88</v>
      </c>
      <c r="Z16" s="77">
        <v>88</v>
      </c>
      <c r="AA16" s="76">
        <v>88</v>
      </c>
      <c r="AB16" s="76">
        <v>88</v>
      </c>
      <c r="AC16" s="76">
        <v>88</v>
      </c>
      <c r="AD16" s="76">
        <v>88</v>
      </c>
      <c r="AE16" s="76">
        <v>88</v>
      </c>
      <c r="AF16" s="76">
        <v>88</v>
      </c>
      <c r="AG16" s="76">
        <v>66</v>
      </c>
      <c r="AH16" s="76">
        <v>78</v>
      </c>
      <c r="AI16" s="76">
        <v>48</v>
      </c>
      <c r="AJ16" s="76">
        <v>36</v>
      </c>
      <c r="AK16" s="76">
        <v>48</v>
      </c>
      <c r="AL16" s="76">
        <v>48</v>
      </c>
      <c r="AM16" s="76">
        <v>48</v>
      </c>
      <c r="AN16" s="76">
        <v>48</v>
      </c>
      <c r="AO16" s="76">
        <v>31</v>
      </c>
    </row>
    <row r="17" spans="12:44">
      <c r="L17" t="s">
        <v>5170</v>
      </c>
      <c r="N17">
        <f t="shared" ref="N17:AO17" si="1">+N16/$M$16</f>
        <v>4.9448123620309051E-2</v>
      </c>
      <c r="O17">
        <f t="shared" si="1"/>
        <v>7.7704194260485651E-2</v>
      </c>
      <c r="P17">
        <f t="shared" si="1"/>
        <v>7.1523178807947022E-2</v>
      </c>
      <c r="Q17">
        <f t="shared" si="1"/>
        <v>3.8852097130242826E-2</v>
      </c>
      <c r="R17">
        <f t="shared" si="1"/>
        <v>3.8852097130242826E-2</v>
      </c>
      <c r="S17">
        <f t="shared" si="1"/>
        <v>3.8852097130242826E-2</v>
      </c>
      <c r="T17">
        <f t="shared" si="1"/>
        <v>3.8852097130242826E-2</v>
      </c>
      <c r="U17">
        <f t="shared" si="1"/>
        <v>3.8852097130242826E-2</v>
      </c>
      <c r="V17">
        <f t="shared" si="1"/>
        <v>2.9139072847682121E-2</v>
      </c>
      <c r="W17">
        <f t="shared" si="1"/>
        <v>3.8852097130242826E-2</v>
      </c>
      <c r="X17">
        <f t="shared" si="1"/>
        <v>2.9139072847682121E-2</v>
      </c>
      <c r="Y17">
        <f t="shared" si="1"/>
        <v>3.8852097130242826E-2</v>
      </c>
      <c r="Z17">
        <f t="shared" si="1"/>
        <v>3.8852097130242826E-2</v>
      </c>
      <c r="AA17">
        <f t="shared" si="1"/>
        <v>3.8852097130242826E-2</v>
      </c>
      <c r="AB17">
        <f t="shared" si="1"/>
        <v>3.8852097130242826E-2</v>
      </c>
      <c r="AC17">
        <f t="shared" si="1"/>
        <v>3.8852097130242826E-2</v>
      </c>
      <c r="AD17">
        <f t="shared" si="1"/>
        <v>3.8852097130242826E-2</v>
      </c>
      <c r="AE17">
        <f t="shared" si="1"/>
        <v>3.8852097130242826E-2</v>
      </c>
      <c r="AF17">
        <f t="shared" si="1"/>
        <v>3.8852097130242826E-2</v>
      </c>
      <c r="AG17">
        <f t="shared" si="1"/>
        <v>2.9139072847682121E-2</v>
      </c>
      <c r="AH17">
        <f t="shared" si="1"/>
        <v>3.443708609271523E-2</v>
      </c>
      <c r="AI17">
        <f t="shared" si="1"/>
        <v>2.119205298013245E-2</v>
      </c>
      <c r="AJ17">
        <f t="shared" si="1"/>
        <v>1.5894039735099338E-2</v>
      </c>
      <c r="AK17">
        <f t="shared" si="1"/>
        <v>2.119205298013245E-2</v>
      </c>
      <c r="AL17">
        <f t="shared" si="1"/>
        <v>2.119205298013245E-2</v>
      </c>
      <c r="AM17">
        <f t="shared" si="1"/>
        <v>2.119205298013245E-2</v>
      </c>
      <c r="AN17">
        <f t="shared" si="1"/>
        <v>2.119205298013245E-2</v>
      </c>
      <c r="AO17">
        <f t="shared" si="1"/>
        <v>1.3686534216335542E-2</v>
      </c>
    </row>
    <row r="18" spans="12:44">
      <c r="N18">
        <f t="shared" ref="N18:AO18" si="2">+N17*$M$15</f>
        <v>109.61244473489481</v>
      </c>
      <c r="O18">
        <f t="shared" si="2"/>
        <v>172.24812744054898</v>
      </c>
      <c r="P18">
        <f t="shared" si="2"/>
        <v>158.54657184868714</v>
      </c>
      <c r="Q18">
        <f t="shared" si="2"/>
        <v>86.124063720274492</v>
      </c>
      <c r="R18">
        <f t="shared" si="2"/>
        <v>86.124063720274492</v>
      </c>
      <c r="S18">
        <f t="shared" si="2"/>
        <v>86.124063720274492</v>
      </c>
      <c r="T18">
        <f t="shared" si="2"/>
        <v>86.124063720274492</v>
      </c>
      <c r="U18">
        <f t="shared" si="2"/>
        <v>86.124063720274492</v>
      </c>
      <c r="V18">
        <f t="shared" si="2"/>
        <v>64.593047790205873</v>
      </c>
      <c r="W18">
        <f t="shared" si="2"/>
        <v>86.124063720274492</v>
      </c>
      <c r="X18">
        <f t="shared" si="2"/>
        <v>64.593047790205873</v>
      </c>
      <c r="Y18">
        <f t="shared" si="2"/>
        <v>86.124063720274492</v>
      </c>
      <c r="Z18">
        <f t="shared" si="2"/>
        <v>86.124063720274492</v>
      </c>
      <c r="AA18">
        <f t="shared" si="2"/>
        <v>86.124063720274492</v>
      </c>
      <c r="AB18">
        <f t="shared" si="2"/>
        <v>86.124063720274492</v>
      </c>
      <c r="AC18">
        <f t="shared" si="2"/>
        <v>86.124063720274492</v>
      </c>
      <c r="AD18">
        <f t="shared" si="2"/>
        <v>86.124063720274492</v>
      </c>
      <c r="AE18">
        <f t="shared" si="2"/>
        <v>86.124063720274492</v>
      </c>
      <c r="AF18">
        <f t="shared" si="2"/>
        <v>86.124063720274492</v>
      </c>
      <c r="AG18">
        <f t="shared" si="2"/>
        <v>64.593047790205873</v>
      </c>
      <c r="AH18">
        <f t="shared" si="2"/>
        <v>76.337238297516024</v>
      </c>
      <c r="AI18">
        <f t="shared" si="2"/>
        <v>46.976762029240632</v>
      </c>
      <c r="AJ18">
        <f t="shared" si="2"/>
        <v>35.232571521930474</v>
      </c>
      <c r="AK18">
        <f t="shared" si="2"/>
        <v>46.976762029240632</v>
      </c>
      <c r="AL18">
        <f t="shared" si="2"/>
        <v>46.976762029240632</v>
      </c>
      <c r="AM18">
        <f t="shared" si="2"/>
        <v>46.976762029240632</v>
      </c>
      <c r="AN18">
        <f t="shared" si="2"/>
        <v>46.976762029240632</v>
      </c>
      <c r="AO18">
        <f t="shared" si="2"/>
        <v>30.339158810551243</v>
      </c>
    </row>
    <row r="20" spans="12:44">
      <c r="L20" t="s">
        <v>5169</v>
      </c>
      <c r="M20">
        <f>+SUM(N20:AP20)</f>
        <v>2570</v>
      </c>
      <c r="N20">
        <v>0</v>
      </c>
      <c r="O20">
        <v>0</v>
      </c>
      <c r="P20">
        <v>0</v>
      </c>
      <c r="Q20">
        <v>100</v>
      </c>
      <c r="R20">
        <v>180</v>
      </c>
      <c r="S20">
        <v>50</v>
      </c>
      <c r="T20">
        <v>0</v>
      </c>
      <c r="U20">
        <v>0</v>
      </c>
      <c r="V20">
        <v>0</v>
      </c>
      <c r="W20">
        <v>0</v>
      </c>
      <c r="X20">
        <v>0</v>
      </c>
      <c r="Y20">
        <v>0</v>
      </c>
      <c r="Z20">
        <v>0</v>
      </c>
      <c r="AA20">
        <v>0</v>
      </c>
      <c r="AB20">
        <v>0</v>
      </c>
      <c r="AC20">
        <v>0</v>
      </c>
      <c r="AD20">
        <v>0</v>
      </c>
      <c r="AE20">
        <v>0</v>
      </c>
      <c r="AF20">
        <v>0</v>
      </c>
      <c r="AG20">
        <v>0</v>
      </c>
      <c r="AH20">
        <v>0</v>
      </c>
      <c r="AI20">
        <v>120</v>
      </c>
      <c r="AJ20">
        <v>167</v>
      </c>
      <c r="AK20">
        <v>362</v>
      </c>
      <c r="AL20">
        <v>362</v>
      </c>
      <c r="AM20">
        <v>362</v>
      </c>
      <c r="AN20">
        <v>362</v>
      </c>
      <c r="AO20">
        <v>362</v>
      </c>
      <c r="AP20">
        <v>143</v>
      </c>
    </row>
    <row r="21" spans="12:44">
      <c r="N21">
        <f t="shared" ref="N21:AP21" si="3">+N20/$M$20</f>
        <v>0</v>
      </c>
      <c r="O21">
        <f t="shared" si="3"/>
        <v>0</v>
      </c>
      <c r="P21">
        <f t="shared" si="3"/>
        <v>0</v>
      </c>
      <c r="Q21">
        <f t="shared" si="3"/>
        <v>3.8910505836575876E-2</v>
      </c>
      <c r="R21">
        <f t="shared" si="3"/>
        <v>7.0038910505836577E-2</v>
      </c>
      <c r="S21">
        <f t="shared" si="3"/>
        <v>1.9455252918287938E-2</v>
      </c>
      <c r="T21">
        <f t="shared" si="3"/>
        <v>0</v>
      </c>
      <c r="U21">
        <f t="shared" si="3"/>
        <v>0</v>
      </c>
      <c r="V21">
        <f t="shared" si="3"/>
        <v>0</v>
      </c>
      <c r="W21">
        <f t="shared" si="3"/>
        <v>0</v>
      </c>
      <c r="X21">
        <f t="shared" si="3"/>
        <v>0</v>
      </c>
      <c r="Y21">
        <f t="shared" si="3"/>
        <v>0</v>
      </c>
      <c r="Z21">
        <f t="shared" si="3"/>
        <v>0</v>
      </c>
      <c r="AA21">
        <f t="shared" si="3"/>
        <v>0</v>
      </c>
      <c r="AB21">
        <f t="shared" si="3"/>
        <v>0</v>
      </c>
      <c r="AC21">
        <f t="shared" si="3"/>
        <v>0</v>
      </c>
      <c r="AD21">
        <f t="shared" si="3"/>
        <v>0</v>
      </c>
      <c r="AE21">
        <f t="shared" si="3"/>
        <v>0</v>
      </c>
      <c r="AF21">
        <f t="shared" si="3"/>
        <v>0</v>
      </c>
      <c r="AG21">
        <f t="shared" si="3"/>
        <v>0</v>
      </c>
      <c r="AH21">
        <f t="shared" si="3"/>
        <v>0</v>
      </c>
      <c r="AI21">
        <f t="shared" si="3"/>
        <v>4.6692607003891051E-2</v>
      </c>
      <c r="AJ21">
        <f t="shared" si="3"/>
        <v>6.4980544747081717E-2</v>
      </c>
      <c r="AK21">
        <f t="shared" si="3"/>
        <v>0.14085603112840467</v>
      </c>
      <c r="AL21">
        <f t="shared" si="3"/>
        <v>0.14085603112840467</v>
      </c>
      <c r="AM21">
        <f t="shared" si="3"/>
        <v>0.14085603112840467</v>
      </c>
      <c r="AN21">
        <f t="shared" si="3"/>
        <v>0.14085603112840467</v>
      </c>
      <c r="AO21">
        <f t="shared" si="3"/>
        <v>0.14085603112840467</v>
      </c>
      <c r="AP21">
        <f t="shared" si="3"/>
        <v>5.5642023346303499E-2</v>
      </c>
    </row>
    <row r="27" spans="12:44">
      <c r="M27" t="s">
        <v>149</v>
      </c>
      <c r="N27">
        <v>1760.2834999999995</v>
      </c>
      <c r="O27">
        <v>4137.4834999999994</v>
      </c>
      <c r="P27">
        <v>2824.2834999999995</v>
      </c>
      <c r="Q27">
        <v>4400.8168333333324</v>
      </c>
      <c r="R27">
        <v>3087.616833333333</v>
      </c>
      <c r="S27">
        <v>3946.9632083333331</v>
      </c>
      <c r="T27">
        <v>8505.5797083333346</v>
      </c>
      <c r="U27">
        <v>7512.7797083333326</v>
      </c>
      <c r="V27">
        <v>6448.7797083333326</v>
      </c>
      <c r="W27">
        <v>7249.4463749999995</v>
      </c>
      <c r="X27">
        <v>7249.4463749999995</v>
      </c>
      <c r="Y27">
        <v>6185.4463749999995</v>
      </c>
      <c r="Z27">
        <v>6185.4463749999995</v>
      </c>
      <c r="AA27">
        <v>5837.0027500000006</v>
      </c>
      <c r="AB27">
        <v>5837.0027500000006</v>
      </c>
      <c r="AC27">
        <v>5514.5027500000006</v>
      </c>
      <c r="AD27">
        <v>4201.3027500000007</v>
      </c>
      <c r="AE27">
        <v>4372.737250000001</v>
      </c>
      <c r="AF27">
        <v>8063.1372500000016</v>
      </c>
      <c r="AG27">
        <v>9127.1372500000016</v>
      </c>
      <c r="AH27">
        <v>9127.1372500000016</v>
      </c>
      <c r="AI27">
        <v>9127.1372500000016</v>
      </c>
      <c r="AJ27">
        <v>8063.1372500000016</v>
      </c>
      <c r="AK27">
        <v>6999.1372500000016</v>
      </c>
      <c r="AL27">
        <v>6999.1372500000016</v>
      </c>
      <c r="AM27">
        <v>5252.8000000000011</v>
      </c>
      <c r="AN27">
        <v>6529.6000000000013</v>
      </c>
      <c r="AO27">
        <v>6529.6000000000013</v>
      </c>
      <c r="AP27">
        <v>5252.8000000000011</v>
      </c>
      <c r="AR27">
        <f t="shared" ref="AR27:AR44" si="4">+SUM(N27:AP27)</f>
        <v>176327.68100000001</v>
      </c>
    </row>
    <row r="28" spans="12:44">
      <c r="M28" t="s">
        <v>153</v>
      </c>
      <c r="N28">
        <v>176.02834999999996</v>
      </c>
      <c r="O28">
        <v>229.04587066115698</v>
      </c>
      <c r="P28">
        <v>418.517720661157</v>
      </c>
      <c r="Q28">
        <v>483.57105399449023</v>
      </c>
      <c r="R28">
        <v>444.85105399449031</v>
      </c>
      <c r="S28">
        <v>623.11265833333334</v>
      </c>
      <c r="T28">
        <v>928.53120399449028</v>
      </c>
      <c r="U28">
        <v>601.05935399449038</v>
      </c>
      <c r="V28">
        <v>586.76183333333336</v>
      </c>
      <c r="W28">
        <v>792.7510206611571</v>
      </c>
      <c r="X28">
        <v>1018.4260206611571</v>
      </c>
      <c r="Y28">
        <v>1004.1285</v>
      </c>
      <c r="Z28">
        <v>1004.1285</v>
      </c>
      <c r="AA28">
        <v>883.29654166666683</v>
      </c>
      <c r="AB28">
        <v>663.83716666666669</v>
      </c>
      <c r="AC28">
        <v>499.62466666666671</v>
      </c>
      <c r="AD28">
        <v>441.77966666666669</v>
      </c>
      <c r="AE28">
        <v>458.81079166666666</v>
      </c>
      <c r="AF28">
        <v>550.54831232782374</v>
      </c>
      <c r="AG28">
        <v>564.84583298898076</v>
      </c>
      <c r="AH28">
        <v>564.84583298898076</v>
      </c>
      <c r="AI28">
        <v>564.84583298898076</v>
      </c>
      <c r="AJ28">
        <v>550.54831232782374</v>
      </c>
      <c r="AK28">
        <v>536.25079166666671</v>
      </c>
      <c r="AL28">
        <v>536.25079166666671</v>
      </c>
      <c r="AM28">
        <v>154.88</v>
      </c>
      <c r="AN28">
        <v>171.97917355371899</v>
      </c>
      <c r="AO28">
        <v>171.97917355371899</v>
      </c>
      <c r="AP28">
        <v>154.88</v>
      </c>
      <c r="AR28">
        <f t="shared" si="4"/>
        <v>15780.116027685948</v>
      </c>
    </row>
    <row r="29" spans="12:44">
      <c r="M29" t="s">
        <v>157</v>
      </c>
      <c r="N29">
        <v>0</v>
      </c>
      <c r="O29">
        <v>0</v>
      </c>
      <c r="P29">
        <v>357.94799999999998</v>
      </c>
      <c r="Q29">
        <v>357.94799999999998</v>
      </c>
      <c r="R29">
        <v>357.94799999999998</v>
      </c>
      <c r="S29">
        <v>357.94799999999998</v>
      </c>
      <c r="T29">
        <v>702.19799999999998</v>
      </c>
      <c r="U29">
        <v>344.25</v>
      </c>
      <c r="V29">
        <v>344.25</v>
      </c>
      <c r="W29">
        <v>686.25</v>
      </c>
      <c r="X29">
        <v>1040.25</v>
      </c>
      <c r="Y29">
        <v>1040.25</v>
      </c>
      <c r="Z29">
        <v>1040.25</v>
      </c>
      <c r="AA29">
        <v>905.25</v>
      </c>
      <c r="AB29">
        <v>561</v>
      </c>
      <c r="AC29">
        <v>354</v>
      </c>
      <c r="AD29">
        <v>324</v>
      </c>
      <c r="AE29">
        <v>324</v>
      </c>
      <c r="AF29">
        <v>324</v>
      </c>
      <c r="AG29">
        <v>324</v>
      </c>
      <c r="AH29">
        <v>324</v>
      </c>
      <c r="AI29">
        <v>324</v>
      </c>
      <c r="AJ29">
        <v>324</v>
      </c>
      <c r="AK29">
        <v>324</v>
      </c>
      <c r="AL29">
        <v>324</v>
      </c>
      <c r="AM29">
        <v>0</v>
      </c>
      <c r="AN29">
        <v>0</v>
      </c>
      <c r="AO29">
        <v>0</v>
      </c>
      <c r="AP29">
        <v>0</v>
      </c>
      <c r="AR29">
        <f t="shared" si="4"/>
        <v>11365.74</v>
      </c>
    </row>
    <row r="30" spans="12:44">
      <c r="M30" t="s">
        <v>161</v>
      </c>
      <c r="N30">
        <v>2858.2586583333336</v>
      </c>
      <c r="O30">
        <v>4171.3102976775954</v>
      </c>
      <c r="P30">
        <v>7370.4066976775957</v>
      </c>
      <c r="Q30">
        <v>8360.1400310109293</v>
      </c>
      <c r="R30">
        <v>7633.7400310109288</v>
      </c>
      <c r="S30">
        <v>10452.802016666668</v>
      </c>
      <c r="T30">
        <v>16606.439997677597</v>
      </c>
      <c r="U30">
        <v>10532.673597677598</v>
      </c>
      <c r="V30">
        <v>9946.0219583333364</v>
      </c>
      <c r="W30">
        <v>14019.940264344263</v>
      </c>
      <c r="X30">
        <v>17902.140264344263</v>
      </c>
      <c r="Y30">
        <v>17315.488624999998</v>
      </c>
      <c r="Z30">
        <v>17315.488624999998</v>
      </c>
      <c r="AA30">
        <v>15172.679916666668</v>
      </c>
      <c r="AB30">
        <v>11397.404916666666</v>
      </c>
      <c r="AC30">
        <v>8804.804916666666</v>
      </c>
      <c r="AD30">
        <v>7749.4049166666664</v>
      </c>
      <c r="AE30">
        <v>8048.8214166666667</v>
      </c>
      <c r="AF30">
        <v>10088.27305601093</v>
      </c>
      <c r="AG30">
        <v>10674.924695355192</v>
      </c>
      <c r="AH30">
        <v>10674.924695355192</v>
      </c>
      <c r="AI30">
        <v>10674.924695355192</v>
      </c>
      <c r="AJ30">
        <v>10088.27305601093</v>
      </c>
      <c r="AK30">
        <v>9501.6214166666668</v>
      </c>
      <c r="AL30">
        <v>9501.6214166666668</v>
      </c>
      <c r="AM30">
        <v>2905.6</v>
      </c>
      <c r="AN30">
        <v>3669.9811475409833</v>
      </c>
      <c r="AO30">
        <v>3669.9811475409833</v>
      </c>
      <c r="AP30">
        <v>2905.6</v>
      </c>
      <c r="AR30">
        <f t="shared" si="4"/>
        <v>280013.69247459009</v>
      </c>
    </row>
    <row r="31" spans="12:44">
      <c r="M31" t="s">
        <v>166</v>
      </c>
      <c r="N31">
        <v>291.92734643333341</v>
      </c>
      <c r="O31">
        <v>463.28523027979486</v>
      </c>
      <c r="P31">
        <v>1069.2886025232942</v>
      </c>
      <c r="Q31">
        <v>1198.6151065883348</v>
      </c>
      <c r="R31">
        <v>1103.5219358566276</v>
      </c>
      <c r="S31">
        <v>1355.2364727418735</v>
      </c>
      <c r="T31">
        <v>2353.0202421142835</v>
      </c>
      <c r="U31">
        <v>1439.9486991390772</v>
      </c>
      <c r="V31">
        <v>1363.6839860243231</v>
      </c>
      <c r="W31">
        <v>2075.5752831611157</v>
      </c>
      <c r="X31">
        <v>2768.9390572657994</v>
      </c>
      <c r="Y31">
        <v>2692.6743441510453</v>
      </c>
      <c r="Z31">
        <v>2692.6743441510453</v>
      </c>
      <c r="AA31">
        <v>2387.6075390546262</v>
      </c>
      <c r="AB31">
        <v>1713.3406485587584</v>
      </c>
      <c r="AC31">
        <v>1265.9741196331386</v>
      </c>
      <c r="AD31">
        <v>1112.1213070281531</v>
      </c>
      <c r="AE31">
        <v>1141.675807028153</v>
      </c>
      <c r="AF31">
        <v>1408.1268616063217</v>
      </c>
      <c r="AG31">
        <v>1484.3915747210758</v>
      </c>
      <c r="AH31">
        <v>1484.3915747210758</v>
      </c>
      <c r="AI31">
        <v>1484.3915747210758</v>
      </c>
      <c r="AJ31">
        <v>1408.1268616063217</v>
      </c>
      <c r="AK31">
        <v>1331.8621484915675</v>
      </c>
      <c r="AL31">
        <v>1331.8621484915675</v>
      </c>
      <c r="AM31">
        <v>380.37268292682933</v>
      </c>
      <c r="AN31">
        <v>479.74223210715718</v>
      </c>
      <c r="AO31">
        <v>479.74223210715718</v>
      </c>
      <c r="AP31">
        <v>380.37268292682933</v>
      </c>
      <c r="AR31">
        <f t="shared" si="4"/>
        <v>40142.49264615975</v>
      </c>
    </row>
    <row r="32" spans="12:44">
      <c r="M32" t="s">
        <v>170</v>
      </c>
      <c r="N32">
        <v>0</v>
      </c>
      <c r="O32">
        <v>0</v>
      </c>
      <c r="P32">
        <v>0</v>
      </c>
      <c r="Q32">
        <v>0</v>
      </c>
      <c r="R32">
        <v>0</v>
      </c>
      <c r="S32">
        <v>0</v>
      </c>
      <c r="T32">
        <v>0</v>
      </c>
      <c r="U32">
        <v>1012.5</v>
      </c>
      <c r="V32">
        <v>1012.5</v>
      </c>
      <c r="W32">
        <v>1012.5</v>
      </c>
      <c r="X32">
        <v>1012.5</v>
      </c>
      <c r="Y32">
        <v>1012.5</v>
      </c>
      <c r="Z32">
        <v>1012.5</v>
      </c>
      <c r="AA32">
        <v>1012.5</v>
      </c>
      <c r="AB32">
        <v>1012.5</v>
      </c>
      <c r="AC32">
        <v>0</v>
      </c>
      <c r="AD32">
        <v>0</v>
      </c>
      <c r="AE32">
        <v>0</v>
      </c>
      <c r="AF32">
        <v>0</v>
      </c>
      <c r="AG32">
        <v>0</v>
      </c>
      <c r="AH32">
        <v>0</v>
      </c>
      <c r="AI32">
        <v>0</v>
      </c>
      <c r="AJ32">
        <v>0</v>
      </c>
      <c r="AK32">
        <v>0</v>
      </c>
      <c r="AL32">
        <v>0</v>
      </c>
      <c r="AM32">
        <v>0</v>
      </c>
      <c r="AN32">
        <v>0</v>
      </c>
      <c r="AO32">
        <v>0</v>
      </c>
      <c r="AP32">
        <v>0</v>
      </c>
      <c r="AR32">
        <f t="shared" si="4"/>
        <v>8100</v>
      </c>
    </row>
    <row r="33" spans="13:44">
      <c r="M33" t="s">
        <v>174</v>
      </c>
      <c r="N33">
        <v>0</v>
      </c>
      <c r="O33">
        <v>0</v>
      </c>
      <c r="P33">
        <v>198.85999999999999</v>
      </c>
      <c r="Q33">
        <v>198.85999999999999</v>
      </c>
      <c r="R33">
        <v>198.85999999999999</v>
      </c>
      <c r="S33">
        <v>198.85999999999999</v>
      </c>
      <c r="T33">
        <v>390.11</v>
      </c>
      <c r="U33">
        <v>191.25</v>
      </c>
      <c r="V33">
        <v>191.25</v>
      </c>
      <c r="W33">
        <v>381.25</v>
      </c>
      <c r="X33">
        <v>577.91666666666663</v>
      </c>
      <c r="Y33">
        <v>577.91666666666663</v>
      </c>
      <c r="Z33">
        <v>577.91666666666663</v>
      </c>
      <c r="AA33">
        <v>502.91666666666663</v>
      </c>
      <c r="AB33">
        <v>311.66666666666663</v>
      </c>
      <c r="AC33">
        <v>196.66666666666666</v>
      </c>
      <c r="AD33">
        <v>180</v>
      </c>
      <c r="AE33">
        <v>180</v>
      </c>
      <c r="AF33">
        <v>180</v>
      </c>
      <c r="AG33">
        <v>180</v>
      </c>
      <c r="AH33">
        <v>180</v>
      </c>
      <c r="AI33">
        <v>180</v>
      </c>
      <c r="AJ33">
        <v>180</v>
      </c>
      <c r="AK33">
        <v>180</v>
      </c>
      <c r="AL33">
        <v>180</v>
      </c>
      <c r="AM33">
        <v>0</v>
      </c>
      <c r="AN33">
        <v>0</v>
      </c>
      <c r="AO33">
        <v>0</v>
      </c>
      <c r="AP33">
        <v>0</v>
      </c>
      <c r="AR33">
        <f t="shared" si="4"/>
        <v>6314.3</v>
      </c>
    </row>
    <row r="34" spans="13:44">
      <c r="M34" t="s">
        <v>180</v>
      </c>
      <c r="N34">
        <v>0</v>
      </c>
      <c r="O34">
        <v>46.199999999999996</v>
      </c>
      <c r="P34">
        <v>198.85999999999999</v>
      </c>
      <c r="Q34">
        <v>245.05999999999997</v>
      </c>
      <c r="R34">
        <v>198.85999999999999</v>
      </c>
      <c r="S34">
        <v>198.85999999999999</v>
      </c>
      <c r="T34">
        <v>528.71</v>
      </c>
      <c r="U34">
        <v>329.85</v>
      </c>
      <c r="V34">
        <v>329.85</v>
      </c>
      <c r="W34">
        <v>519.85</v>
      </c>
      <c r="X34">
        <v>716.51666666666665</v>
      </c>
      <c r="Y34">
        <v>716.51666666666665</v>
      </c>
      <c r="Z34">
        <v>716.51666666666665</v>
      </c>
      <c r="AA34">
        <v>641.51666666666665</v>
      </c>
      <c r="AB34">
        <v>450.26666666666665</v>
      </c>
      <c r="AC34">
        <v>335.26666666666665</v>
      </c>
      <c r="AD34">
        <v>272.39999999999998</v>
      </c>
      <c r="AE34">
        <v>272.39999999999998</v>
      </c>
      <c r="AF34">
        <v>364.79999999999995</v>
      </c>
      <c r="AG34">
        <v>364.79999999999995</v>
      </c>
      <c r="AH34">
        <v>364.79999999999995</v>
      </c>
      <c r="AI34">
        <v>364.79999999999995</v>
      </c>
      <c r="AJ34">
        <v>364.79999999999995</v>
      </c>
      <c r="AK34">
        <v>364.79999999999995</v>
      </c>
      <c r="AL34">
        <v>364.79999999999995</v>
      </c>
      <c r="AM34">
        <v>184.8</v>
      </c>
      <c r="AN34">
        <v>184.79999999999998</v>
      </c>
      <c r="AO34">
        <v>184.79999999999998</v>
      </c>
      <c r="AP34">
        <v>184.79999999999998</v>
      </c>
      <c r="AR34">
        <f t="shared" si="4"/>
        <v>10010.299999999994</v>
      </c>
    </row>
    <row r="35" spans="13:44">
      <c r="M35" t="s">
        <v>185</v>
      </c>
      <c r="N35">
        <v>0</v>
      </c>
      <c r="O35">
        <v>0</v>
      </c>
      <c r="P35">
        <v>0</v>
      </c>
      <c r="Q35">
        <v>0</v>
      </c>
      <c r="R35">
        <v>0</v>
      </c>
      <c r="S35">
        <v>0</v>
      </c>
      <c r="T35">
        <v>0</v>
      </c>
      <c r="U35">
        <v>173.15375</v>
      </c>
      <c r="V35">
        <v>173.15375</v>
      </c>
      <c r="W35">
        <v>173.15375</v>
      </c>
      <c r="X35">
        <v>173.15375</v>
      </c>
      <c r="Y35">
        <v>173.15375</v>
      </c>
      <c r="Z35">
        <v>173.15375</v>
      </c>
      <c r="AA35">
        <v>173.15375</v>
      </c>
      <c r="AB35">
        <v>173.15375</v>
      </c>
      <c r="AC35">
        <v>0</v>
      </c>
      <c r="AD35">
        <v>0</v>
      </c>
      <c r="AE35">
        <v>0</v>
      </c>
      <c r="AF35">
        <v>0</v>
      </c>
      <c r="AG35">
        <v>173.15375</v>
      </c>
      <c r="AH35">
        <v>173.15375</v>
      </c>
      <c r="AI35">
        <v>173.15375</v>
      </c>
      <c r="AJ35">
        <v>173.15375</v>
      </c>
      <c r="AK35">
        <v>173.15375</v>
      </c>
      <c r="AL35">
        <v>173.15375</v>
      </c>
      <c r="AM35">
        <v>173.15375</v>
      </c>
      <c r="AN35">
        <v>173.15375</v>
      </c>
      <c r="AO35">
        <v>0</v>
      </c>
      <c r="AP35">
        <v>0</v>
      </c>
      <c r="AR35">
        <f t="shared" si="4"/>
        <v>2770.4599999999996</v>
      </c>
    </row>
    <row r="36" spans="13:44">
      <c r="M36" t="s">
        <v>190</v>
      </c>
      <c r="N36">
        <v>0</v>
      </c>
      <c r="O36">
        <v>0</v>
      </c>
      <c r="P36">
        <v>0</v>
      </c>
      <c r="Q36">
        <v>0</v>
      </c>
      <c r="R36">
        <v>0</v>
      </c>
      <c r="S36">
        <v>0</v>
      </c>
      <c r="T36">
        <v>0</v>
      </c>
      <c r="U36">
        <v>5575.3462499999996</v>
      </c>
      <c r="V36">
        <v>5575.3462499999996</v>
      </c>
      <c r="W36">
        <v>5575.3462499999996</v>
      </c>
      <c r="X36">
        <v>5575.3462499999996</v>
      </c>
      <c r="Y36">
        <v>5575.3462499999996</v>
      </c>
      <c r="Z36">
        <v>5575.3462499999996</v>
      </c>
      <c r="AA36">
        <v>5575.3462499999996</v>
      </c>
      <c r="AB36">
        <v>5575.3462499999996</v>
      </c>
      <c r="AC36">
        <v>0</v>
      </c>
      <c r="AD36">
        <v>0</v>
      </c>
      <c r="AE36">
        <v>0</v>
      </c>
      <c r="AF36">
        <v>0</v>
      </c>
      <c r="AG36">
        <v>5575.3462499999996</v>
      </c>
      <c r="AH36">
        <v>5575.3462499999996</v>
      </c>
      <c r="AI36">
        <v>5575.3462499999996</v>
      </c>
      <c r="AJ36">
        <v>5575.3462499999996</v>
      </c>
      <c r="AK36">
        <v>5575.3462499999996</v>
      </c>
      <c r="AL36">
        <v>5575.3462499999996</v>
      </c>
      <c r="AM36">
        <v>5575.3462499999996</v>
      </c>
      <c r="AN36">
        <v>5575.3462499999996</v>
      </c>
      <c r="AO36">
        <v>0</v>
      </c>
      <c r="AP36">
        <v>0</v>
      </c>
      <c r="AR36">
        <f t="shared" si="4"/>
        <v>89205.540000000023</v>
      </c>
    </row>
    <row r="37" spans="13:44">
      <c r="M37" t="s">
        <v>196</v>
      </c>
      <c r="N37">
        <v>0</v>
      </c>
      <c r="O37">
        <v>0</v>
      </c>
      <c r="P37">
        <v>0</v>
      </c>
      <c r="Q37">
        <v>0</v>
      </c>
      <c r="R37">
        <v>0</v>
      </c>
      <c r="S37">
        <v>0</v>
      </c>
      <c r="T37">
        <v>0</v>
      </c>
      <c r="U37">
        <v>164.0625</v>
      </c>
      <c r="V37">
        <v>164.0625</v>
      </c>
      <c r="W37">
        <v>164.0625</v>
      </c>
      <c r="X37">
        <v>164.0625</v>
      </c>
      <c r="Y37">
        <v>164.0625</v>
      </c>
      <c r="Z37">
        <v>164.0625</v>
      </c>
      <c r="AA37">
        <v>164.0625</v>
      </c>
      <c r="AB37">
        <v>164.0625</v>
      </c>
      <c r="AC37">
        <v>0</v>
      </c>
      <c r="AD37">
        <v>0</v>
      </c>
      <c r="AE37">
        <v>0</v>
      </c>
      <c r="AF37">
        <v>0</v>
      </c>
      <c r="AG37">
        <v>164.0625</v>
      </c>
      <c r="AH37">
        <v>164.0625</v>
      </c>
      <c r="AI37">
        <v>164.0625</v>
      </c>
      <c r="AJ37">
        <v>164.0625</v>
      </c>
      <c r="AK37">
        <v>164.0625</v>
      </c>
      <c r="AL37">
        <v>164.0625</v>
      </c>
      <c r="AM37">
        <v>164.0625</v>
      </c>
      <c r="AN37">
        <v>164.0625</v>
      </c>
      <c r="AO37">
        <v>0</v>
      </c>
      <c r="AP37">
        <v>0</v>
      </c>
      <c r="AR37">
        <f t="shared" si="4"/>
        <v>2625</v>
      </c>
    </row>
    <row r="38" spans="13:44">
      <c r="M38" t="s">
        <v>281</v>
      </c>
      <c r="N38">
        <v>4905.833333333333</v>
      </c>
      <c r="O38">
        <v>5659.833333333333</v>
      </c>
      <c r="P38">
        <v>5199.833333333333</v>
      </c>
      <c r="Q38">
        <v>5659.833333333333</v>
      </c>
      <c r="R38">
        <v>5199.833333333333</v>
      </c>
      <c r="S38">
        <v>10481.137083333333</v>
      </c>
      <c r="T38">
        <v>9786.2337500000012</v>
      </c>
      <c r="U38">
        <v>7249.3037500000009</v>
      </c>
      <c r="V38">
        <v>6955.3037500000009</v>
      </c>
      <c r="W38">
        <v>7249.3037500000009</v>
      </c>
      <c r="X38">
        <v>7249.3037500000009</v>
      </c>
      <c r="Y38">
        <v>6955.3037500000009</v>
      </c>
      <c r="Z38">
        <v>6955.3037500000009</v>
      </c>
      <c r="AA38">
        <v>6608.2272499999999</v>
      </c>
      <c r="AB38">
        <v>6608.2272499999999</v>
      </c>
      <c r="AC38">
        <v>6608.2272499999999</v>
      </c>
      <c r="AD38">
        <v>6148.2272499999999</v>
      </c>
      <c r="AE38">
        <v>6319.05825</v>
      </c>
      <c r="AF38">
        <v>7533.05825</v>
      </c>
      <c r="AG38">
        <v>7827.05825</v>
      </c>
      <c r="AH38">
        <v>7827.05825</v>
      </c>
      <c r="AI38">
        <v>7827.05825</v>
      </c>
      <c r="AJ38">
        <v>7533.05825</v>
      </c>
      <c r="AK38">
        <v>7239.05825</v>
      </c>
      <c r="AL38">
        <v>7239.05825</v>
      </c>
      <c r="AM38">
        <v>1840</v>
      </c>
      <c r="AN38">
        <v>2154</v>
      </c>
      <c r="AO38">
        <v>2154</v>
      </c>
      <c r="AP38">
        <v>1840</v>
      </c>
      <c r="AR38">
        <f t="shared" si="4"/>
        <v>182811.73500000002</v>
      </c>
    </row>
    <row r="39" spans="13:44">
      <c r="M39" t="s">
        <v>206</v>
      </c>
      <c r="N39">
        <v>0</v>
      </c>
      <c r="O39">
        <v>0</v>
      </c>
      <c r="P39">
        <v>0</v>
      </c>
      <c r="Q39">
        <v>0</v>
      </c>
      <c r="R39">
        <v>0</v>
      </c>
      <c r="S39">
        <v>0</v>
      </c>
      <c r="T39">
        <v>0</v>
      </c>
      <c r="U39">
        <v>1875</v>
      </c>
      <c r="V39">
        <v>1875</v>
      </c>
      <c r="W39">
        <v>1875</v>
      </c>
      <c r="X39">
        <v>1875</v>
      </c>
      <c r="Y39">
        <v>1875</v>
      </c>
      <c r="Z39">
        <v>1875</v>
      </c>
      <c r="AA39">
        <v>1875</v>
      </c>
      <c r="AB39">
        <v>1875</v>
      </c>
      <c r="AC39">
        <v>0</v>
      </c>
      <c r="AD39">
        <v>0</v>
      </c>
      <c r="AE39">
        <v>0</v>
      </c>
      <c r="AF39">
        <v>0</v>
      </c>
      <c r="AG39">
        <v>1875</v>
      </c>
      <c r="AH39">
        <v>1875</v>
      </c>
      <c r="AI39">
        <v>1875</v>
      </c>
      <c r="AJ39">
        <v>1875</v>
      </c>
      <c r="AK39">
        <v>1875</v>
      </c>
      <c r="AL39">
        <v>1875</v>
      </c>
      <c r="AM39">
        <v>1875</v>
      </c>
      <c r="AN39">
        <v>1875</v>
      </c>
      <c r="AO39">
        <v>0</v>
      </c>
      <c r="AP39">
        <v>0</v>
      </c>
      <c r="AR39">
        <f t="shared" si="4"/>
        <v>30000</v>
      </c>
    </row>
    <row r="40" spans="13:44">
      <c r="M40" t="s">
        <v>211</v>
      </c>
      <c r="N40">
        <v>0</v>
      </c>
      <c r="O40">
        <v>0</v>
      </c>
      <c r="P40">
        <v>0</v>
      </c>
      <c r="Q40">
        <v>0</v>
      </c>
      <c r="R40">
        <v>0</v>
      </c>
      <c r="S40">
        <v>0</v>
      </c>
      <c r="T40">
        <v>0</v>
      </c>
      <c r="U40">
        <v>70885</v>
      </c>
      <c r="V40">
        <v>70885</v>
      </c>
      <c r="W40">
        <v>70885</v>
      </c>
      <c r="X40">
        <v>70885</v>
      </c>
      <c r="Y40">
        <v>70885</v>
      </c>
      <c r="Z40">
        <v>70885</v>
      </c>
      <c r="AA40">
        <v>70885</v>
      </c>
      <c r="AB40">
        <v>70885</v>
      </c>
      <c r="AC40">
        <v>0</v>
      </c>
      <c r="AD40">
        <v>0</v>
      </c>
      <c r="AE40">
        <v>0</v>
      </c>
      <c r="AF40">
        <v>0</v>
      </c>
      <c r="AG40">
        <v>70885</v>
      </c>
      <c r="AH40">
        <v>70885</v>
      </c>
      <c r="AI40">
        <v>70885</v>
      </c>
      <c r="AJ40">
        <v>70885</v>
      </c>
      <c r="AK40">
        <v>70885</v>
      </c>
      <c r="AL40">
        <v>70885</v>
      </c>
      <c r="AM40">
        <v>70885</v>
      </c>
      <c r="AN40">
        <v>70885</v>
      </c>
      <c r="AO40">
        <v>0</v>
      </c>
      <c r="AP40">
        <v>0</v>
      </c>
      <c r="AR40">
        <f t="shared" si="4"/>
        <v>1134160</v>
      </c>
    </row>
    <row r="41" spans="13:44">
      <c r="M41" t="s">
        <v>226</v>
      </c>
      <c r="N41">
        <v>2000</v>
      </c>
      <c r="O41">
        <v>2000</v>
      </c>
      <c r="P41">
        <v>2000</v>
      </c>
      <c r="Q41">
        <v>2000</v>
      </c>
      <c r="R41">
        <v>2000</v>
      </c>
      <c r="S41">
        <v>2000</v>
      </c>
      <c r="T41">
        <v>2000</v>
      </c>
      <c r="U41">
        <v>2000</v>
      </c>
      <c r="V41">
        <v>2000</v>
      </c>
      <c r="W41">
        <v>2000</v>
      </c>
      <c r="X41">
        <v>2000</v>
      </c>
      <c r="Y41">
        <v>2000</v>
      </c>
      <c r="Z41">
        <v>2000</v>
      </c>
      <c r="AA41">
        <v>2000</v>
      </c>
      <c r="AB41">
        <v>2000</v>
      </c>
      <c r="AC41">
        <v>0</v>
      </c>
      <c r="AD41">
        <v>0</v>
      </c>
      <c r="AE41">
        <v>0</v>
      </c>
      <c r="AF41">
        <v>0</v>
      </c>
      <c r="AG41">
        <v>2000</v>
      </c>
      <c r="AH41">
        <v>2000</v>
      </c>
      <c r="AI41">
        <v>2000</v>
      </c>
      <c r="AJ41">
        <v>2000</v>
      </c>
      <c r="AK41">
        <v>2000</v>
      </c>
      <c r="AL41">
        <v>2000</v>
      </c>
      <c r="AM41">
        <v>2000</v>
      </c>
      <c r="AN41">
        <v>2000</v>
      </c>
      <c r="AO41">
        <v>0</v>
      </c>
      <c r="AP41">
        <v>0</v>
      </c>
      <c r="AR41">
        <f t="shared" si="4"/>
        <v>46000</v>
      </c>
    </row>
    <row r="42" spans="13:44">
      <c r="M42" t="s">
        <v>341</v>
      </c>
      <c r="N42">
        <v>0</v>
      </c>
      <c r="O42">
        <v>0</v>
      </c>
      <c r="P42">
        <v>2997.0190599999996</v>
      </c>
      <c r="Q42">
        <v>2997.0190599999996</v>
      </c>
      <c r="R42">
        <v>2997.0190599999996</v>
      </c>
      <c r="S42">
        <v>2997.0190599999996</v>
      </c>
      <c r="T42">
        <v>5879.3478099999993</v>
      </c>
      <c r="U42">
        <v>2882.3287500000001</v>
      </c>
      <c r="V42">
        <v>2882.3287500000001</v>
      </c>
      <c r="W42">
        <v>5745.8187500000004</v>
      </c>
      <c r="X42">
        <v>8709.7820833333335</v>
      </c>
      <c r="Y42">
        <v>8709.7820833333335</v>
      </c>
      <c r="Z42">
        <v>8709.7820833333335</v>
      </c>
      <c r="AA42">
        <v>7579.4570833333337</v>
      </c>
      <c r="AB42">
        <v>4697.1283333333331</v>
      </c>
      <c r="AC42">
        <v>2963.9633333333331</v>
      </c>
      <c r="AD42">
        <v>2712.78</v>
      </c>
      <c r="AE42">
        <v>2712.78</v>
      </c>
      <c r="AF42">
        <v>2712.78</v>
      </c>
      <c r="AG42">
        <v>2712.78</v>
      </c>
      <c r="AH42">
        <v>2712.78</v>
      </c>
      <c r="AI42">
        <v>2712.78</v>
      </c>
      <c r="AJ42">
        <v>2712.78</v>
      </c>
      <c r="AK42">
        <v>2712.78</v>
      </c>
      <c r="AL42">
        <v>2712.78</v>
      </c>
      <c r="AM42">
        <v>0</v>
      </c>
      <c r="AN42">
        <v>0</v>
      </c>
      <c r="AO42">
        <v>0</v>
      </c>
      <c r="AP42">
        <v>0</v>
      </c>
      <c r="AR42">
        <f t="shared" si="4"/>
        <v>95162.815299999987</v>
      </c>
    </row>
    <row r="43" spans="13:44">
      <c r="M43" t="s">
        <v>277</v>
      </c>
      <c r="N43">
        <v>0</v>
      </c>
      <c r="O43">
        <v>0</v>
      </c>
      <c r="P43">
        <v>1660.4809999999998</v>
      </c>
      <c r="Q43">
        <v>1660.4809999999998</v>
      </c>
      <c r="R43">
        <v>1660.4809999999998</v>
      </c>
      <c r="S43">
        <v>1660.4809999999998</v>
      </c>
      <c r="T43">
        <v>3257.4184999999998</v>
      </c>
      <c r="U43">
        <v>1596.9375</v>
      </c>
      <c r="V43">
        <v>1596.9375</v>
      </c>
      <c r="W43">
        <v>3183.4375</v>
      </c>
      <c r="X43">
        <v>4825.604166666667</v>
      </c>
      <c r="Y43">
        <v>4825.604166666667</v>
      </c>
      <c r="Z43">
        <v>4825.604166666667</v>
      </c>
      <c r="AA43">
        <v>4199.354166666667</v>
      </c>
      <c r="AB43">
        <v>2602.416666666667</v>
      </c>
      <c r="AC43">
        <v>1642.1666666666667</v>
      </c>
      <c r="AD43">
        <v>1503</v>
      </c>
      <c r="AE43">
        <v>1503</v>
      </c>
      <c r="AF43">
        <v>1503</v>
      </c>
      <c r="AG43">
        <v>1503</v>
      </c>
      <c r="AH43">
        <v>1503</v>
      </c>
      <c r="AI43">
        <v>1503</v>
      </c>
      <c r="AJ43">
        <v>1503</v>
      </c>
      <c r="AK43">
        <v>1503</v>
      </c>
      <c r="AL43">
        <v>1503</v>
      </c>
      <c r="AM43">
        <v>0</v>
      </c>
      <c r="AN43">
        <v>0</v>
      </c>
      <c r="AO43">
        <v>0</v>
      </c>
      <c r="AP43">
        <v>0</v>
      </c>
      <c r="AR43">
        <f t="shared" si="4"/>
        <v>52724.404999999999</v>
      </c>
    </row>
    <row r="44" spans="13:44">
      <c r="M44" t="s">
        <v>231</v>
      </c>
      <c r="N44">
        <v>171.4955195</v>
      </c>
      <c r="O44">
        <v>379.80956908677683</v>
      </c>
      <c r="P44">
        <v>588.93849470661155</v>
      </c>
      <c r="Q44">
        <v>724.93849470661155</v>
      </c>
      <c r="R44">
        <v>588.93849470661155</v>
      </c>
      <c r="S44">
        <v>704.28369511983465</v>
      </c>
      <c r="T44">
        <v>1493.2699128099175</v>
      </c>
      <c r="U44">
        <v>999.89478719008252</v>
      </c>
      <c r="V44">
        <v>927.58073760330569</v>
      </c>
      <c r="W44">
        <v>1329.6468533057853</v>
      </c>
      <c r="X44">
        <v>1670.9691673553721</v>
      </c>
      <c r="Y44">
        <v>1598.6551177685951</v>
      </c>
      <c r="Z44">
        <v>1598.6551177685951</v>
      </c>
      <c r="AA44">
        <v>1445.99466184573</v>
      </c>
      <c r="AB44">
        <v>1114.0731742424243</v>
      </c>
      <c r="AC44">
        <v>914.48639738292013</v>
      </c>
      <c r="AD44">
        <v>749.56077754820944</v>
      </c>
      <c r="AE44">
        <v>768.1035275482094</v>
      </c>
      <c r="AF44">
        <v>1112.4175771349862</v>
      </c>
      <c r="AG44">
        <v>1184.7316267217632</v>
      </c>
      <c r="AH44">
        <v>1184.7316267217632</v>
      </c>
      <c r="AI44">
        <v>1184.7316267217632</v>
      </c>
      <c r="AJ44">
        <v>1112.4175771349862</v>
      </c>
      <c r="AK44">
        <v>1040.1035275482095</v>
      </c>
      <c r="AL44">
        <v>1040.1035275482095</v>
      </c>
      <c r="AM44">
        <v>544</v>
      </c>
      <c r="AN44">
        <v>626.23140495867767</v>
      </c>
      <c r="AO44">
        <v>626.23140495867767</v>
      </c>
      <c r="AP44">
        <v>544</v>
      </c>
      <c r="AR44">
        <f t="shared" si="4"/>
        <v>27968.994399644638</v>
      </c>
    </row>
    <row r="46" spans="13:44">
      <c r="M46" t="s">
        <v>149</v>
      </c>
      <c r="N46">
        <f t="shared" ref="N46:AP46" si="5">+N27/$AR$27</f>
        <v>9.9830241628369142E-3</v>
      </c>
      <c r="O46">
        <f t="shared" si="5"/>
        <v>2.3464741761107827E-2</v>
      </c>
      <c r="P46">
        <f t="shared" si="5"/>
        <v>1.6017244053700221E-2</v>
      </c>
      <c r="Q46">
        <f t="shared" si="5"/>
        <v>2.4958173375701186E-2</v>
      </c>
      <c r="R46">
        <f t="shared" si="5"/>
        <v>1.7510675668293584E-2</v>
      </c>
      <c r="S46">
        <f t="shared" si="5"/>
        <v>2.2384251785931064E-2</v>
      </c>
      <c r="T46">
        <f t="shared" si="5"/>
        <v>4.823734798810933E-2</v>
      </c>
      <c r="U46">
        <f t="shared" si="5"/>
        <v>4.2606921759115811E-2</v>
      </c>
      <c r="V46">
        <f t="shared" si="5"/>
        <v>3.6572701868252511E-2</v>
      </c>
      <c r="W46">
        <f t="shared" si="5"/>
        <v>4.1113490144522452E-2</v>
      </c>
      <c r="X46">
        <f t="shared" si="5"/>
        <v>4.1113490144522452E-2</v>
      </c>
      <c r="Y46">
        <f t="shared" si="5"/>
        <v>3.5079270253659145E-2</v>
      </c>
      <c r="Z46">
        <f t="shared" si="5"/>
        <v>3.5079270253659145E-2</v>
      </c>
      <c r="AA46">
        <f t="shared" si="5"/>
        <v>3.3103156106272388E-2</v>
      </c>
      <c r="AB46">
        <f t="shared" si="5"/>
        <v>3.3103156106272388E-2</v>
      </c>
      <c r="AC46">
        <f t="shared" si="5"/>
        <v>3.1274174983336851E-2</v>
      </c>
      <c r="AD46">
        <f t="shared" si="5"/>
        <v>2.3826677275929242E-2</v>
      </c>
      <c r="AE46">
        <f t="shared" si="5"/>
        <v>2.4798926777696354E-2</v>
      </c>
      <c r="AF46">
        <f t="shared" si="5"/>
        <v>4.5728142083374876E-2</v>
      </c>
      <c r="AG46">
        <f t="shared" si="5"/>
        <v>5.1762361974238183E-2</v>
      </c>
      <c r="AH46">
        <f t="shared" si="5"/>
        <v>5.1762361974238183E-2</v>
      </c>
      <c r="AI46">
        <f t="shared" si="5"/>
        <v>5.1762361974238183E-2</v>
      </c>
      <c r="AJ46">
        <f t="shared" si="5"/>
        <v>4.5728142083374876E-2</v>
      </c>
      <c r="AK46">
        <f t="shared" si="5"/>
        <v>3.9693922192511576E-2</v>
      </c>
      <c r="AL46">
        <f t="shared" si="5"/>
        <v>3.9693922192511576E-2</v>
      </c>
      <c r="AM46">
        <f t="shared" si="5"/>
        <v>2.9789990829630436E-2</v>
      </c>
      <c r="AN46">
        <f t="shared" si="5"/>
        <v>3.7031054698666403E-2</v>
      </c>
      <c r="AO46">
        <f t="shared" si="5"/>
        <v>3.7031054698666403E-2</v>
      </c>
      <c r="AP46">
        <f t="shared" si="5"/>
        <v>2.9789990829630436E-2</v>
      </c>
    </row>
    <row r="47" spans="13:44">
      <c r="M47" t="s">
        <v>153</v>
      </c>
      <c r="N47">
        <f t="shared" ref="N47:AP47" si="6">+N28/$AR28</f>
        <v>1.1155073238445216E-2</v>
      </c>
      <c r="O47">
        <f t="shared" si="6"/>
        <v>1.4514840718490274E-2</v>
      </c>
      <c r="P47">
        <f t="shared" si="6"/>
        <v>2.6521840519225251E-2</v>
      </c>
      <c r="Q47">
        <f t="shared" si="6"/>
        <v>3.0644328162484545E-2</v>
      </c>
      <c r="R47">
        <f t="shared" si="6"/>
        <v>2.8190607294268727E-2</v>
      </c>
      <c r="S47">
        <f t="shared" si="6"/>
        <v>3.9487203848190509E-2</v>
      </c>
      <c r="T47">
        <f t="shared" si="6"/>
        <v>5.8841848967738759E-2</v>
      </c>
      <c r="U47">
        <f t="shared" si="6"/>
        <v>3.8089666320573423E-2</v>
      </c>
      <c r="V47">
        <f t="shared" si="6"/>
        <v>3.7183619708744196E-2</v>
      </c>
      <c r="W47">
        <f t="shared" si="6"/>
        <v>5.0237337879537054E-2</v>
      </c>
      <c r="X47">
        <f t="shared" si="6"/>
        <v>6.4538563523509312E-2</v>
      </c>
      <c r="Y47">
        <f t="shared" si="6"/>
        <v>6.3632516911680079E-2</v>
      </c>
      <c r="Z47">
        <f t="shared" si="6"/>
        <v>6.3632516911680079E-2</v>
      </c>
      <c r="AA47">
        <f t="shared" si="6"/>
        <v>5.5975288148511576E-2</v>
      </c>
      <c r="AB47">
        <f t="shared" si="6"/>
        <v>4.2067952193885996E-2</v>
      </c>
      <c r="AC47">
        <f t="shared" si="6"/>
        <v>3.1661659888310302E-2</v>
      </c>
      <c r="AD47">
        <f t="shared" si="6"/>
        <v>2.7995970745181575E-2</v>
      </c>
      <c r="AE47">
        <f t="shared" si="6"/>
        <v>2.9075248297394697E-2</v>
      </c>
      <c r="AF47">
        <f t="shared" si="6"/>
        <v>3.4888736645655581E-2</v>
      </c>
      <c r="AG47">
        <f t="shared" si="6"/>
        <v>3.5794783257484815E-2</v>
      </c>
      <c r="AH47">
        <f t="shared" si="6"/>
        <v>3.5794783257484815E-2</v>
      </c>
      <c r="AI47">
        <f t="shared" si="6"/>
        <v>3.5794783257484815E-2</v>
      </c>
      <c r="AJ47">
        <f t="shared" si="6"/>
        <v>3.4888736645655581E-2</v>
      </c>
      <c r="AK47">
        <f t="shared" si="6"/>
        <v>3.3982690033826347E-2</v>
      </c>
      <c r="AL47">
        <f t="shared" si="6"/>
        <v>3.3982690033826347E-2</v>
      </c>
      <c r="AM47">
        <f t="shared" si="6"/>
        <v>9.8148834728632953E-3</v>
      </c>
      <c r="AN47">
        <f t="shared" si="6"/>
        <v>1.0898473322501838E-2</v>
      </c>
      <c r="AO47">
        <f t="shared" si="6"/>
        <v>1.0898473322501838E-2</v>
      </c>
      <c r="AP47">
        <f t="shared" si="6"/>
        <v>9.8148834728632953E-3</v>
      </c>
    </row>
    <row r="48" spans="13:44">
      <c r="M48" t="s">
        <v>157</v>
      </c>
      <c r="N48">
        <f t="shared" ref="N48:AP48" si="7">+N29/$AR29</f>
        <v>0</v>
      </c>
      <c r="O48">
        <f t="shared" si="7"/>
        <v>0</v>
      </c>
      <c r="P48">
        <f t="shared" si="7"/>
        <v>3.1493593905896136E-2</v>
      </c>
      <c r="Q48">
        <f t="shared" si="7"/>
        <v>3.1493593905896136E-2</v>
      </c>
      <c r="R48">
        <f t="shared" si="7"/>
        <v>3.1493593905896136E-2</v>
      </c>
      <c r="S48">
        <f t="shared" si="7"/>
        <v>3.1493593905896136E-2</v>
      </c>
      <c r="T48">
        <f t="shared" si="7"/>
        <v>6.1781986918581631E-2</v>
      </c>
      <c r="U48">
        <f t="shared" si="7"/>
        <v>3.0288393012685492E-2</v>
      </c>
      <c r="V48">
        <f t="shared" si="7"/>
        <v>3.0288393012685492E-2</v>
      </c>
      <c r="W48">
        <f t="shared" si="7"/>
        <v>6.0378822672346899E-2</v>
      </c>
      <c r="X48">
        <f t="shared" si="7"/>
        <v>9.1525056881470099E-2</v>
      </c>
      <c r="Y48">
        <f t="shared" si="7"/>
        <v>9.1525056881470099E-2</v>
      </c>
      <c r="Z48">
        <f t="shared" si="7"/>
        <v>9.1525056881470099E-2</v>
      </c>
      <c r="AA48">
        <f t="shared" si="7"/>
        <v>7.9647255700024816E-2</v>
      </c>
      <c r="AB48">
        <f t="shared" si="7"/>
        <v>4.9358862687339321E-2</v>
      </c>
      <c r="AC48">
        <f t="shared" si="7"/>
        <v>3.1146234209123207E-2</v>
      </c>
      <c r="AD48">
        <f t="shared" si="7"/>
        <v>2.8506722835468699E-2</v>
      </c>
      <c r="AE48">
        <f t="shared" si="7"/>
        <v>2.8506722835468699E-2</v>
      </c>
      <c r="AF48">
        <f t="shared" si="7"/>
        <v>2.8506722835468699E-2</v>
      </c>
      <c r="AG48">
        <f t="shared" si="7"/>
        <v>2.8506722835468699E-2</v>
      </c>
      <c r="AH48">
        <f t="shared" si="7"/>
        <v>2.8506722835468699E-2</v>
      </c>
      <c r="AI48">
        <f t="shared" si="7"/>
        <v>2.8506722835468699E-2</v>
      </c>
      <c r="AJ48">
        <f t="shared" si="7"/>
        <v>2.8506722835468699E-2</v>
      </c>
      <c r="AK48">
        <f t="shared" si="7"/>
        <v>2.8506722835468699E-2</v>
      </c>
      <c r="AL48">
        <f t="shared" si="7"/>
        <v>2.8506722835468699E-2</v>
      </c>
      <c r="AM48">
        <f t="shared" si="7"/>
        <v>0</v>
      </c>
      <c r="AN48">
        <f t="shared" si="7"/>
        <v>0</v>
      </c>
      <c r="AO48">
        <f t="shared" si="7"/>
        <v>0</v>
      </c>
      <c r="AP48">
        <f t="shared" si="7"/>
        <v>0</v>
      </c>
    </row>
    <row r="49" spans="13:42">
      <c r="M49" t="s">
        <v>166</v>
      </c>
      <c r="N49">
        <f t="shared" ref="N49:AP49" si="8">+N31/$AR$31</f>
        <v>7.2722775091860368E-3</v>
      </c>
      <c r="O49">
        <f t="shared" si="8"/>
        <v>1.1541018002132343E-2</v>
      </c>
      <c r="P49">
        <f t="shared" si="8"/>
        <v>2.6637324491746234E-2</v>
      </c>
      <c r="Q49">
        <f t="shared" si="8"/>
        <v>2.9859010429513048E-2</v>
      </c>
      <c r="R49">
        <f t="shared" si="8"/>
        <v>2.749011989822701E-2</v>
      </c>
      <c r="S49">
        <f t="shared" si="8"/>
        <v>3.3760645724911727E-2</v>
      </c>
      <c r="T49">
        <f t="shared" si="8"/>
        <v>5.8616694853885369E-2</v>
      </c>
      <c r="U49">
        <f t="shared" si="8"/>
        <v>3.5870933871288396E-2</v>
      </c>
      <c r="V49">
        <f t="shared" si="8"/>
        <v>3.3971083909628129E-2</v>
      </c>
      <c r="W49">
        <f t="shared" si="8"/>
        <v>5.1705191838894854E-2</v>
      </c>
      <c r="X49">
        <f t="shared" si="8"/>
        <v>6.8977755857686909E-2</v>
      </c>
      <c r="Y49">
        <f t="shared" si="8"/>
        <v>6.7077905896026649E-2</v>
      </c>
      <c r="Z49">
        <f t="shared" si="8"/>
        <v>6.7077905896026649E-2</v>
      </c>
      <c r="AA49">
        <f t="shared" si="8"/>
        <v>5.9478307939181692E-2</v>
      </c>
      <c r="AB49">
        <f t="shared" si="8"/>
        <v>4.2681471319212308E-2</v>
      </c>
      <c r="AC49">
        <f t="shared" si="8"/>
        <v>3.1537008197079372E-2</v>
      </c>
      <c r="AD49">
        <f t="shared" si="8"/>
        <v>2.7704341054031301E-2</v>
      </c>
      <c r="AE49">
        <f t="shared" si="8"/>
        <v>2.8440580835165749E-2</v>
      </c>
      <c r="AF49">
        <f t="shared" si="8"/>
        <v>3.5078211859398092E-2</v>
      </c>
      <c r="AG49">
        <f t="shared" si="8"/>
        <v>3.697806182105836E-2</v>
      </c>
      <c r="AH49">
        <f t="shared" si="8"/>
        <v>3.697806182105836E-2</v>
      </c>
      <c r="AI49">
        <f t="shared" si="8"/>
        <v>3.697806182105836E-2</v>
      </c>
      <c r="AJ49">
        <f t="shared" si="8"/>
        <v>3.5078211859398092E-2</v>
      </c>
      <c r="AK49">
        <f t="shared" si="8"/>
        <v>3.3178361897737825E-2</v>
      </c>
      <c r="AL49">
        <f t="shared" si="8"/>
        <v>3.3178361897737825E-2</v>
      </c>
      <c r="AM49">
        <f t="shared" si="8"/>
        <v>9.4755621251441605E-3</v>
      </c>
      <c r="AN49">
        <f t="shared" si="8"/>
        <v>1.195098262422057E-2</v>
      </c>
      <c r="AO49">
        <f t="shared" si="8"/>
        <v>1.195098262422057E-2</v>
      </c>
      <c r="AP49">
        <f t="shared" si="8"/>
        <v>9.4755621251441605E-3</v>
      </c>
    </row>
    <row r="50" spans="13:42">
      <c r="M50" t="s">
        <v>174</v>
      </c>
      <c r="N50">
        <f t="shared" ref="N50:AP50" si="9">+N33/$AR$33</f>
        <v>0</v>
      </c>
      <c r="O50">
        <f t="shared" si="9"/>
        <v>0</v>
      </c>
      <c r="P50">
        <f t="shared" si="9"/>
        <v>3.1493593905896136E-2</v>
      </c>
      <c r="Q50">
        <f t="shared" si="9"/>
        <v>3.1493593905896136E-2</v>
      </c>
      <c r="R50">
        <f t="shared" si="9"/>
        <v>3.1493593905896136E-2</v>
      </c>
      <c r="S50">
        <f t="shared" si="9"/>
        <v>3.1493593905896136E-2</v>
      </c>
      <c r="T50">
        <f t="shared" si="9"/>
        <v>6.1781986918581631E-2</v>
      </c>
      <c r="U50">
        <f t="shared" si="9"/>
        <v>3.0288393012685492E-2</v>
      </c>
      <c r="V50">
        <f t="shared" si="9"/>
        <v>3.0288393012685492E-2</v>
      </c>
      <c r="W50">
        <f t="shared" si="9"/>
        <v>6.0378822672346892E-2</v>
      </c>
      <c r="X50">
        <f t="shared" si="9"/>
        <v>9.1525056881470099E-2</v>
      </c>
      <c r="Y50">
        <f t="shared" si="9"/>
        <v>9.1525056881470099E-2</v>
      </c>
      <c r="Z50">
        <f t="shared" si="9"/>
        <v>9.1525056881470099E-2</v>
      </c>
      <c r="AA50">
        <f t="shared" si="9"/>
        <v>7.9647255700024802E-2</v>
      </c>
      <c r="AB50">
        <f t="shared" si="9"/>
        <v>4.9358862687339314E-2</v>
      </c>
      <c r="AC50">
        <f t="shared" si="9"/>
        <v>3.1146234209123203E-2</v>
      </c>
      <c r="AD50">
        <f t="shared" si="9"/>
        <v>2.8506722835468696E-2</v>
      </c>
      <c r="AE50">
        <f t="shared" si="9"/>
        <v>2.8506722835468696E-2</v>
      </c>
      <c r="AF50">
        <f t="shared" si="9"/>
        <v>2.8506722835468696E-2</v>
      </c>
      <c r="AG50">
        <f t="shared" si="9"/>
        <v>2.8506722835468696E-2</v>
      </c>
      <c r="AH50">
        <f t="shared" si="9"/>
        <v>2.8506722835468696E-2</v>
      </c>
      <c r="AI50">
        <f t="shared" si="9"/>
        <v>2.8506722835468696E-2</v>
      </c>
      <c r="AJ50">
        <f t="shared" si="9"/>
        <v>2.8506722835468696E-2</v>
      </c>
      <c r="AK50">
        <f t="shared" si="9"/>
        <v>2.8506722835468696E-2</v>
      </c>
      <c r="AL50">
        <f t="shared" si="9"/>
        <v>2.8506722835468696E-2</v>
      </c>
      <c r="AM50">
        <f t="shared" si="9"/>
        <v>0</v>
      </c>
      <c r="AN50">
        <f t="shared" si="9"/>
        <v>0</v>
      </c>
      <c r="AO50">
        <f t="shared" si="9"/>
        <v>0</v>
      </c>
      <c r="AP50">
        <f t="shared" si="9"/>
        <v>0</v>
      </c>
    </row>
    <row r="51" spans="13:42">
      <c r="M51" t="s">
        <v>180</v>
      </c>
      <c r="N51">
        <f t="shared" ref="N51:AP51" si="10">+N34/$AR$34</f>
        <v>0</v>
      </c>
      <c r="O51">
        <f t="shared" si="10"/>
        <v>4.6152462963147982E-3</v>
      </c>
      <c r="P51">
        <f t="shared" si="10"/>
        <v>1.9865538495349801E-2</v>
      </c>
      <c r="Q51">
        <f t="shared" si="10"/>
        <v>2.4480784791664597E-2</v>
      </c>
      <c r="R51">
        <f t="shared" si="10"/>
        <v>1.9865538495349801E-2</v>
      </c>
      <c r="S51">
        <f t="shared" si="10"/>
        <v>1.9865538495349801E-2</v>
      </c>
      <c r="T51">
        <f t="shared" si="10"/>
        <v>5.2816598903129813E-2</v>
      </c>
      <c r="U51">
        <f t="shared" si="10"/>
        <v>3.2951060407780008E-2</v>
      </c>
      <c r="V51">
        <f t="shared" si="10"/>
        <v>3.2951060407780008E-2</v>
      </c>
      <c r="W51">
        <f t="shared" si="10"/>
        <v>5.1931510544139574E-2</v>
      </c>
      <c r="X51">
        <f t="shared" si="10"/>
        <v>7.157794138703806E-2</v>
      </c>
      <c r="Y51">
        <f t="shared" si="10"/>
        <v>7.157794138703806E-2</v>
      </c>
      <c r="Z51">
        <f t="shared" si="10"/>
        <v>7.157794138703806E-2</v>
      </c>
      <c r="AA51">
        <f t="shared" si="10"/>
        <v>6.4085658438475079E-2</v>
      </c>
      <c r="AB51">
        <f t="shared" si="10"/>
        <v>4.4980336919639465E-2</v>
      </c>
      <c r="AC51">
        <f t="shared" si="10"/>
        <v>3.3492169731842887E-2</v>
      </c>
      <c r="AD51">
        <f t="shared" si="10"/>
        <v>2.7211971669180757E-2</v>
      </c>
      <c r="AE51">
        <f t="shared" si="10"/>
        <v>2.7211971669180757E-2</v>
      </c>
      <c r="AF51">
        <f t="shared" si="10"/>
        <v>3.6442464261810352E-2</v>
      </c>
      <c r="AG51">
        <f t="shared" si="10"/>
        <v>3.6442464261810352E-2</v>
      </c>
      <c r="AH51">
        <f t="shared" si="10"/>
        <v>3.6442464261810352E-2</v>
      </c>
      <c r="AI51">
        <f t="shared" si="10"/>
        <v>3.6442464261810352E-2</v>
      </c>
      <c r="AJ51">
        <f t="shared" si="10"/>
        <v>3.6442464261810352E-2</v>
      </c>
      <c r="AK51">
        <f t="shared" si="10"/>
        <v>3.6442464261810352E-2</v>
      </c>
      <c r="AL51">
        <f t="shared" si="10"/>
        <v>3.6442464261810352E-2</v>
      </c>
      <c r="AM51">
        <f t="shared" si="10"/>
        <v>1.8460985185259196E-2</v>
      </c>
      <c r="AN51">
        <f t="shared" si="10"/>
        <v>1.8460985185259193E-2</v>
      </c>
      <c r="AO51">
        <f t="shared" si="10"/>
        <v>1.8460985185259193E-2</v>
      </c>
      <c r="AP51">
        <f t="shared" si="10"/>
        <v>1.8460985185259193E-2</v>
      </c>
    </row>
    <row r="52" spans="13:42">
      <c r="M52" t="s">
        <v>190</v>
      </c>
      <c r="N52">
        <f t="shared" ref="N52:AP52" si="11">+N36/$AR$36</f>
        <v>0</v>
      </c>
      <c r="O52">
        <f t="shared" si="11"/>
        <v>0</v>
      </c>
      <c r="P52">
        <f t="shared" si="11"/>
        <v>0</v>
      </c>
      <c r="Q52">
        <f t="shared" si="11"/>
        <v>0</v>
      </c>
      <c r="R52">
        <f t="shared" si="11"/>
        <v>0</v>
      </c>
      <c r="S52">
        <f t="shared" si="11"/>
        <v>0</v>
      </c>
      <c r="T52">
        <f t="shared" si="11"/>
        <v>0</v>
      </c>
      <c r="U52">
        <f t="shared" si="11"/>
        <v>6.2499999999999979E-2</v>
      </c>
      <c r="V52">
        <f t="shared" si="11"/>
        <v>6.2499999999999979E-2</v>
      </c>
      <c r="W52">
        <f t="shared" si="11"/>
        <v>6.2499999999999979E-2</v>
      </c>
      <c r="X52">
        <f t="shared" si="11"/>
        <v>6.2499999999999979E-2</v>
      </c>
      <c r="Y52">
        <f t="shared" si="11"/>
        <v>6.2499999999999979E-2</v>
      </c>
      <c r="Z52">
        <f t="shared" si="11"/>
        <v>6.2499999999999979E-2</v>
      </c>
      <c r="AA52">
        <f t="shared" si="11"/>
        <v>6.2499999999999979E-2</v>
      </c>
      <c r="AB52">
        <f t="shared" si="11"/>
        <v>6.2499999999999979E-2</v>
      </c>
      <c r="AC52">
        <f t="shared" si="11"/>
        <v>0</v>
      </c>
      <c r="AD52">
        <f t="shared" si="11"/>
        <v>0</v>
      </c>
      <c r="AE52">
        <f t="shared" si="11"/>
        <v>0</v>
      </c>
      <c r="AF52">
        <f t="shared" si="11"/>
        <v>0</v>
      </c>
      <c r="AG52">
        <f t="shared" si="11"/>
        <v>6.2499999999999979E-2</v>
      </c>
      <c r="AH52">
        <f t="shared" si="11"/>
        <v>6.2499999999999979E-2</v>
      </c>
      <c r="AI52">
        <f t="shared" si="11"/>
        <v>6.2499999999999979E-2</v>
      </c>
      <c r="AJ52">
        <f t="shared" si="11"/>
        <v>6.2499999999999979E-2</v>
      </c>
      <c r="AK52">
        <f t="shared" si="11"/>
        <v>6.2499999999999979E-2</v>
      </c>
      <c r="AL52">
        <f t="shared" si="11"/>
        <v>6.2499999999999979E-2</v>
      </c>
      <c r="AM52">
        <f t="shared" si="11"/>
        <v>6.2499999999999979E-2</v>
      </c>
      <c r="AN52">
        <f t="shared" si="11"/>
        <v>6.2499999999999979E-2</v>
      </c>
      <c r="AO52">
        <f t="shared" si="11"/>
        <v>0</v>
      </c>
      <c r="AP52">
        <f t="shared" si="1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51449-3C41-4E45-BCEC-22B4912A1FEE}">
  <sheetPr codeName="Sheet9"/>
  <dimension ref="A1:BO149"/>
  <sheetViews>
    <sheetView workbookViewId="0"/>
  </sheetViews>
  <sheetFormatPr defaultRowHeight="14.5"/>
  <cols>
    <col min="1" max="1" width="13.453125" bestFit="1" customWidth="1"/>
    <col min="2" max="2" width="18.81640625" bestFit="1" customWidth="1"/>
    <col min="3" max="3" width="18.81640625" customWidth="1"/>
    <col min="4" max="4" width="18.54296875" bestFit="1" customWidth="1"/>
    <col min="5" max="5" width="8.90625" bestFit="1" customWidth="1"/>
    <col min="6" max="6" width="9.90625" bestFit="1" customWidth="1"/>
    <col min="7" max="7" width="11.26953125" bestFit="1" customWidth="1"/>
    <col min="8" max="8" width="9.90625" bestFit="1" customWidth="1"/>
    <col min="9" max="9" width="10.54296875" bestFit="1" customWidth="1"/>
    <col min="10" max="12" width="11.26953125" bestFit="1" customWidth="1"/>
    <col min="13" max="13" width="9.90625" bestFit="1" customWidth="1"/>
    <col min="14" max="14" width="9.90625" customWidth="1"/>
    <col min="15" max="43" width="9.90625" bestFit="1" customWidth="1"/>
    <col min="44" max="67" width="8.90625" bestFit="1" customWidth="1"/>
  </cols>
  <sheetData>
    <row r="1" spans="2:67" ht="15" thickBot="1">
      <c r="B1" s="89" t="s">
        <v>5190</v>
      </c>
      <c r="D1" s="1" t="s">
        <v>1</v>
      </c>
      <c r="E1" s="2">
        <v>45200</v>
      </c>
      <c r="F1" s="2">
        <v>45231</v>
      </c>
      <c r="G1" s="2">
        <v>45261</v>
      </c>
      <c r="H1" s="2">
        <v>45292</v>
      </c>
      <c r="I1" s="2">
        <v>45323</v>
      </c>
      <c r="J1" s="2">
        <v>45352</v>
      </c>
      <c r="K1" s="2">
        <v>45383</v>
      </c>
      <c r="L1" s="2">
        <v>45413</v>
      </c>
      <c r="M1" s="2">
        <v>45444</v>
      </c>
      <c r="N1" s="87">
        <v>45474</v>
      </c>
      <c r="O1" s="86">
        <v>45505</v>
      </c>
      <c r="P1" s="2">
        <v>45536</v>
      </c>
      <c r="Q1" s="2">
        <v>45566</v>
      </c>
      <c r="R1" s="2">
        <v>45597</v>
      </c>
      <c r="S1" s="2">
        <v>45627</v>
      </c>
      <c r="T1" s="2">
        <v>45658</v>
      </c>
      <c r="U1" s="2">
        <v>45689</v>
      </c>
      <c r="V1" s="2">
        <v>45717</v>
      </c>
      <c r="W1" s="2">
        <v>45748</v>
      </c>
      <c r="X1" s="2">
        <v>45778</v>
      </c>
      <c r="Y1" s="2">
        <v>45809</v>
      </c>
      <c r="Z1" s="2">
        <v>45839</v>
      </c>
      <c r="AA1" s="2">
        <v>45870</v>
      </c>
      <c r="AB1" s="2">
        <v>45901</v>
      </c>
      <c r="AC1" s="2">
        <v>45931</v>
      </c>
      <c r="AD1" s="2">
        <v>45962</v>
      </c>
      <c r="AE1" s="2">
        <v>45992</v>
      </c>
      <c r="AF1" s="2">
        <v>46023</v>
      </c>
      <c r="AG1" s="2">
        <v>46054</v>
      </c>
      <c r="AH1" s="2">
        <v>46082</v>
      </c>
      <c r="AI1" s="2">
        <v>46113</v>
      </c>
      <c r="AJ1" s="2">
        <v>46143</v>
      </c>
      <c r="AK1" s="2">
        <v>46174</v>
      </c>
      <c r="AL1" s="2">
        <v>46204</v>
      </c>
      <c r="AM1" s="2">
        <v>46235</v>
      </c>
      <c r="AN1" s="2">
        <v>46266</v>
      </c>
      <c r="AO1" s="2">
        <v>46296</v>
      </c>
      <c r="AP1" s="2">
        <v>46327</v>
      </c>
      <c r="AQ1" s="2">
        <v>46357</v>
      </c>
      <c r="AR1" s="2">
        <v>46388</v>
      </c>
      <c r="AS1" s="2">
        <v>46419</v>
      </c>
      <c r="AT1" s="2">
        <v>46447</v>
      </c>
      <c r="AU1" s="2">
        <v>46478</v>
      </c>
      <c r="AV1" s="2">
        <v>46508</v>
      </c>
      <c r="AW1" s="2">
        <v>46539</v>
      </c>
      <c r="AX1" s="2">
        <v>46569</v>
      </c>
      <c r="AY1" s="2">
        <v>46600</v>
      </c>
      <c r="AZ1" s="2">
        <v>46631</v>
      </c>
      <c r="BA1" s="2">
        <v>46661</v>
      </c>
      <c r="BB1" s="2">
        <v>46692</v>
      </c>
      <c r="BC1" s="2">
        <v>46722</v>
      </c>
      <c r="BD1" s="2">
        <v>46753</v>
      </c>
      <c r="BE1" s="2">
        <v>46784</v>
      </c>
      <c r="BF1" s="2">
        <v>46813</v>
      </c>
      <c r="BG1" s="2">
        <v>46844</v>
      </c>
      <c r="BH1" s="2">
        <v>46874</v>
      </c>
      <c r="BI1" s="2">
        <v>46905</v>
      </c>
      <c r="BJ1" s="2">
        <v>46935</v>
      </c>
      <c r="BK1" s="2">
        <v>46966</v>
      </c>
      <c r="BL1" s="2">
        <v>46997</v>
      </c>
      <c r="BM1" s="2">
        <v>47027</v>
      </c>
      <c r="BN1" s="2">
        <v>47058</v>
      </c>
      <c r="BO1" s="2">
        <v>47088</v>
      </c>
    </row>
    <row r="2" spans="2:67">
      <c r="D2" t="s">
        <v>2</v>
      </c>
      <c r="E2" s="9">
        <v>0</v>
      </c>
      <c r="F2" s="9">
        <v>0</v>
      </c>
      <c r="G2" s="9">
        <v>345071.49</v>
      </c>
      <c r="H2" s="9">
        <v>469190.93</v>
      </c>
      <c r="I2" s="9">
        <v>775705.79</v>
      </c>
      <c r="J2" s="9">
        <v>1176977.94</v>
      </c>
      <c r="K2" s="9">
        <v>1066585.3280000002</v>
      </c>
      <c r="L2" s="9">
        <v>1014364.7569999999</v>
      </c>
      <c r="M2" s="9">
        <v>834125.94599999953</v>
      </c>
      <c r="N2" s="11">
        <v>748536.64400000055</v>
      </c>
      <c r="O2" s="9">
        <v>249677.66417079701</v>
      </c>
      <c r="P2" s="9">
        <v>225849.34218753458</v>
      </c>
      <c r="Q2" s="9">
        <v>182622.36464780007</v>
      </c>
      <c r="R2" s="9">
        <v>128600.3866386919</v>
      </c>
      <c r="S2" s="9">
        <v>116097.46631300852</v>
      </c>
      <c r="T2" s="9">
        <v>157777.62819363989</v>
      </c>
      <c r="U2" s="9">
        <v>359322.12310857157</v>
      </c>
      <c r="V2" s="9">
        <v>481952.83540276473</v>
      </c>
      <c r="W2" s="9">
        <v>481474.66030342691</v>
      </c>
      <c r="X2" s="9">
        <v>481952.83540276473</v>
      </c>
      <c r="Y2" s="9">
        <v>491957.37447478506</v>
      </c>
      <c r="Z2" s="9">
        <v>492435.54957412276</v>
      </c>
      <c r="AA2" s="9">
        <v>492435.54957412276</v>
      </c>
      <c r="AB2" s="9">
        <v>492435.54957412276</v>
      </c>
      <c r="AC2" s="9">
        <v>492435.54957412276</v>
      </c>
      <c r="AD2" s="9">
        <v>338356.69476585544</v>
      </c>
      <c r="AE2" s="9">
        <v>226208.69664302072</v>
      </c>
      <c r="AF2" s="9">
        <v>226208.69664302072</v>
      </c>
      <c r="AG2" s="9">
        <v>338356.69476585544</v>
      </c>
      <c r="AH2" s="9">
        <v>450026.5177893528</v>
      </c>
      <c r="AI2" s="9">
        <v>471252.76891352586</v>
      </c>
      <c r="AJ2" s="9">
        <v>470600.71195988351</v>
      </c>
      <c r="AK2" s="9">
        <v>470339.88917842659</v>
      </c>
      <c r="AL2" s="9">
        <v>470600.71195988351</v>
      </c>
      <c r="AM2" s="9">
        <v>460117.99778852542</v>
      </c>
      <c r="AN2" s="9">
        <v>453463.9901411141</v>
      </c>
      <c r="AO2" s="9">
        <v>1043.291125827817</v>
      </c>
      <c r="AP2" s="9">
        <v>673.79218543046159</v>
      </c>
      <c r="AQ2" s="9">
        <v>0</v>
      </c>
      <c r="AR2" s="9">
        <v>0</v>
      </c>
      <c r="AS2" s="9">
        <v>0</v>
      </c>
      <c r="AT2" s="9">
        <v>0</v>
      </c>
      <c r="AU2" s="9">
        <v>0</v>
      </c>
      <c r="AV2" s="9">
        <v>0</v>
      </c>
      <c r="AW2" s="9">
        <v>0</v>
      </c>
      <c r="AX2" s="9">
        <v>0</v>
      </c>
      <c r="AY2" s="9">
        <v>0</v>
      </c>
      <c r="AZ2" s="9">
        <v>0</v>
      </c>
      <c r="BA2" s="9">
        <v>0</v>
      </c>
      <c r="BB2" s="9">
        <v>0</v>
      </c>
      <c r="BC2" s="9">
        <v>0</v>
      </c>
      <c r="BD2" s="9">
        <v>0</v>
      </c>
      <c r="BE2" s="9">
        <v>0</v>
      </c>
      <c r="BF2" s="9">
        <v>0</v>
      </c>
      <c r="BG2" s="9">
        <v>0</v>
      </c>
      <c r="BH2" s="9">
        <v>0</v>
      </c>
      <c r="BI2" s="9">
        <v>0</v>
      </c>
      <c r="BJ2" s="9">
        <v>0</v>
      </c>
      <c r="BK2" s="9">
        <v>0</v>
      </c>
      <c r="BL2" s="9">
        <v>0</v>
      </c>
      <c r="BM2" s="9">
        <v>0</v>
      </c>
      <c r="BN2" s="9">
        <v>0</v>
      </c>
      <c r="BO2" s="9">
        <v>0</v>
      </c>
    </row>
    <row r="3" spans="2:67">
      <c r="D3" t="s">
        <v>5</v>
      </c>
      <c r="E3" s="9">
        <v>0</v>
      </c>
      <c r="F3" s="9">
        <v>0</v>
      </c>
      <c r="G3" s="9">
        <v>891.54</v>
      </c>
      <c r="H3" s="9">
        <v>1631.98</v>
      </c>
      <c r="I3" s="9">
        <v>856.30000000000018</v>
      </c>
      <c r="J3" s="9">
        <v>-39.189</v>
      </c>
      <c r="K3" s="9">
        <v>511.30540400000018</v>
      </c>
      <c r="L3" s="9">
        <v>1.7002108499023054E-2</v>
      </c>
      <c r="M3" s="9">
        <v>1509.2159490000004</v>
      </c>
      <c r="N3" s="11">
        <v>33.423000000000002</v>
      </c>
      <c r="O3" s="9">
        <v>24.013242640424476</v>
      </c>
      <c r="P3" s="9">
        <v>56.442269217573553</v>
      </c>
      <c r="Q3" s="9">
        <v>38.528001296863387</v>
      </c>
      <c r="R3" s="9">
        <v>60.034581040439171</v>
      </c>
      <c r="S3" s="9">
        <v>42.120313119729012</v>
      </c>
      <c r="T3" s="9">
        <v>53.843250371054893</v>
      </c>
      <c r="U3" s="9">
        <v>116.03048561988977</v>
      </c>
      <c r="V3" s="9">
        <v>102.48701532467116</v>
      </c>
      <c r="W3" s="9">
        <v>87.97225666823222</v>
      </c>
      <c r="X3" s="9">
        <v>98.894703501805793</v>
      </c>
      <c r="Y3" s="9">
        <v>98.894703501805793</v>
      </c>
      <c r="Z3" s="9">
        <v>84.379944845366623</v>
      </c>
      <c r="AA3" s="9">
        <v>84.379944845366623</v>
      </c>
      <c r="AB3" s="9">
        <v>79.626584768064404</v>
      </c>
      <c r="AC3" s="9">
        <v>79.626584768064404</v>
      </c>
      <c r="AD3" s="9">
        <v>75.227139592593105</v>
      </c>
      <c r="AE3" s="9">
        <v>57.312871671882696</v>
      </c>
      <c r="AF3" s="9">
        <v>59.651528056175465</v>
      </c>
      <c r="AG3" s="9">
        <v>109.99482255403474</v>
      </c>
      <c r="AH3" s="9">
        <v>124.50958121047366</v>
      </c>
      <c r="AI3" s="9">
        <v>124.50958121047366</v>
      </c>
      <c r="AJ3" s="9">
        <v>124.50958121047366</v>
      </c>
      <c r="AK3" s="9">
        <v>109.99482255403474</v>
      </c>
      <c r="AL3" s="9">
        <v>95.480063897595798</v>
      </c>
      <c r="AM3" s="9">
        <v>95.480063897595798</v>
      </c>
      <c r="AN3" s="9">
        <v>71.657071682840666</v>
      </c>
      <c r="AO3" s="9">
        <v>89.074782070567494</v>
      </c>
      <c r="AP3" s="9">
        <v>89.074782070567494</v>
      </c>
      <c r="AQ3" s="9">
        <v>71.657071682840666</v>
      </c>
      <c r="AR3" s="9">
        <v>0</v>
      </c>
      <c r="AS3" s="9">
        <v>0</v>
      </c>
      <c r="AT3" s="9">
        <v>0</v>
      </c>
      <c r="AU3" s="9">
        <v>0</v>
      </c>
      <c r="AV3" s="9">
        <v>0</v>
      </c>
      <c r="AW3" s="9">
        <v>0</v>
      </c>
      <c r="AX3" s="9">
        <v>0</v>
      </c>
      <c r="AY3" s="9">
        <v>0</v>
      </c>
      <c r="AZ3" s="9">
        <v>0</v>
      </c>
      <c r="BA3" s="9">
        <v>0</v>
      </c>
      <c r="BB3" s="9">
        <v>0</v>
      </c>
      <c r="BC3" s="9">
        <v>0</v>
      </c>
      <c r="BD3" s="9">
        <v>0</v>
      </c>
      <c r="BE3" s="9">
        <v>0</v>
      </c>
      <c r="BF3" s="9">
        <v>0</v>
      </c>
      <c r="BG3" s="9">
        <v>0</v>
      </c>
      <c r="BH3" s="9">
        <v>0</v>
      </c>
      <c r="BI3" s="9">
        <v>0</v>
      </c>
      <c r="BJ3" s="9">
        <v>0</v>
      </c>
      <c r="BK3" s="9">
        <v>0</v>
      </c>
      <c r="BL3" s="9">
        <v>0</v>
      </c>
      <c r="BM3" s="9">
        <v>0</v>
      </c>
      <c r="BN3" s="9">
        <v>0</v>
      </c>
      <c r="BO3" s="9">
        <v>0</v>
      </c>
    </row>
    <row r="4" spans="2:67">
      <c r="D4" t="s">
        <v>6</v>
      </c>
      <c r="E4" s="9">
        <v>0</v>
      </c>
      <c r="F4" s="9">
        <v>0</v>
      </c>
      <c r="G4" s="9">
        <v>0</v>
      </c>
      <c r="H4" s="9">
        <v>0</v>
      </c>
      <c r="I4" s="9">
        <v>0</v>
      </c>
      <c r="J4" s="9">
        <v>0</v>
      </c>
      <c r="K4" s="9">
        <v>0</v>
      </c>
      <c r="L4" s="9">
        <v>0</v>
      </c>
      <c r="M4" s="9">
        <v>0</v>
      </c>
      <c r="N4" s="11">
        <v>0</v>
      </c>
      <c r="O4" s="9">
        <v>42.949857720536528</v>
      </c>
      <c r="P4" s="9">
        <v>66.129273589767806</v>
      </c>
      <c r="Q4" s="9">
        <v>94.568390688860617</v>
      </c>
      <c r="R4" s="9">
        <v>115.57653846030584</v>
      </c>
      <c r="S4" s="9">
        <v>100.99356549720312</v>
      </c>
      <c r="T4" s="9">
        <v>139.36793999021359</v>
      </c>
      <c r="U4" s="9">
        <v>222.23168746149182</v>
      </c>
      <c r="V4" s="9">
        <v>154.98587505857725</v>
      </c>
      <c r="W4" s="9">
        <v>146.38943215244899</v>
      </c>
      <c r="X4" s="9">
        <v>189.66598593773938</v>
      </c>
      <c r="Y4" s="9">
        <v>232.21356235112108</v>
      </c>
      <c r="Z4" s="9">
        <v>223.61711944499274</v>
      </c>
      <c r="AA4" s="9">
        <v>223.61711944499274</v>
      </c>
      <c r="AB4" s="9">
        <v>198.90365612696061</v>
      </c>
      <c r="AC4" s="9">
        <v>157.52794092835401</v>
      </c>
      <c r="AD4" s="9">
        <v>124.77962004991713</v>
      </c>
      <c r="AE4" s="9">
        <v>106.59092027212094</v>
      </c>
      <c r="AF4" s="9">
        <v>110.75264170548829</v>
      </c>
      <c r="AG4" s="9">
        <v>148.5150305378223</v>
      </c>
      <c r="AH4" s="9">
        <v>157.11147344395056</v>
      </c>
      <c r="AI4" s="9">
        <v>157.11147344395056</v>
      </c>
      <c r="AJ4" s="9">
        <v>157.11147344395056</v>
      </c>
      <c r="AK4" s="9">
        <v>148.5150305378223</v>
      </c>
      <c r="AL4" s="9">
        <v>139.91858763169373</v>
      </c>
      <c r="AM4" s="9">
        <v>139.91858763169373</v>
      </c>
      <c r="AN4" s="9">
        <v>58.331891852411175</v>
      </c>
      <c r="AO4" s="9">
        <v>68.636716371600983</v>
      </c>
      <c r="AP4" s="9">
        <v>68.636716371600983</v>
      </c>
      <c r="AQ4" s="9">
        <v>58.331891852411175</v>
      </c>
      <c r="AR4" s="9">
        <v>0</v>
      </c>
      <c r="AS4" s="9">
        <v>0</v>
      </c>
      <c r="AT4" s="9">
        <v>0</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row>
    <row r="5" spans="2:67">
      <c r="D5" t="s">
        <v>7</v>
      </c>
      <c r="E5" s="9">
        <v>0</v>
      </c>
      <c r="F5" s="9">
        <v>0</v>
      </c>
      <c r="G5" s="9">
        <v>323.02</v>
      </c>
      <c r="H5" s="9">
        <v>362.56000000000006</v>
      </c>
      <c r="I5" s="9">
        <v>301.04999999999995</v>
      </c>
      <c r="J5" s="9">
        <v>270.52499999999998</v>
      </c>
      <c r="K5" s="9">
        <v>271.42940399999998</v>
      </c>
      <c r="L5" s="9">
        <v>0.17012089999998467</v>
      </c>
      <c r="M5" s="9">
        <v>426.18700000000024</v>
      </c>
      <c r="N5" s="11">
        <v>0</v>
      </c>
      <c r="O5" s="9">
        <v>20.2818705298181</v>
      </c>
      <c r="P5" s="9">
        <v>47.671812333785205</v>
      </c>
      <c r="Q5" s="9">
        <v>280.23476428648905</v>
      </c>
      <c r="R5" s="9">
        <v>298.39947750036021</v>
      </c>
      <c r="S5" s="9">
        <v>283.26887360629593</v>
      </c>
      <c r="T5" s="9">
        <v>293.17020593033271</v>
      </c>
      <c r="U5" s="9">
        <v>583.90907201308028</v>
      </c>
      <c r="V5" s="9">
        <v>324.77653996616965</v>
      </c>
      <c r="W5" s="9">
        <v>312.5172020562668</v>
      </c>
      <c r="X5" s="9">
        <v>558.40025831852438</v>
      </c>
      <c r="Y5" s="9">
        <v>803.36186941777908</v>
      </c>
      <c r="Z5" s="9">
        <v>791.10253150787594</v>
      </c>
      <c r="AA5" s="9">
        <v>791.10253150787594</v>
      </c>
      <c r="AB5" s="9">
        <v>693.67022345925363</v>
      </c>
      <c r="AC5" s="9">
        <v>455.45543639451222</v>
      </c>
      <c r="AD5" s="9">
        <v>308.49934852156542</v>
      </c>
      <c r="AE5" s="9">
        <v>272.60928605976756</v>
      </c>
      <c r="AF5" s="9">
        <v>274.58454307566552</v>
      </c>
      <c r="AG5" s="9">
        <v>317.10508877369693</v>
      </c>
      <c r="AH5" s="9">
        <v>329.36442668359973</v>
      </c>
      <c r="AI5" s="9">
        <v>329.36442668359973</v>
      </c>
      <c r="AJ5" s="9">
        <v>329.36442668359973</v>
      </c>
      <c r="AK5" s="9">
        <v>317.10508877369693</v>
      </c>
      <c r="AL5" s="9">
        <v>304.84575086379414</v>
      </c>
      <c r="AM5" s="9">
        <v>304.84575086379414</v>
      </c>
      <c r="AN5" s="9">
        <v>60.522415576257167</v>
      </c>
      <c r="AO5" s="9">
        <v>75.23362106814065</v>
      </c>
      <c r="AP5" s="9">
        <v>75.23362106814065</v>
      </c>
      <c r="AQ5" s="9">
        <v>60.522415576257167</v>
      </c>
      <c r="AR5" s="9">
        <v>0</v>
      </c>
      <c r="AS5" s="9">
        <v>0</v>
      </c>
      <c r="AT5" s="9">
        <v>0</v>
      </c>
      <c r="AU5" s="9">
        <v>0</v>
      </c>
      <c r="AV5" s="9">
        <v>0</v>
      </c>
      <c r="AW5" s="9">
        <v>0</v>
      </c>
      <c r="AX5" s="9">
        <v>0</v>
      </c>
      <c r="AY5" s="9">
        <v>0</v>
      </c>
      <c r="AZ5" s="9">
        <v>0</v>
      </c>
      <c r="BA5" s="9">
        <v>0</v>
      </c>
      <c r="BB5" s="9">
        <v>0</v>
      </c>
      <c r="BC5" s="9">
        <v>0</v>
      </c>
      <c r="BD5" s="9">
        <v>0</v>
      </c>
      <c r="BE5" s="9">
        <v>0</v>
      </c>
      <c r="BF5" s="9">
        <v>0</v>
      </c>
      <c r="BG5" s="9">
        <v>0</v>
      </c>
      <c r="BH5" s="9">
        <v>0</v>
      </c>
      <c r="BI5" s="9">
        <v>0</v>
      </c>
      <c r="BJ5" s="9">
        <v>0</v>
      </c>
      <c r="BK5" s="9">
        <v>0</v>
      </c>
      <c r="BL5" s="9">
        <v>0</v>
      </c>
      <c r="BM5" s="9">
        <v>0</v>
      </c>
      <c r="BN5" s="9">
        <v>0</v>
      </c>
      <c r="BO5" s="9">
        <v>0</v>
      </c>
    </row>
    <row r="6" spans="2:67">
      <c r="D6" t="s">
        <v>8</v>
      </c>
      <c r="E6" s="9">
        <v>0</v>
      </c>
      <c r="F6" s="9">
        <v>0</v>
      </c>
      <c r="G6" s="9">
        <v>0</v>
      </c>
      <c r="H6" s="9">
        <v>0</v>
      </c>
      <c r="I6" s="9">
        <v>3.6120000000000001</v>
      </c>
      <c r="J6" s="9">
        <v>-3.61</v>
      </c>
      <c r="K6" s="9">
        <v>33.952000000000005</v>
      </c>
      <c r="L6" s="9">
        <v>78.061855175321966</v>
      </c>
      <c r="M6" s="9">
        <v>69.416449624678052</v>
      </c>
      <c r="N6" s="11">
        <v>1.2886549907954707</v>
      </c>
      <c r="O6" s="9">
        <v>14.911375698197872</v>
      </c>
      <c r="P6" s="9">
        <v>27.082210844424225</v>
      </c>
      <c r="Q6" s="9">
        <v>45.402886729712996</v>
      </c>
      <c r="R6" s="9">
        <v>54.035043622322696</v>
      </c>
      <c r="S6" s="9">
        <v>47.296234955034109</v>
      </c>
      <c r="T6" s="9">
        <v>58.47891573374914</v>
      </c>
      <c r="U6" s="9">
        <v>105.73692282596949</v>
      </c>
      <c r="V6" s="9">
        <v>70.575765360763498</v>
      </c>
      <c r="W6" s="9">
        <v>65.143738881825669</v>
      </c>
      <c r="X6" s="9">
        <v>92.62540247683701</v>
      </c>
      <c r="Y6" s="9">
        <v>117.40849256705226</v>
      </c>
      <c r="Z6" s="9">
        <v>111.97646608811438</v>
      </c>
      <c r="AA6" s="9">
        <v>111.97646608811438</v>
      </c>
      <c r="AB6" s="9">
        <v>100.18618197374226</v>
      </c>
      <c r="AC6" s="9">
        <v>76.08567699194387</v>
      </c>
      <c r="AD6" s="9">
        <v>59.27511765959661</v>
      </c>
      <c r="AE6" s="9">
        <v>50.436047120255751</v>
      </c>
      <c r="AF6" s="9">
        <v>51.928431807900765</v>
      </c>
      <c r="AG6" s="9">
        <v>70.838075621415896</v>
      </c>
      <c r="AH6" s="9">
        <v>76.270102100353739</v>
      </c>
      <c r="AI6" s="9">
        <v>76.270102100353739</v>
      </c>
      <c r="AJ6" s="9">
        <v>76.270102100353739</v>
      </c>
      <c r="AK6" s="9">
        <v>70.838075621415896</v>
      </c>
      <c r="AL6" s="9">
        <v>65.406049142478068</v>
      </c>
      <c r="AM6" s="9">
        <v>65.406049142478068</v>
      </c>
      <c r="AN6" s="9">
        <v>26.955234669154564</v>
      </c>
      <c r="AO6" s="9">
        <v>33.754318808244648</v>
      </c>
      <c r="AP6" s="9">
        <v>33.754318808244648</v>
      </c>
      <c r="AQ6" s="9">
        <v>26.955234669154564</v>
      </c>
      <c r="AR6" s="9">
        <v>0</v>
      </c>
      <c r="AS6" s="9">
        <v>0</v>
      </c>
      <c r="AT6" s="9">
        <v>0</v>
      </c>
      <c r="AU6" s="9">
        <v>0</v>
      </c>
      <c r="AV6" s="9">
        <v>0</v>
      </c>
      <c r="AW6" s="9">
        <v>0</v>
      </c>
      <c r="AX6" s="9">
        <v>0</v>
      </c>
      <c r="AY6" s="9">
        <v>0</v>
      </c>
      <c r="AZ6" s="9">
        <v>0</v>
      </c>
      <c r="BA6" s="9">
        <v>0</v>
      </c>
      <c r="BB6" s="9">
        <v>0</v>
      </c>
      <c r="BC6" s="9">
        <v>0</v>
      </c>
      <c r="BD6" s="9">
        <v>0</v>
      </c>
      <c r="BE6" s="9">
        <v>0</v>
      </c>
      <c r="BF6" s="9">
        <v>0</v>
      </c>
      <c r="BG6" s="9">
        <v>0</v>
      </c>
      <c r="BH6" s="9">
        <v>0</v>
      </c>
      <c r="BI6" s="9">
        <v>0</v>
      </c>
      <c r="BJ6" s="9">
        <v>0</v>
      </c>
      <c r="BK6" s="9">
        <v>0</v>
      </c>
      <c r="BL6" s="9">
        <v>0</v>
      </c>
      <c r="BM6" s="9">
        <v>0</v>
      </c>
      <c r="BN6" s="9">
        <v>0</v>
      </c>
      <c r="BO6" s="9">
        <v>0</v>
      </c>
    </row>
    <row r="7" spans="2:67">
      <c r="D7" t="s">
        <v>9</v>
      </c>
      <c r="E7" s="9">
        <v>0</v>
      </c>
      <c r="F7" s="9">
        <v>0</v>
      </c>
      <c r="G7" s="9">
        <v>0</v>
      </c>
      <c r="H7" s="9">
        <v>0</v>
      </c>
      <c r="I7" s="9">
        <v>0</v>
      </c>
      <c r="J7" s="9">
        <v>0</v>
      </c>
      <c r="K7" s="9">
        <v>0</v>
      </c>
      <c r="L7" s="9">
        <v>0</v>
      </c>
      <c r="M7" s="9">
        <v>0</v>
      </c>
      <c r="N7" s="11">
        <v>0</v>
      </c>
      <c r="O7" s="9">
        <v>8.1389799055260035</v>
      </c>
      <c r="P7" s="9">
        <v>19.130381592479491</v>
      </c>
      <c r="Q7" s="9">
        <v>84.256862862307969</v>
      </c>
      <c r="R7" s="9">
        <v>91.54624160180758</v>
      </c>
      <c r="S7" s="9">
        <v>85.4744307759169</v>
      </c>
      <c r="T7" s="9">
        <v>89.447769660256625</v>
      </c>
      <c r="U7" s="9">
        <v>178.99900035497831</v>
      </c>
      <c r="V7" s="9">
        <v>103.21032310243285</v>
      </c>
      <c r="W7" s="9">
        <v>98.290732241370037</v>
      </c>
      <c r="X7" s="9">
        <v>170.01888160030271</v>
      </c>
      <c r="Y7" s="9">
        <v>240.4318896402543</v>
      </c>
      <c r="Z7" s="9">
        <v>235.51229877919141</v>
      </c>
      <c r="AA7" s="9">
        <v>235.51229877919141</v>
      </c>
      <c r="AB7" s="9">
        <v>207.04879016456118</v>
      </c>
      <c r="AC7" s="9">
        <v>138.57512344774375</v>
      </c>
      <c r="AD7" s="9">
        <v>95.910279968716495</v>
      </c>
      <c r="AE7" s="9">
        <v>83.871265071643407</v>
      </c>
      <c r="AF7" s="9">
        <v>84.663922589943169</v>
      </c>
      <c r="AG7" s="9">
        <v>101.72713510278734</v>
      </c>
      <c r="AH7" s="9">
        <v>106.64672596385017</v>
      </c>
      <c r="AI7" s="9">
        <v>106.64672596385017</v>
      </c>
      <c r="AJ7" s="9">
        <v>106.64672596385017</v>
      </c>
      <c r="AK7" s="9">
        <v>101.72713510278734</v>
      </c>
      <c r="AL7" s="9">
        <v>96.807544241724543</v>
      </c>
      <c r="AM7" s="9">
        <v>96.807544241724543</v>
      </c>
      <c r="AN7" s="9">
        <v>24.287243303562732</v>
      </c>
      <c r="AO7" s="9">
        <v>30.190752336838145</v>
      </c>
      <c r="AP7" s="9">
        <v>30.190752336838145</v>
      </c>
      <c r="AQ7" s="9">
        <v>24.287243303562732</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row>
    <row r="8" spans="2:67">
      <c r="D8" t="s">
        <v>10</v>
      </c>
      <c r="E8" s="9">
        <v>0</v>
      </c>
      <c r="F8" s="9">
        <v>0</v>
      </c>
      <c r="G8" s="9">
        <v>0</v>
      </c>
      <c r="H8" s="9">
        <v>0</v>
      </c>
      <c r="I8" s="9">
        <v>0</v>
      </c>
      <c r="J8" s="9">
        <v>0</v>
      </c>
      <c r="K8" s="9">
        <v>0</v>
      </c>
      <c r="L8" s="9">
        <v>0</v>
      </c>
      <c r="M8" s="9">
        <v>0</v>
      </c>
      <c r="N8" s="11">
        <v>0</v>
      </c>
      <c r="O8" s="9">
        <v>0</v>
      </c>
      <c r="P8" s="9">
        <v>46.200000000000038</v>
      </c>
      <c r="Q8" s="9">
        <v>198.8600000000001</v>
      </c>
      <c r="R8" s="9">
        <v>245.06000000000014</v>
      </c>
      <c r="S8" s="9">
        <v>198.8600000000001</v>
      </c>
      <c r="T8" s="9">
        <v>198.8600000000001</v>
      </c>
      <c r="U8" s="9">
        <v>528.71000000000015</v>
      </c>
      <c r="V8" s="9">
        <v>329.85000000000014</v>
      </c>
      <c r="W8" s="9">
        <v>329.85000000000014</v>
      </c>
      <c r="X8" s="9">
        <v>519.85000000000059</v>
      </c>
      <c r="Y8" s="9">
        <v>716.51666666666745</v>
      </c>
      <c r="Z8" s="9">
        <v>716.51666666666745</v>
      </c>
      <c r="AA8" s="9">
        <v>716.51666666666745</v>
      </c>
      <c r="AB8" s="9">
        <v>641.51666666666722</v>
      </c>
      <c r="AC8" s="9">
        <v>450.26666666666722</v>
      </c>
      <c r="AD8" s="9">
        <v>335.26666666666699</v>
      </c>
      <c r="AE8" s="9">
        <v>272.40000000000055</v>
      </c>
      <c r="AF8" s="9">
        <v>272.40000000000055</v>
      </c>
      <c r="AG8" s="9">
        <v>364.80000000000064</v>
      </c>
      <c r="AH8" s="9">
        <v>364.80000000000064</v>
      </c>
      <c r="AI8" s="9">
        <v>364.80000000000064</v>
      </c>
      <c r="AJ8" s="9">
        <v>364.80000000000064</v>
      </c>
      <c r="AK8" s="9">
        <v>364.80000000000064</v>
      </c>
      <c r="AL8" s="9">
        <v>364.80000000000064</v>
      </c>
      <c r="AM8" s="9">
        <v>364.80000000000064</v>
      </c>
      <c r="AN8" s="9">
        <v>184.80000000000015</v>
      </c>
      <c r="AO8" s="9">
        <v>184.80000000000015</v>
      </c>
      <c r="AP8" s="9">
        <v>184.80000000000015</v>
      </c>
      <c r="AQ8" s="9">
        <v>184.80000000000015</v>
      </c>
      <c r="AR8" s="9">
        <v>0</v>
      </c>
      <c r="AS8" s="9">
        <v>0</v>
      </c>
      <c r="AT8" s="9">
        <v>0</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row>
    <row r="9" spans="2:67">
      <c r="D9" t="s">
        <v>11</v>
      </c>
      <c r="E9" s="9">
        <v>0</v>
      </c>
      <c r="F9" s="9">
        <v>0</v>
      </c>
      <c r="G9" s="9">
        <v>0</v>
      </c>
      <c r="H9" s="9">
        <v>0</v>
      </c>
      <c r="I9" s="9">
        <v>0</v>
      </c>
      <c r="J9" s="9">
        <v>0</v>
      </c>
      <c r="K9" s="9">
        <v>0</v>
      </c>
      <c r="L9" s="9">
        <v>0</v>
      </c>
      <c r="M9" s="9">
        <v>0</v>
      </c>
      <c r="N9" s="11">
        <v>0</v>
      </c>
      <c r="O9" s="9">
        <v>10.18268464609365</v>
      </c>
      <c r="P9" s="9">
        <v>23.934036596329953</v>
      </c>
      <c r="Q9" s="9">
        <v>16.337588934774203</v>
      </c>
      <c r="R9" s="9">
        <v>25.457336843215224</v>
      </c>
      <c r="S9" s="9">
        <v>17.860889181659473</v>
      </c>
      <c r="T9" s="9">
        <v>22.83193682164972</v>
      </c>
      <c r="U9" s="9">
        <v>49.202094947871487</v>
      </c>
      <c r="V9" s="9">
        <v>229.0840601942981</v>
      </c>
      <c r="W9" s="9">
        <v>222.92915590561756</v>
      </c>
      <c r="X9" s="9">
        <v>227.56075994741295</v>
      </c>
      <c r="Y9" s="9">
        <v>227.56075994741295</v>
      </c>
      <c r="Z9" s="9">
        <v>221.40585565873229</v>
      </c>
      <c r="AA9" s="9">
        <v>221.40585565873229</v>
      </c>
      <c r="AB9" s="9">
        <v>219.39021922839785</v>
      </c>
      <c r="AC9" s="9">
        <v>219.39021922839785</v>
      </c>
      <c r="AD9" s="9">
        <v>31.899658483003638</v>
      </c>
      <c r="AE9" s="9">
        <v>24.303210821447784</v>
      </c>
      <c r="AF9" s="9">
        <v>25.294905313250329</v>
      </c>
      <c r="AG9" s="9">
        <v>46.642704925042395</v>
      </c>
      <c r="AH9" s="9">
        <v>238.42260921372298</v>
      </c>
      <c r="AI9" s="9">
        <v>238.42260921372298</v>
      </c>
      <c r="AJ9" s="9">
        <v>238.42260921372298</v>
      </c>
      <c r="AK9" s="9">
        <v>232.26770492504238</v>
      </c>
      <c r="AL9" s="9">
        <v>226.11280063636184</v>
      </c>
      <c r="AM9" s="9">
        <v>226.11280063636184</v>
      </c>
      <c r="AN9" s="9">
        <v>216.010790646223</v>
      </c>
      <c r="AO9" s="9">
        <v>223.39667579263974</v>
      </c>
      <c r="AP9" s="9">
        <v>37.771675792639734</v>
      </c>
      <c r="AQ9" s="9">
        <v>30.385790646223011</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row>
    <row r="10" spans="2:67">
      <c r="D10" t="s">
        <v>12</v>
      </c>
      <c r="E10" s="9">
        <v>0</v>
      </c>
      <c r="F10" s="9">
        <v>0</v>
      </c>
      <c r="G10" s="9">
        <v>1935.6</v>
      </c>
      <c r="H10" s="9">
        <v>2705.81</v>
      </c>
      <c r="I10" s="9">
        <v>3228.8100000000004</v>
      </c>
      <c r="J10" s="9">
        <v>3703.96</v>
      </c>
      <c r="K10" s="9">
        <v>4405.6789999999992</v>
      </c>
      <c r="L10" s="9">
        <v>5330.574775</v>
      </c>
      <c r="M10" s="9">
        <v>4034.2663249999996</v>
      </c>
      <c r="N10" s="11">
        <v>2610.1623000000009</v>
      </c>
      <c r="O10" s="9">
        <v>90.587334917706926</v>
      </c>
      <c r="P10" s="9">
        <v>212.92229548875849</v>
      </c>
      <c r="Q10" s="9">
        <v>145.3426765160574</v>
      </c>
      <c r="R10" s="9">
        <v>226.47389945576919</v>
      </c>
      <c r="S10" s="9">
        <v>158.89428048306809</v>
      </c>
      <c r="T10" s="9">
        <v>203.11778077858452</v>
      </c>
      <c r="U10" s="9">
        <v>437.71233310318689</v>
      </c>
      <c r="V10" s="9">
        <v>386.62107075465076</v>
      </c>
      <c r="W10" s="9">
        <v>331.86572915630023</v>
      </c>
      <c r="X10" s="9">
        <v>373.06946678764103</v>
      </c>
      <c r="Y10" s="9">
        <v>373.06946678764103</v>
      </c>
      <c r="Z10" s="9">
        <v>318.3141251892896</v>
      </c>
      <c r="AA10" s="9">
        <v>318.3141251892896</v>
      </c>
      <c r="AB10" s="9">
        <v>300.38259350259602</v>
      </c>
      <c r="AC10" s="9">
        <v>300.38259350259602</v>
      </c>
      <c r="AD10" s="9">
        <v>283.78616712527673</v>
      </c>
      <c r="AE10" s="9">
        <v>216.20654815257473</v>
      </c>
      <c r="AF10" s="9">
        <v>225.02887391314169</v>
      </c>
      <c r="AG10" s="9">
        <v>414.94345345689447</v>
      </c>
      <c r="AH10" s="9">
        <v>469.698795055245</v>
      </c>
      <c r="AI10" s="9">
        <v>469.698795055245</v>
      </c>
      <c r="AJ10" s="9">
        <v>469.698795055245</v>
      </c>
      <c r="AK10" s="9">
        <v>414.94345345689447</v>
      </c>
      <c r="AL10" s="9">
        <v>360.188111858544</v>
      </c>
      <c r="AM10" s="9">
        <v>360.188111858544</v>
      </c>
      <c r="AN10" s="9">
        <v>270.31847589080439</v>
      </c>
      <c r="AO10" s="9">
        <v>336.02488580882545</v>
      </c>
      <c r="AP10" s="9">
        <v>336.02488580882545</v>
      </c>
      <c r="AQ10" s="9">
        <v>270.31847589080439</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row>
    <row r="11" spans="2:67">
      <c r="D11" t="s">
        <v>13</v>
      </c>
      <c r="E11" s="9">
        <v>0</v>
      </c>
      <c r="F11" s="9">
        <v>0</v>
      </c>
      <c r="G11" s="9">
        <v>86.96</v>
      </c>
      <c r="H11" s="9">
        <v>117.205</v>
      </c>
      <c r="I11" s="9">
        <v>155.6567584</v>
      </c>
      <c r="J11" s="9">
        <v>148.39913899999999</v>
      </c>
      <c r="K11" s="9">
        <v>200.38778737759998</v>
      </c>
      <c r="L11" s="9">
        <v>160.24013139392008</v>
      </c>
      <c r="M11" s="9">
        <v>146.29188399999995</v>
      </c>
      <c r="N11" s="11">
        <v>77.445000000000022</v>
      </c>
      <c r="O11" s="9">
        <v>25.051543589756182</v>
      </c>
      <c r="P11" s="9">
        <v>58.882758517106417</v>
      </c>
      <c r="Q11" s="9">
        <v>40.193901272197969</v>
      </c>
      <c r="R11" s="9">
        <v>62.630397166583037</v>
      </c>
      <c r="S11" s="9">
        <v>43.94153992167459</v>
      </c>
      <c r="T11" s="9">
        <v>56.171361522576689</v>
      </c>
      <c r="U11" s="9">
        <v>121.04749082716404</v>
      </c>
      <c r="V11" s="9">
        <v>106.91841873399839</v>
      </c>
      <c r="W11" s="9">
        <v>91.776061051556567</v>
      </c>
      <c r="X11" s="9">
        <v>103.17078008452204</v>
      </c>
      <c r="Y11" s="9">
        <v>103.17078008452204</v>
      </c>
      <c r="Z11" s="9">
        <v>88.028422402079968</v>
      </c>
      <c r="AA11" s="9">
        <v>88.028422402079968</v>
      </c>
      <c r="AB11" s="9">
        <v>83.069533302534424</v>
      </c>
      <c r="AC11" s="9">
        <v>83.069533302534424</v>
      </c>
      <c r="AD11" s="9">
        <v>78.479861918523738</v>
      </c>
      <c r="AE11" s="9">
        <v>59.791004673615028</v>
      </c>
      <c r="AF11" s="9">
        <v>62.230781476350749</v>
      </c>
      <c r="AG11" s="9">
        <v>114.75085364860946</v>
      </c>
      <c r="AH11" s="9">
        <v>129.89321133105128</v>
      </c>
      <c r="AI11" s="9">
        <v>129.89321133105128</v>
      </c>
      <c r="AJ11" s="9">
        <v>129.89321133105128</v>
      </c>
      <c r="AK11" s="9">
        <v>114.75085364860946</v>
      </c>
      <c r="AL11" s="9">
        <v>99.608495966167666</v>
      </c>
      <c r="AM11" s="9">
        <v>99.608495966167666</v>
      </c>
      <c r="AN11" s="9">
        <v>74.755428979633805</v>
      </c>
      <c r="AO11" s="9">
        <v>92.926258198564099</v>
      </c>
      <c r="AP11" s="9">
        <v>92.926258198564099</v>
      </c>
      <c r="AQ11" s="9">
        <v>74.755428979633805</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row>
    <row r="12" spans="2:67">
      <c r="D12" t="s">
        <v>14</v>
      </c>
      <c r="E12" s="9">
        <v>0</v>
      </c>
      <c r="F12" s="9">
        <v>0</v>
      </c>
      <c r="G12" s="9">
        <v>9522</v>
      </c>
      <c r="H12" s="9">
        <v>11805</v>
      </c>
      <c r="I12" s="9">
        <v>9743</v>
      </c>
      <c r="J12" s="9">
        <v>3583</v>
      </c>
      <c r="K12" s="9">
        <v>0</v>
      </c>
      <c r="L12" s="9">
        <v>1</v>
      </c>
      <c r="M12" s="9">
        <v>2177</v>
      </c>
      <c r="N12" s="11">
        <v>76</v>
      </c>
      <c r="O12" s="9">
        <v>488.69898184335528</v>
      </c>
      <c r="P12" s="9">
        <v>1148.6695034315101</v>
      </c>
      <c r="Q12" s="9">
        <v>784.09214816078588</v>
      </c>
      <c r="R12" s="9">
        <v>1221.7774612607009</v>
      </c>
      <c r="S12" s="9">
        <v>857.20010598997669</v>
      </c>
      <c r="T12" s="9">
        <v>1095.7762776766851</v>
      </c>
      <c r="U12" s="9">
        <v>2361.3628960619149</v>
      </c>
      <c r="V12" s="9">
        <v>2085.7366408739954</v>
      </c>
      <c r="W12" s="9">
        <v>1790.3434745565646</v>
      </c>
      <c r="X12" s="9">
        <v>2012.62868304481</v>
      </c>
      <c r="Y12" s="9">
        <v>2012.62868304481</v>
      </c>
      <c r="Z12" s="9">
        <v>1717.235516727374</v>
      </c>
      <c r="AA12" s="9">
        <v>1717.235516727374</v>
      </c>
      <c r="AB12" s="9">
        <v>1620.4988008703531</v>
      </c>
      <c r="AC12" s="9">
        <v>1620.4988008703531</v>
      </c>
      <c r="AD12" s="9">
        <v>1530.964687959291</v>
      </c>
      <c r="AE12" s="9">
        <v>1166.3873326885621</v>
      </c>
      <c r="AF12" s="9">
        <v>1213.9818625485718</v>
      </c>
      <c r="AG12" s="9">
        <v>2238.5297394074514</v>
      </c>
      <c r="AH12" s="9">
        <v>2533.9229057248826</v>
      </c>
      <c r="AI12" s="9">
        <v>2533.9229057248826</v>
      </c>
      <c r="AJ12" s="9">
        <v>2533.9229057248826</v>
      </c>
      <c r="AK12" s="9">
        <v>2238.5297394074514</v>
      </c>
      <c r="AL12" s="9">
        <v>1943.1365730900206</v>
      </c>
      <c r="AM12" s="9">
        <v>1943.1365730900206</v>
      </c>
      <c r="AN12" s="9">
        <v>1458.3094210828972</v>
      </c>
      <c r="AO12" s="9">
        <v>1812.7812206638164</v>
      </c>
      <c r="AP12" s="9">
        <v>1812.7812206638164</v>
      </c>
      <c r="AQ12" s="9">
        <v>1458.3094210828972</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row>
    <row r="13" spans="2:67">
      <c r="D13" t="s">
        <v>15</v>
      </c>
      <c r="E13" s="9">
        <v>0</v>
      </c>
      <c r="F13" s="9">
        <v>0</v>
      </c>
      <c r="G13" s="9">
        <v>2646</v>
      </c>
      <c r="H13" s="9">
        <v>2550</v>
      </c>
      <c r="I13" s="9">
        <v>1615</v>
      </c>
      <c r="J13" s="9">
        <v>1398</v>
      </c>
      <c r="K13" s="9">
        <v>806</v>
      </c>
      <c r="L13" s="9">
        <v>-2</v>
      </c>
      <c r="M13" s="9">
        <v>184</v>
      </c>
      <c r="N13" s="11">
        <v>24</v>
      </c>
      <c r="O13" s="9">
        <v>150.26447969902119</v>
      </c>
      <c r="P13" s="9">
        <v>353.19129298819462</v>
      </c>
      <c r="Q13" s="9">
        <v>241.09155749629542</v>
      </c>
      <c r="R13" s="9">
        <v>375.67042565105447</v>
      </c>
      <c r="S13" s="9">
        <v>263.57069015915528</v>
      </c>
      <c r="T13" s="9">
        <v>336.92775788183491</v>
      </c>
      <c r="U13" s="9">
        <v>726.06856191702127</v>
      </c>
      <c r="V13" s="9">
        <v>641.31938631821095</v>
      </c>
      <c r="W13" s="9">
        <v>550.4923085209366</v>
      </c>
      <c r="X13" s="9">
        <v>618.84025365535274</v>
      </c>
      <c r="Y13" s="9">
        <v>618.84025365535274</v>
      </c>
      <c r="Z13" s="9">
        <v>528.01317585807681</v>
      </c>
      <c r="AA13" s="9">
        <v>528.01317585807681</v>
      </c>
      <c r="AB13" s="9">
        <v>498.26870571161214</v>
      </c>
      <c r="AC13" s="9">
        <v>498.26870571161214</v>
      </c>
      <c r="AD13" s="9">
        <v>470.73888184918701</v>
      </c>
      <c r="AE13" s="9">
        <v>358.63914635728634</v>
      </c>
      <c r="AF13" s="9">
        <v>373.2734458578862</v>
      </c>
      <c r="AG13" s="9">
        <v>688.29999463895888</v>
      </c>
      <c r="AH13" s="9">
        <v>779.12707243623333</v>
      </c>
      <c r="AI13" s="9">
        <v>779.12707243623333</v>
      </c>
      <c r="AJ13" s="9">
        <v>779.12707243623333</v>
      </c>
      <c r="AK13" s="9">
        <v>688.29999463895888</v>
      </c>
      <c r="AL13" s="9">
        <v>597.47291684168465</v>
      </c>
      <c r="AM13" s="9">
        <v>597.47291684168465</v>
      </c>
      <c r="AN13" s="9">
        <v>448.39894196759678</v>
      </c>
      <c r="AO13" s="9">
        <v>557.39143532432672</v>
      </c>
      <c r="AP13" s="9">
        <v>557.39143532432672</v>
      </c>
      <c r="AQ13" s="9">
        <v>448.39894196759678</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row>
    <row r="14" spans="2:67">
      <c r="D14" t="s">
        <v>16</v>
      </c>
      <c r="E14" s="9">
        <v>0</v>
      </c>
      <c r="F14" s="9">
        <v>0</v>
      </c>
      <c r="G14" s="9">
        <v>0</v>
      </c>
      <c r="H14" s="9">
        <v>0</v>
      </c>
      <c r="I14" s="9">
        <v>1124.54</v>
      </c>
      <c r="J14" s="9">
        <v>6547.55</v>
      </c>
      <c r="K14" s="9">
        <v>6493.8630000000003</v>
      </c>
      <c r="L14" s="9">
        <v>17360.794301666669</v>
      </c>
      <c r="M14" s="9">
        <v>18508.498698333326</v>
      </c>
      <c r="N14" s="11">
        <v>20784.770999999997</v>
      </c>
      <c r="O14" s="9">
        <v>37211.400418167963</v>
      </c>
      <c r="P14" s="9">
        <v>45300.067496464697</v>
      </c>
      <c r="Q14" s="9">
        <v>35343.998951482536</v>
      </c>
      <c r="R14" s="9">
        <v>28693.323016824699</v>
      </c>
      <c r="S14" s="9">
        <v>30121.325376985784</v>
      </c>
      <c r="T14" s="9">
        <v>31549.466474372584</v>
      </c>
      <c r="U14" s="9">
        <v>29342.553735942012</v>
      </c>
      <c r="V14" s="9">
        <v>32005.566347406973</v>
      </c>
      <c r="W14" s="9">
        <v>23018.144962406455</v>
      </c>
      <c r="X14" s="9">
        <v>15099.04597325121</v>
      </c>
      <c r="Y14" s="9">
        <v>15784.830604142237</v>
      </c>
      <c r="Z14" s="9">
        <v>17762.058584716186</v>
      </c>
      <c r="AA14" s="9">
        <v>17495.757323569687</v>
      </c>
      <c r="AB14" s="9">
        <v>17495.757323569687</v>
      </c>
      <c r="AC14" s="9">
        <v>9639.8701197480277</v>
      </c>
      <c r="AD14" s="9">
        <v>7908.9119222957988</v>
      </c>
      <c r="AE14" s="9">
        <v>7908.9119222957988</v>
      </c>
      <c r="AF14" s="9">
        <v>7908.9119222957988</v>
      </c>
      <c r="AG14" s="9">
        <v>7908.9119222957988</v>
      </c>
      <c r="AH14" s="9">
        <v>5931.6839417218498</v>
      </c>
      <c r="AI14" s="9">
        <v>7010.1719311258212</v>
      </c>
      <c r="AJ14" s="9">
        <v>4313.9519576159037</v>
      </c>
      <c r="AK14" s="9">
        <v>3235.4639682119123</v>
      </c>
      <c r="AL14" s="9">
        <v>4313.9519576159037</v>
      </c>
      <c r="AM14" s="9">
        <v>4313.9519576159037</v>
      </c>
      <c r="AN14" s="9">
        <v>4313.9519576159037</v>
      </c>
      <c r="AO14" s="9">
        <v>4313.9519576159037</v>
      </c>
      <c r="AP14" s="9">
        <v>2786.093972626923</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row>
    <row r="15" spans="2:67">
      <c r="D15" t="s">
        <v>17</v>
      </c>
      <c r="E15" s="9">
        <v>0</v>
      </c>
      <c r="F15" s="9">
        <v>0</v>
      </c>
      <c r="G15" s="9">
        <v>0</v>
      </c>
      <c r="H15" s="9">
        <v>0</v>
      </c>
      <c r="I15" s="9">
        <v>9.6999999999999993</v>
      </c>
      <c r="J15" s="9">
        <v>56.86</v>
      </c>
      <c r="K15" s="9">
        <v>45.959000000000003</v>
      </c>
      <c r="L15" s="9">
        <v>199.08992949999993</v>
      </c>
      <c r="M15" s="9">
        <v>200.25368800000001</v>
      </c>
      <c r="N15" s="11">
        <v>243.09700000000004</v>
      </c>
      <c r="O15" s="9">
        <v>169.40329097920937</v>
      </c>
      <c r="P15" s="9">
        <v>194.60217396947783</v>
      </c>
      <c r="Q15" s="9">
        <v>146.16211989986306</v>
      </c>
      <c r="R15" s="9">
        <v>131.19336126630895</v>
      </c>
      <c r="S15" s="9">
        <v>138.68126267476032</v>
      </c>
      <c r="T15" s="9">
        <v>150.16705270795273</v>
      </c>
      <c r="U15" s="9">
        <v>138.59484144034718</v>
      </c>
      <c r="V15" s="9">
        <v>154.60849324501805</v>
      </c>
      <c r="W15" s="9">
        <v>113.39953302697242</v>
      </c>
      <c r="X15" s="9">
        <v>61.037545815216305</v>
      </c>
      <c r="Y15" s="9">
        <v>72.601026134236051</v>
      </c>
      <c r="Z15" s="9">
        <v>77.051197619887262</v>
      </c>
      <c r="AA15" s="9">
        <v>75.449832439420163</v>
      </c>
      <c r="AB15" s="9">
        <v>75.449832439420163</v>
      </c>
      <c r="AC15" s="9">
        <v>28.209559615640934</v>
      </c>
      <c r="AD15" s="9">
        <v>17.800685942604844</v>
      </c>
      <c r="AE15" s="9">
        <v>17.800685942604844</v>
      </c>
      <c r="AF15" s="9">
        <v>17.800685942604844</v>
      </c>
      <c r="AG15" s="9">
        <v>17.800685942604844</v>
      </c>
      <c r="AH15" s="9">
        <v>13.350514456953634</v>
      </c>
      <c r="AI15" s="9">
        <v>15.777880721854292</v>
      </c>
      <c r="AJ15" s="9">
        <v>9.709465059602671</v>
      </c>
      <c r="AK15" s="9">
        <v>7.2820987947019695</v>
      </c>
      <c r="AL15" s="9">
        <v>9.709465059602671</v>
      </c>
      <c r="AM15" s="9">
        <v>9.709465059602671</v>
      </c>
      <c r="AN15" s="9">
        <v>9.709465059602671</v>
      </c>
      <c r="AO15" s="9">
        <v>9.709465059602671</v>
      </c>
      <c r="AP15" s="9">
        <v>6.2706961843266926</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row>
    <row r="16" spans="2:67">
      <c r="D16" t="s">
        <v>18</v>
      </c>
      <c r="E16" s="9">
        <v>0</v>
      </c>
      <c r="F16" s="9">
        <v>0</v>
      </c>
      <c r="G16" s="9">
        <v>0</v>
      </c>
      <c r="H16" s="9">
        <v>0</v>
      </c>
      <c r="I16" s="9">
        <v>0</v>
      </c>
      <c r="J16" s="9">
        <v>1878</v>
      </c>
      <c r="K16" s="9">
        <v>3726</v>
      </c>
      <c r="L16" s="9">
        <v>14862</v>
      </c>
      <c r="M16" s="9">
        <v>15825</v>
      </c>
      <c r="N16" s="11">
        <v>29088</v>
      </c>
      <c r="O16" s="9">
        <v>3427.1876850620201</v>
      </c>
      <c r="P16" s="9">
        <v>3860.6115509949254</v>
      </c>
      <c r="Q16" s="9">
        <v>3466.0311542657596</v>
      </c>
      <c r="R16" s="9">
        <v>3063.8174677315428</v>
      </c>
      <c r="S16" s="9">
        <v>3116.1062001259133</v>
      </c>
      <c r="T16" s="9">
        <v>4823.1362530549495</v>
      </c>
      <c r="U16" s="9">
        <v>4742.3263939000208</v>
      </c>
      <c r="V16" s="9">
        <v>5688.4198121590416</v>
      </c>
      <c r="W16" s="9">
        <v>5312.1526293713659</v>
      </c>
      <c r="X16" s="9">
        <v>3032.7603970697814</v>
      </c>
      <c r="Y16" s="9">
        <v>3859.2767733862024</v>
      </c>
      <c r="Z16" s="9">
        <v>3978.8538153288073</v>
      </c>
      <c r="AA16" s="9">
        <v>3884.2444735029044</v>
      </c>
      <c r="AB16" s="9">
        <v>3884.2444735029044</v>
      </c>
      <c r="AC16" s="9">
        <v>1093.268889638784</v>
      </c>
      <c r="AD16" s="9">
        <v>478.30816777041906</v>
      </c>
      <c r="AE16" s="9">
        <v>478.30816777041906</v>
      </c>
      <c r="AF16" s="9">
        <v>478.30816777041906</v>
      </c>
      <c r="AG16" s="9">
        <v>478.30816777041906</v>
      </c>
      <c r="AH16" s="9">
        <v>358.73112582781431</v>
      </c>
      <c r="AI16" s="9">
        <v>423.95496688741684</v>
      </c>
      <c r="AJ16" s="9">
        <v>260.89536423841122</v>
      </c>
      <c r="AK16" s="9">
        <v>195.67152317880749</v>
      </c>
      <c r="AL16" s="9">
        <v>260.89536423841122</v>
      </c>
      <c r="AM16" s="9">
        <v>260.89536423841122</v>
      </c>
      <c r="AN16" s="9">
        <v>260.89536423841122</v>
      </c>
      <c r="AO16" s="9">
        <v>260.89536423841122</v>
      </c>
      <c r="AP16" s="9">
        <v>168.49492273730635</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row>
    <row r="17" spans="2:67">
      <c r="D17" t="s">
        <v>19</v>
      </c>
      <c r="E17" s="9">
        <v>0</v>
      </c>
      <c r="F17" s="9">
        <v>0</v>
      </c>
      <c r="G17" s="9">
        <v>0</v>
      </c>
      <c r="H17" s="9">
        <v>0</v>
      </c>
      <c r="I17" s="9">
        <v>1852</v>
      </c>
      <c r="J17" s="9">
        <v>5608</v>
      </c>
      <c r="K17" s="9">
        <v>4276</v>
      </c>
      <c r="L17" s="9">
        <v>3316</v>
      </c>
      <c r="M17" s="9">
        <v>3260</v>
      </c>
      <c r="N17" s="11">
        <v>5576</v>
      </c>
      <c r="O17" s="9">
        <v>17698.88668663269</v>
      </c>
      <c r="P17" s="9">
        <v>21674.573719674216</v>
      </c>
      <c r="Q17" s="9">
        <v>16576.55219062791</v>
      </c>
      <c r="R17" s="9">
        <v>13375.14197429237</v>
      </c>
      <c r="S17" s="9">
        <v>14112.691863628448</v>
      </c>
      <c r="T17" s="9">
        <v>13791.966996143246</v>
      </c>
      <c r="U17" s="9">
        <v>12652.117167169408</v>
      </c>
      <c r="V17" s="9">
        <v>13484.796572689576</v>
      </c>
      <c r="W17" s="9">
        <v>8912.3265110926186</v>
      </c>
      <c r="X17" s="9">
        <v>6055.3168143305038</v>
      </c>
      <c r="Y17" s="9">
        <v>5936.2256149941641</v>
      </c>
      <c r="Z17" s="9">
        <v>6887.9962198506755</v>
      </c>
      <c r="AA17" s="9">
        <v>6804.728279298658</v>
      </c>
      <c r="AB17" s="9">
        <v>6804.728279298658</v>
      </c>
      <c r="AC17" s="9">
        <v>4348.3240330141562</v>
      </c>
      <c r="AD17" s="9">
        <v>3807.0824194260458</v>
      </c>
      <c r="AE17" s="9">
        <v>3807.0824194260458</v>
      </c>
      <c r="AF17" s="9">
        <v>3807.0824194260458</v>
      </c>
      <c r="AG17" s="9">
        <v>3807.0824194260458</v>
      </c>
      <c r="AH17" s="9">
        <v>2855.3118145695344</v>
      </c>
      <c r="AI17" s="9">
        <v>3374.4594172185402</v>
      </c>
      <c r="AJ17" s="9">
        <v>2076.5904105960312</v>
      </c>
      <c r="AK17" s="9">
        <v>1557.442807947016</v>
      </c>
      <c r="AL17" s="9">
        <v>2076.5904105960312</v>
      </c>
      <c r="AM17" s="9">
        <v>2076.5904105960312</v>
      </c>
      <c r="AN17" s="9">
        <v>2076.5904105960312</v>
      </c>
      <c r="AO17" s="9">
        <v>2076.5904105960312</v>
      </c>
      <c r="AP17" s="9">
        <v>1341.131306843263</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row>
    <row r="18" spans="2:67">
      <c r="D18" t="s">
        <v>20</v>
      </c>
      <c r="E18" s="9">
        <v>0</v>
      </c>
      <c r="F18" s="9">
        <v>0</v>
      </c>
      <c r="G18" s="9">
        <v>0</v>
      </c>
      <c r="H18" s="9">
        <v>0</v>
      </c>
      <c r="I18" s="9">
        <v>0</v>
      </c>
      <c r="J18" s="9">
        <v>41.09</v>
      </c>
      <c r="K18" s="9">
        <v>27.872999999999998</v>
      </c>
      <c r="L18" s="9">
        <v>125.32845646666664</v>
      </c>
      <c r="M18" s="9">
        <v>250.31045953333341</v>
      </c>
      <c r="N18" s="11">
        <v>12.075298999999998</v>
      </c>
      <c r="O18" s="9">
        <v>326.71633409241741</v>
      </c>
      <c r="P18" s="9">
        <v>398.94841636022312</v>
      </c>
      <c r="Q18" s="9">
        <v>310.68845520518585</v>
      </c>
      <c r="R18" s="9">
        <v>251.08379821180836</v>
      </c>
      <c r="S18" s="9">
        <v>263.72286461019974</v>
      </c>
      <c r="T18" s="9">
        <v>272.95511949620305</v>
      </c>
      <c r="U18" s="9">
        <v>253.42201688050898</v>
      </c>
      <c r="V18" s="9">
        <v>275.24428864271698</v>
      </c>
      <c r="W18" s="9">
        <v>195.47765925651896</v>
      </c>
      <c r="X18" s="9">
        <v>129.801347479816</v>
      </c>
      <c r="Y18" s="9">
        <v>133.90331581156056</v>
      </c>
      <c r="Z18" s="9">
        <v>151.62361924202412</v>
      </c>
      <c r="AA18" s="9">
        <v>149.44139206580331</v>
      </c>
      <c r="AB18" s="9">
        <v>149.44139206580331</v>
      </c>
      <c r="AC18" s="9">
        <v>85.065690367289491</v>
      </c>
      <c r="AD18" s="9">
        <v>70.881213721854252</v>
      </c>
      <c r="AE18" s="9">
        <v>70.881213721854252</v>
      </c>
      <c r="AF18" s="9">
        <v>70.881213721854252</v>
      </c>
      <c r="AG18" s="9">
        <v>70.881213721854252</v>
      </c>
      <c r="AH18" s="9">
        <v>53.160910291390692</v>
      </c>
      <c r="AI18" s="9">
        <v>62.826530344370802</v>
      </c>
      <c r="AJ18" s="9">
        <v>38.662480211920617</v>
      </c>
      <c r="AK18" s="9">
        <v>28.996860158940326</v>
      </c>
      <c r="AL18" s="9">
        <v>38.662480211920617</v>
      </c>
      <c r="AM18" s="9">
        <v>38.662480211920617</v>
      </c>
      <c r="AN18" s="9">
        <v>38.662480211920617</v>
      </c>
      <c r="AO18" s="9">
        <v>38.662480211920617</v>
      </c>
      <c r="AP18" s="9">
        <v>24.969518470198601</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row>
    <row r="19" spans="2:67">
      <c r="D19" t="s">
        <v>21</v>
      </c>
      <c r="E19" s="9">
        <v>0</v>
      </c>
      <c r="F19" s="9">
        <v>0</v>
      </c>
      <c r="G19" s="9">
        <v>0</v>
      </c>
      <c r="H19" s="9">
        <v>0</v>
      </c>
      <c r="I19" s="9">
        <v>102.85</v>
      </c>
      <c r="J19" s="9">
        <v>746.83</v>
      </c>
      <c r="K19" s="9">
        <v>871.33900000000006</v>
      </c>
      <c r="L19" s="9">
        <v>2214.9475500072499</v>
      </c>
      <c r="M19" s="9">
        <v>2502.0828499927507</v>
      </c>
      <c r="N19" s="11">
        <v>3702.8410000000008</v>
      </c>
      <c r="O19" s="9">
        <v>2819.900415071927</v>
      </c>
      <c r="P19" s="9">
        <v>3382.242728703653</v>
      </c>
      <c r="Q19" s="9">
        <v>2594.1890833864413</v>
      </c>
      <c r="R19" s="9">
        <v>2163.4641737175675</v>
      </c>
      <c r="S19" s="9">
        <v>2279.4674071179797</v>
      </c>
      <c r="T19" s="9">
        <v>2361.7759047022055</v>
      </c>
      <c r="U19" s="9">
        <v>2182.49818035613</v>
      </c>
      <c r="V19" s="9">
        <v>2381.5418746236455</v>
      </c>
      <c r="W19" s="9">
        <v>1684.0181045893999</v>
      </c>
      <c r="X19" s="9">
        <v>1049.6313806150076</v>
      </c>
      <c r="Y19" s="9">
        <v>1120.6217233593454</v>
      </c>
      <c r="Z19" s="9">
        <v>1248.6750748825241</v>
      </c>
      <c r="AA19" s="9">
        <v>1228.7707054557723</v>
      </c>
      <c r="AB19" s="9">
        <v>1228.7707054557723</v>
      </c>
      <c r="AC19" s="9">
        <v>641.59180736660005</v>
      </c>
      <c r="AD19" s="9">
        <v>512.21340609271476</v>
      </c>
      <c r="AE19" s="9">
        <v>512.21340609271476</v>
      </c>
      <c r="AF19" s="9">
        <v>512.21340609271476</v>
      </c>
      <c r="AG19" s="9">
        <v>512.21340609271476</v>
      </c>
      <c r="AH19" s="9">
        <v>384.1600545695361</v>
      </c>
      <c r="AI19" s="9">
        <v>454.0073372185426</v>
      </c>
      <c r="AJ19" s="9">
        <v>279.38913059602709</v>
      </c>
      <c r="AK19" s="9">
        <v>209.54184794701933</v>
      </c>
      <c r="AL19" s="9">
        <v>279.38913059602709</v>
      </c>
      <c r="AM19" s="9">
        <v>279.38913059602709</v>
      </c>
      <c r="AN19" s="9">
        <v>279.38913059602709</v>
      </c>
      <c r="AO19" s="9">
        <v>279.38913059602709</v>
      </c>
      <c r="AP19" s="9">
        <v>180.43881350993323</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row>
    <row r="20" spans="2:67">
      <c r="D20" t="s">
        <v>22</v>
      </c>
      <c r="E20" s="9">
        <v>0</v>
      </c>
      <c r="F20" s="9">
        <v>0</v>
      </c>
      <c r="G20" s="9">
        <v>0</v>
      </c>
      <c r="H20" s="9">
        <v>0</v>
      </c>
      <c r="I20" s="9">
        <v>486</v>
      </c>
      <c r="J20" s="9">
        <v>2350</v>
      </c>
      <c r="K20" s="9">
        <v>2280</v>
      </c>
      <c r="L20" s="9">
        <v>1298</v>
      </c>
      <c r="M20" s="9">
        <v>33436</v>
      </c>
      <c r="N20" s="11">
        <v>4314</v>
      </c>
      <c r="O20" s="9">
        <v>25801.58057010578</v>
      </c>
      <c r="P20" s="9">
        <v>31416.646027379244</v>
      </c>
      <c r="Q20" s="9">
        <v>22944.515884908418</v>
      </c>
      <c r="R20" s="9">
        <v>18842.777235901794</v>
      </c>
      <c r="S20" s="9">
        <v>20106.32023388983</v>
      </c>
      <c r="T20" s="9">
        <v>17355.988172604859</v>
      </c>
      <c r="U20" s="9">
        <v>15403.239902987167</v>
      </c>
      <c r="V20" s="9">
        <v>15701.09977559863</v>
      </c>
      <c r="W20" s="9">
        <v>8278.8165163610793</v>
      </c>
      <c r="X20" s="9">
        <v>5681.9649143290972</v>
      </c>
      <c r="Y20" s="9">
        <v>4760.3889723710272</v>
      </c>
      <c r="Z20" s="9">
        <v>5979.8247869405623</v>
      </c>
      <c r="AA20" s="9">
        <v>5950.0387996794161</v>
      </c>
      <c r="AB20" s="9">
        <v>5950.0387996794161</v>
      </c>
      <c r="AC20" s="9">
        <v>5071.3521754755939</v>
      </c>
      <c r="AD20" s="9">
        <v>4877.7432582781421</v>
      </c>
      <c r="AE20" s="9">
        <v>4877.7432582781421</v>
      </c>
      <c r="AF20" s="9">
        <v>4877.7432582781421</v>
      </c>
      <c r="AG20" s="9">
        <v>4877.7432582781421</v>
      </c>
      <c r="AH20" s="9">
        <v>3658.307443708607</v>
      </c>
      <c r="AI20" s="9">
        <v>4323.4542516556257</v>
      </c>
      <c r="AJ20" s="9">
        <v>2660.5872317880858</v>
      </c>
      <c r="AK20" s="9">
        <v>1995.440423841055</v>
      </c>
      <c r="AL20" s="9">
        <v>2660.5872317880858</v>
      </c>
      <c r="AM20" s="9">
        <v>2660.5872317880858</v>
      </c>
      <c r="AN20" s="9">
        <v>2660.5872317880858</v>
      </c>
      <c r="AO20" s="9">
        <v>2660.5872317880858</v>
      </c>
      <c r="AP20" s="9">
        <v>1718.2959205297964</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row>
    <row r="21" spans="2:67">
      <c r="D21" t="s">
        <v>23</v>
      </c>
      <c r="E21" s="9">
        <v>0</v>
      </c>
      <c r="F21" s="9">
        <v>0</v>
      </c>
      <c r="G21" s="9">
        <v>0</v>
      </c>
      <c r="H21" s="9">
        <v>0</v>
      </c>
      <c r="I21" s="9">
        <v>1434</v>
      </c>
      <c r="J21" s="9">
        <v>9152</v>
      </c>
      <c r="K21" s="9">
        <v>16563</v>
      </c>
      <c r="L21" s="9">
        <v>32256</v>
      </c>
      <c r="M21" s="9">
        <v>32742</v>
      </c>
      <c r="N21" s="11">
        <v>48014</v>
      </c>
      <c r="O21" s="9">
        <v>9621.3313750361249</v>
      </c>
      <c r="P21" s="9">
        <v>10891.376003957563</v>
      </c>
      <c r="Q21" s="9">
        <v>8729.2284772964649</v>
      </c>
      <c r="R21" s="9">
        <v>7882.622737782116</v>
      </c>
      <c r="S21" s="9">
        <v>8211.3058363736927</v>
      </c>
      <c r="T21" s="9">
        <v>10437.328622773604</v>
      </c>
      <c r="U21" s="9">
        <v>9929.3638340412144</v>
      </c>
      <c r="V21" s="9">
        <v>11515.28740092019</v>
      </c>
      <c r="W21" s="9">
        <v>9650.0585914185867</v>
      </c>
      <c r="X21" s="9">
        <v>5288.7680235092284</v>
      </c>
      <c r="Y21" s="9">
        <v>6622.997992154219</v>
      </c>
      <c r="Z21" s="9">
        <v>6874.6915903882136</v>
      </c>
      <c r="AA21" s="9">
        <v>6716.0992337003145</v>
      </c>
      <c r="AB21" s="9">
        <v>6716.0992337003145</v>
      </c>
      <c r="AC21" s="9">
        <v>2037.6247114073185</v>
      </c>
      <c r="AD21" s="9">
        <v>1006.7743929359816</v>
      </c>
      <c r="AE21" s="9">
        <v>1006.7743929359816</v>
      </c>
      <c r="AF21" s="9">
        <v>1006.7743929359816</v>
      </c>
      <c r="AG21" s="9">
        <v>1006.7743929359816</v>
      </c>
      <c r="AH21" s="9">
        <v>755.08079470198629</v>
      </c>
      <c r="AI21" s="9">
        <v>892.36821192052901</v>
      </c>
      <c r="AJ21" s="9">
        <v>549.14966887417347</v>
      </c>
      <c r="AK21" s="9">
        <v>411.86225165562814</v>
      </c>
      <c r="AL21" s="9">
        <v>549.14966887417347</v>
      </c>
      <c r="AM21" s="9">
        <v>549.14966887417347</v>
      </c>
      <c r="AN21" s="9">
        <v>549.14966887417347</v>
      </c>
      <c r="AO21" s="9">
        <v>549.14966887417347</v>
      </c>
      <c r="AP21" s="9">
        <v>354.65916114790184</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row>
    <row r="22" spans="2:67">
      <c r="D22" t="s">
        <v>24</v>
      </c>
      <c r="E22" s="9">
        <v>0</v>
      </c>
      <c r="F22" s="9">
        <v>0</v>
      </c>
      <c r="G22" s="9">
        <v>0</v>
      </c>
      <c r="H22" s="9">
        <v>0</v>
      </c>
      <c r="I22" s="9">
        <v>0</v>
      </c>
      <c r="J22" s="9">
        <v>0</v>
      </c>
      <c r="K22" s="9">
        <v>0</v>
      </c>
      <c r="L22" s="9">
        <v>0</v>
      </c>
      <c r="M22" s="9">
        <v>0</v>
      </c>
      <c r="N22" s="11">
        <v>0</v>
      </c>
      <c r="O22" s="9">
        <v>0</v>
      </c>
      <c r="P22" s="9">
        <v>0</v>
      </c>
      <c r="Q22" s="9">
        <v>0</v>
      </c>
      <c r="R22" s="9">
        <v>2344.7498054474722</v>
      </c>
      <c r="S22" s="9">
        <v>4220.549649805449</v>
      </c>
      <c r="T22" s="9">
        <v>6839.450750723734</v>
      </c>
      <c r="U22" s="9">
        <v>5460.0593786666795</v>
      </c>
      <c r="V22" s="9">
        <v>5434.1823200000008</v>
      </c>
      <c r="W22" s="9">
        <v>6624.5270186666803</v>
      </c>
      <c r="X22" s="9">
        <v>7788.9946586666802</v>
      </c>
      <c r="Y22" s="9">
        <v>6676.2811359999996</v>
      </c>
      <c r="Z22" s="9">
        <v>1164.4676400000001</v>
      </c>
      <c r="AA22" s="9">
        <v>0</v>
      </c>
      <c r="AB22" s="9">
        <v>0</v>
      </c>
      <c r="AC22" s="9">
        <v>10340.94423529411</v>
      </c>
      <c r="AD22" s="9">
        <v>10340.94423529411</v>
      </c>
      <c r="AE22" s="9">
        <v>8617.4535294117777</v>
      </c>
      <c r="AF22" s="9">
        <v>0</v>
      </c>
      <c r="AG22" s="9">
        <v>0</v>
      </c>
      <c r="AH22" s="9">
        <v>0</v>
      </c>
      <c r="AI22" s="9">
        <v>0</v>
      </c>
      <c r="AJ22" s="9">
        <v>2813.6997665369681</v>
      </c>
      <c r="AK22" s="9">
        <v>3915.7321750972756</v>
      </c>
      <c r="AL22" s="9">
        <v>8487.9942957198637</v>
      </c>
      <c r="AM22" s="9">
        <v>8487.9942957198637</v>
      </c>
      <c r="AN22" s="9">
        <v>8487.9942957198637</v>
      </c>
      <c r="AO22" s="9">
        <v>8487.9942957198637</v>
      </c>
      <c r="AP22" s="9">
        <v>8487.9942957198637</v>
      </c>
      <c r="AQ22" s="9">
        <v>3352.9922217898829</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row>
    <row r="23" spans="2:67">
      <c r="D23" t="s">
        <v>25</v>
      </c>
      <c r="E23" s="9">
        <v>0</v>
      </c>
      <c r="F23" s="9">
        <v>0</v>
      </c>
      <c r="G23" s="9">
        <v>0</v>
      </c>
      <c r="H23" s="9">
        <v>0</v>
      </c>
      <c r="I23" s="9">
        <v>0</v>
      </c>
      <c r="J23" s="9">
        <v>0</v>
      </c>
      <c r="K23" s="9">
        <v>0</v>
      </c>
      <c r="L23" s="9">
        <v>0</v>
      </c>
      <c r="M23" s="9">
        <v>0</v>
      </c>
      <c r="N23" s="11">
        <v>0</v>
      </c>
      <c r="O23" s="9">
        <v>0</v>
      </c>
      <c r="P23" s="9">
        <v>0</v>
      </c>
      <c r="Q23" s="9">
        <v>0</v>
      </c>
      <c r="R23" s="9">
        <v>1516.6217898832692</v>
      </c>
      <c r="S23" s="9">
        <v>2729.9192217898844</v>
      </c>
      <c r="T23" s="9">
        <v>4688.752658941632</v>
      </c>
      <c r="U23" s="9">
        <v>3786.8639826666754</v>
      </c>
      <c r="V23" s="9">
        <v>3768.9167600000001</v>
      </c>
      <c r="W23" s="9">
        <v>4594.4890026666753</v>
      </c>
      <c r="X23" s="9">
        <v>5402.1140226666748</v>
      </c>
      <c r="Y23" s="9">
        <v>4630.3834479999996</v>
      </c>
      <c r="Z23" s="9">
        <v>807.62501999999995</v>
      </c>
      <c r="AA23" s="9">
        <v>0</v>
      </c>
      <c r="AB23" s="9">
        <v>0</v>
      </c>
      <c r="AC23" s="9">
        <v>8241.5244705882287</v>
      </c>
      <c r="AD23" s="9">
        <v>8241.5244705882287</v>
      </c>
      <c r="AE23" s="9">
        <v>6867.9370588235406</v>
      </c>
      <c r="AF23" s="9">
        <v>0</v>
      </c>
      <c r="AG23" s="9">
        <v>0</v>
      </c>
      <c r="AH23" s="9">
        <v>0</v>
      </c>
      <c r="AI23" s="9">
        <v>0</v>
      </c>
      <c r="AJ23" s="9">
        <v>1819.9461478599242</v>
      </c>
      <c r="AK23" s="9">
        <v>2532.7583891050581</v>
      </c>
      <c r="AL23" s="9">
        <v>5490.1708793774451</v>
      </c>
      <c r="AM23" s="9">
        <v>5490.1708793774451</v>
      </c>
      <c r="AN23" s="9">
        <v>5490.1708793774451</v>
      </c>
      <c r="AO23" s="9">
        <v>5490.1708793774451</v>
      </c>
      <c r="AP23" s="9">
        <v>5490.1708793774451</v>
      </c>
      <c r="AQ23" s="9">
        <v>2168.7691595330739</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row>
    <row r="24" spans="2:67">
      <c r="D24" t="s">
        <v>26</v>
      </c>
      <c r="E24" s="9">
        <v>0</v>
      </c>
      <c r="F24" s="9">
        <v>0</v>
      </c>
      <c r="G24" s="9">
        <v>0</v>
      </c>
      <c r="H24" s="9">
        <v>0</v>
      </c>
      <c r="I24" s="9">
        <v>0</v>
      </c>
      <c r="J24" s="9">
        <v>0</v>
      </c>
      <c r="K24" s="9">
        <v>0</v>
      </c>
      <c r="L24" s="9">
        <v>0</v>
      </c>
      <c r="M24" s="9">
        <v>0</v>
      </c>
      <c r="N24" s="11">
        <v>0</v>
      </c>
      <c r="O24" s="9">
        <v>694.52920331284622</v>
      </c>
      <c r="P24" s="9">
        <v>835.58107747170709</v>
      </c>
      <c r="Q24" s="9">
        <v>637.23604036162692</v>
      </c>
      <c r="R24" s="9">
        <v>529.42147082520307</v>
      </c>
      <c r="S24" s="9">
        <v>558.63676257570853</v>
      </c>
      <c r="T24" s="9">
        <v>566.07322850504102</v>
      </c>
      <c r="U24" s="9">
        <v>520.92232307244569</v>
      </c>
      <c r="V24" s="9">
        <v>564.23442498327358</v>
      </c>
      <c r="W24" s="9">
        <v>388.76092171199014</v>
      </c>
      <c r="X24" s="9">
        <v>245.15459568903688</v>
      </c>
      <c r="Y24" s="9">
        <v>256.4137174674147</v>
      </c>
      <c r="Z24" s="9">
        <v>288.46669759986503</v>
      </c>
      <c r="AA24" s="9">
        <v>284.13548740878218</v>
      </c>
      <c r="AB24" s="9">
        <v>284.13548740878218</v>
      </c>
      <c r="AC24" s="9">
        <v>156.36478677183945</v>
      </c>
      <c r="AD24" s="9">
        <v>128.21192052980123</v>
      </c>
      <c r="AE24" s="9">
        <v>128.21192052980123</v>
      </c>
      <c r="AF24" s="9">
        <v>128.21192052980123</v>
      </c>
      <c r="AG24" s="9">
        <v>128.21192052980123</v>
      </c>
      <c r="AH24" s="9">
        <v>96.158940397350932</v>
      </c>
      <c r="AI24" s="9">
        <v>113.64238410596016</v>
      </c>
      <c r="AJ24" s="9">
        <v>69.933774834437244</v>
      </c>
      <c r="AK24" s="9">
        <v>52.450331125827688</v>
      </c>
      <c r="AL24" s="9">
        <v>69.933774834437244</v>
      </c>
      <c r="AM24" s="9">
        <v>69.933774834437244</v>
      </c>
      <c r="AN24" s="9">
        <v>69.933774834437244</v>
      </c>
      <c r="AO24" s="9">
        <v>69.933774834437244</v>
      </c>
      <c r="AP24" s="9">
        <v>45.165562913907152</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row>
    <row r="25" spans="2:67">
      <c r="D25" t="s">
        <v>27</v>
      </c>
      <c r="E25" s="9">
        <v>0</v>
      </c>
      <c r="F25" s="9">
        <v>0</v>
      </c>
      <c r="G25" s="9">
        <v>0</v>
      </c>
      <c r="H25" s="9">
        <v>0</v>
      </c>
      <c r="I25" s="9">
        <v>0</v>
      </c>
      <c r="J25" s="9">
        <v>0</v>
      </c>
      <c r="K25" s="9">
        <v>0</v>
      </c>
      <c r="L25" s="9">
        <v>0</v>
      </c>
      <c r="M25" s="9">
        <v>0</v>
      </c>
      <c r="N25" s="11">
        <v>0</v>
      </c>
      <c r="O25" s="9">
        <v>45.6741490887933</v>
      </c>
      <c r="P25" s="9">
        <v>55.503470269742166</v>
      </c>
      <c r="Q25" s="9">
        <v>39.903356563220278</v>
      </c>
      <c r="R25" s="9">
        <v>32.97708724754699</v>
      </c>
      <c r="S25" s="9">
        <v>35.323163706299702</v>
      </c>
      <c r="T25" s="9">
        <v>29.138053042315686</v>
      </c>
      <c r="U25" s="9">
        <v>25.512298515152729</v>
      </c>
      <c r="V25" s="9">
        <v>25.512298515152729</v>
      </c>
      <c r="W25" s="9">
        <v>11.936034751555685</v>
      </c>
      <c r="X25" s="9">
        <v>8.2366445916114728</v>
      </c>
      <c r="Y25" s="9">
        <v>6.1774834437086055</v>
      </c>
      <c r="Z25" s="9">
        <v>8.2366445916114728</v>
      </c>
      <c r="AA25" s="9">
        <v>8.2366445916114728</v>
      </c>
      <c r="AB25" s="9">
        <v>8.2366445916114728</v>
      </c>
      <c r="AC25" s="9">
        <v>8.2366445916114728</v>
      </c>
      <c r="AD25" s="9">
        <v>8.2366445916114728</v>
      </c>
      <c r="AE25" s="9">
        <v>8.2366445916114728</v>
      </c>
      <c r="AF25" s="9">
        <v>8.2366445916114728</v>
      </c>
      <c r="AG25" s="9">
        <v>8.2366445916114728</v>
      </c>
      <c r="AH25" s="9">
        <v>6.1774834437086055</v>
      </c>
      <c r="AI25" s="9">
        <v>7.3006622516556225</v>
      </c>
      <c r="AJ25" s="9">
        <v>4.4927152317880896</v>
      </c>
      <c r="AK25" s="9">
        <v>3.3695364238410517</v>
      </c>
      <c r="AL25" s="9">
        <v>4.4927152317880896</v>
      </c>
      <c r="AM25" s="9">
        <v>4.4927152317880896</v>
      </c>
      <c r="AN25" s="9">
        <v>4.4927152317880896</v>
      </c>
      <c r="AO25" s="9">
        <v>4.4927152317880896</v>
      </c>
      <c r="AP25" s="9">
        <v>2.9015452538631261</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row>
    <row r="26" spans="2:67">
      <c r="D26" t="s">
        <v>28</v>
      </c>
      <c r="E26" s="9">
        <v>0</v>
      </c>
      <c r="F26" s="9">
        <v>0</v>
      </c>
      <c r="G26" s="9">
        <v>0</v>
      </c>
      <c r="H26" s="9">
        <v>0</v>
      </c>
      <c r="I26" s="9">
        <v>0</v>
      </c>
      <c r="J26" s="9">
        <v>0</v>
      </c>
      <c r="K26" s="9">
        <v>0</v>
      </c>
      <c r="L26" s="9">
        <v>0</v>
      </c>
      <c r="M26" s="9">
        <v>0</v>
      </c>
      <c r="N26" s="11">
        <v>0</v>
      </c>
      <c r="O26" s="9">
        <v>228.37074544396651</v>
      </c>
      <c r="P26" s="9">
        <v>277.51735134871086</v>
      </c>
      <c r="Q26" s="9">
        <v>199.5167828161014</v>
      </c>
      <c r="R26" s="9">
        <v>164.88543623773495</v>
      </c>
      <c r="S26" s="9">
        <v>176.61581853149852</v>
      </c>
      <c r="T26" s="9">
        <v>145.69026521157843</v>
      </c>
      <c r="U26" s="9">
        <v>127.56149257576365</v>
      </c>
      <c r="V26" s="9">
        <v>127.56149257576365</v>
      </c>
      <c r="W26" s="9">
        <v>59.680173757778419</v>
      </c>
      <c r="X26" s="9">
        <v>41.183222958057364</v>
      </c>
      <c r="Y26" s="9">
        <v>30.887417218543025</v>
      </c>
      <c r="Z26" s="9">
        <v>41.183222958057364</v>
      </c>
      <c r="AA26" s="9">
        <v>41.183222958057364</v>
      </c>
      <c r="AB26" s="9">
        <v>41.183222958057364</v>
      </c>
      <c r="AC26" s="9">
        <v>41.183222958057364</v>
      </c>
      <c r="AD26" s="9">
        <v>41.183222958057364</v>
      </c>
      <c r="AE26" s="9">
        <v>41.183222958057364</v>
      </c>
      <c r="AF26" s="9">
        <v>41.183222958057364</v>
      </c>
      <c r="AG26" s="9">
        <v>41.183222958057364</v>
      </c>
      <c r="AH26" s="9">
        <v>30.887417218543025</v>
      </c>
      <c r="AI26" s="9">
        <v>36.503311258278117</v>
      </c>
      <c r="AJ26" s="9">
        <v>22.463576158940448</v>
      </c>
      <c r="AK26" s="9">
        <v>16.847682119205256</v>
      </c>
      <c r="AL26" s="9">
        <v>22.463576158940448</v>
      </c>
      <c r="AM26" s="9">
        <v>22.463576158940448</v>
      </c>
      <c r="AN26" s="9">
        <v>22.463576158940448</v>
      </c>
      <c r="AO26" s="9">
        <v>22.463576158940448</v>
      </c>
      <c r="AP26" s="9">
        <v>14.507726269315629</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row>
    <row r="27" spans="2:67" ht="15" thickBot="1">
      <c r="D27" t="s">
        <v>29</v>
      </c>
      <c r="E27" s="9">
        <v>0</v>
      </c>
      <c r="F27" s="9">
        <v>0</v>
      </c>
      <c r="G27" s="9">
        <v>0</v>
      </c>
      <c r="H27" s="9">
        <v>0</v>
      </c>
      <c r="I27" s="9">
        <v>0</v>
      </c>
      <c r="J27" s="9">
        <v>0</v>
      </c>
      <c r="K27" s="9">
        <v>0</v>
      </c>
      <c r="L27" s="9">
        <v>0</v>
      </c>
      <c r="M27" s="9">
        <v>0</v>
      </c>
      <c r="N27" s="11">
        <v>0</v>
      </c>
      <c r="O27" s="9">
        <v>48.903442076341342</v>
      </c>
      <c r="P27" s="9">
        <v>57.632495975897662</v>
      </c>
      <c r="Q27" s="9">
        <v>42.199725445429891</v>
      </c>
      <c r="R27" s="9">
        <v>36.569844650727909</v>
      </c>
      <c r="S27" s="9">
        <v>38.928713866019855</v>
      </c>
      <c r="T27" s="9">
        <v>37.244309964906051</v>
      </c>
      <c r="U27" s="9">
        <v>33.598784814000638</v>
      </c>
      <c r="V27" s="9">
        <v>35.924135132471974</v>
      </c>
      <c r="W27" s="9">
        <v>22.670483367577958</v>
      </c>
      <c r="X27" s="9">
        <v>12.973439237356049</v>
      </c>
      <c r="Y27" s="9">
        <v>13.625041211456534</v>
      </c>
      <c r="Z27" s="9">
        <v>15.298789555827392</v>
      </c>
      <c r="AA27" s="9">
        <v>15.066254523980257</v>
      </c>
      <c r="AB27" s="9">
        <v>15.066254523980257</v>
      </c>
      <c r="AC27" s="9">
        <v>8.2064710844898077</v>
      </c>
      <c r="AD27" s="9">
        <v>6.6949933774834385</v>
      </c>
      <c r="AE27" s="9">
        <v>6.6949933774834385</v>
      </c>
      <c r="AF27" s="9">
        <v>6.6949933774834385</v>
      </c>
      <c r="AG27" s="9">
        <v>6.6949933774834385</v>
      </c>
      <c r="AH27" s="9">
        <v>5.0212450331125789</v>
      </c>
      <c r="AI27" s="9">
        <v>5.9341986754966838</v>
      </c>
      <c r="AJ27" s="9">
        <v>3.6518145695364321</v>
      </c>
      <c r="AK27" s="9">
        <v>2.7388609271523112</v>
      </c>
      <c r="AL27" s="9">
        <v>3.6518145695364321</v>
      </c>
      <c r="AM27" s="9">
        <v>3.6518145695364321</v>
      </c>
      <c r="AN27" s="9">
        <v>3.6518145695364321</v>
      </c>
      <c r="AO27" s="9">
        <v>3.6518145695364321</v>
      </c>
      <c r="AP27" s="9">
        <v>2.3584635761589334</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row>
    <row r="28" spans="2:67" ht="15" thickBot="1">
      <c r="B28" s="89" t="s">
        <v>5189</v>
      </c>
      <c r="E28" s="9"/>
      <c r="F28" s="9"/>
      <c r="G28" s="9"/>
      <c r="H28" s="9"/>
      <c r="I28" s="9"/>
      <c r="J28" s="9"/>
      <c r="K28" s="9"/>
      <c r="L28" s="9"/>
      <c r="M28" s="9"/>
      <c r="N28" s="11"/>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row>
    <row r="29" spans="2:67">
      <c r="B29" t="s">
        <v>109</v>
      </c>
      <c r="C29" s="9">
        <v>-1620484.7369999997</v>
      </c>
      <c r="D29" t="s">
        <v>2</v>
      </c>
      <c r="E29" s="9">
        <v>0</v>
      </c>
      <c r="F29" s="9">
        <v>120974.3291025712</v>
      </c>
      <c r="G29" s="9">
        <v>1476848.4153489452</v>
      </c>
      <c r="H29" s="9">
        <v>348203.95254848321</v>
      </c>
      <c r="I29" s="9">
        <v>0</v>
      </c>
      <c r="J29" s="9">
        <v>0</v>
      </c>
      <c r="K29" s="9">
        <v>0</v>
      </c>
      <c r="L29" s="9">
        <v>179117.89499999979</v>
      </c>
      <c r="M29" s="9">
        <v>133793.0390000008</v>
      </c>
      <c r="N29" s="11">
        <v>520408.50199999928</v>
      </c>
      <c r="O29" s="9">
        <v>433782.05125853029</v>
      </c>
      <c r="P29" s="9">
        <v>717504.53858387773</v>
      </c>
      <c r="Q29" s="9">
        <v>720559.03250664996</v>
      </c>
      <c r="R29" s="9">
        <v>507193.96092815092</v>
      </c>
      <c r="S29" s="9">
        <v>438622.97782524698</v>
      </c>
      <c r="T29" s="9">
        <v>788013.40288517973</v>
      </c>
      <c r="U29" s="9">
        <v>715981.48054988415</v>
      </c>
      <c r="V29" s="9">
        <v>823444.26404566038</v>
      </c>
      <c r="W29" s="9">
        <v>823922.43914499809</v>
      </c>
      <c r="X29" s="9">
        <v>820376.35076846054</v>
      </c>
      <c r="Y29" s="9">
        <v>856390.51085443434</v>
      </c>
      <c r="Z29" s="9">
        <v>855912.33575509663</v>
      </c>
      <c r="AA29" s="9">
        <v>855912.33575509663</v>
      </c>
      <c r="AB29" s="9">
        <v>855912.33575509663</v>
      </c>
      <c r="AC29" s="9">
        <v>855912.33575509663</v>
      </c>
      <c r="AD29" s="9">
        <v>641841.59729941306</v>
      </c>
      <c r="AE29" s="9">
        <v>569914.79879027244</v>
      </c>
      <c r="AF29" s="9">
        <v>569914.79879027244</v>
      </c>
      <c r="AG29" s="9">
        <v>641841.59729941306</v>
      </c>
      <c r="AH29" s="9">
        <v>714246.57090789091</v>
      </c>
      <c r="AI29" s="9">
        <v>785057.71809970553</v>
      </c>
      <c r="AJ29" s="9">
        <v>785709.77505334793</v>
      </c>
      <c r="AK29" s="9">
        <v>785970.59783480491</v>
      </c>
      <c r="AL29" s="9">
        <v>785709.77505334793</v>
      </c>
      <c r="AM29" s="9">
        <v>750173.79006671219</v>
      </c>
      <c r="AN29" s="9">
        <v>727616.96823659539</v>
      </c>
      <c r="AO29" s="9">
        <v>426930.61104351474</v>
      </c>
      <c r="AP29" s="9">
        <v>427300.10998391209</v>
      </c>
      <c r="AQ29" s="9">
        <v>427973.90216934256</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row>
    <row r="30" spans="2:67">
      <c r="B30" t="s">
        <v>119</v>
      </c>
      <c r="D30" t="s">
        <v>2615</v>
      </c>
      <c r="E30" s="9">
        <v>0</v>
      </c>
      <c r="F30" s="9">
        <v>0</v>
      </c>
      <c r="G30" s="9">
        <v>0</v>
      </c>
      <c r="H30" s="9">
        <v>0</v>
      </c>
      <c r="I30" s="9">
        <v>0</v>
      </c>
      <c r="J30" s="9">
        <v>0</v>
      </c>
      <c r="K30" s="9">
        <v>0</v>
      </c>
      <c r="L30" s="9">
        <v>0</v>
      </c>
      <c r="M30" s="9">
        <v>0</v>
      </c>
      <c r="N30" s="11">
        <v>0</v>
      </c>
      <c r="O30" s="9">
        <v>50000</v>
      </c>
      <c r="P30" s="9">
        <v>300000</v>
      </c>
      <c r="Q30" s="9">
        <v>300000</v>
      </c>
      <c r="R30" s="9">
        <v>300000</v>
      </c>
      <c r="S30" s="9">
        <v>270000</v>
      </c>
      <c r="T30" s="9">
        <v>150000</v>
      </c>
      <c r="U30" s="9">
        <v>150000</v>
      </c>
      <c r="V30" s="9">
        <v>250000</v>
      </c>
      <c r="W30" s="9">
        <v>350000</v>
      </c>
      <c r="X30" s="9">
        <v>450000</v>
      </c>
      <c r="Y30" s="9">
        <v>450000</v>
      </c>
      <c r="Z30" s="9">
        <v>450000</v>
      </c>
      <c r="AA30" s="9">
        <v>450000</v>
      </c>
      <c r="AB30" s="9">
        <v>450000</v>
      </c>
      <c r="AC30" s="9">
        <v>450000</v>
      </c>
      <c r="AD30" s="9">
        <v>300000</v>
      </c>
      <c r="AE30" s="9">
        <v>100000</v>
      </c>
      <c r="AF30" s="9">
        <v>0</v>
      </c>
      <c r="AG30" s="9">
        <v>150000</v>
      </c>
      <c r="AH30" s="9">
        <v>250000</v>
      </c>
      <c r="AI30" s="9">
        <v>350000</v>
      </c>
      <c r="AJ30" s="9">
        <v>450000</v>
      </c>
      <c r="AK30" s="9">
        <v>450000</v>
      </c>
      <c r="AL30" s="9">
        <v>450000</v>
      </c>
      <c r="AM30" s="9">
        <v>450000</v>
      </c>
      <c r="AN30" s="9">
        <v>450000</v>
      </c>
      <c r="AO30" s="9">
        <v>450000</v>
      </c>
      <c r="AP30" s="9">
        <v>200000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row>
    <row r="31" spans="2:67">
      <c r="B31" t="s">
        <v>124</v>
      </c>
      <c r="D31" t="s">
        <v>2616</v>
      </c>
      <c r="E31" s="9">
        <v>0</v>
      </c>
      <c r="F31" s="9">
        <v>0</v>
      </c>
      <c r="G31" s="9">
        <v>0</v>
      </c>
      <c r="H31" s="9">
        <v>0</v>
      </c>
      <c r="I31" s="9">
        <v>0</v>
      </c>
      <c r="J31" s="9">
        <v>0</v>
      </c>
      <c r="K31" s="9">
        <v>0</v>
      </c>
      <c r="L31" s="9">
        <v>0</v>
      </c>
      <c r="M31" s="9">
        <v>2286.7539999999999</v>
      </c>
      <c r="N31" s="11">
        <v>442.34000000000015</v>
      </c>
      <c r="O31" s="9">
        <v>19973.824879223583</v>
      </c>
      <c r="P31" s="9">
        <v>49934.562198058949</v>
      </c>
      <c r="Q31" s="9">
        <v>49934.562198058949</v>
      </c>
      <c r="R31" s="9">
        <v>49934.562198058949</v>
      </c>
      <c r="S31" s="9">
        <v>49934.562198058949</v>
      </c>
      <c r="T31" s="9">
        <v>24967.281099029475</v>
      </c>
      <c r="U31" s="9">
        <v>49934.562198058949</v>
      </c>
      <c r="V31" s="9">
        <v>49934.562198058949</v>
      </c>
      <c r="W31" s="9">
        <v>49934.562198058949</v>
      </c>
      <c r="X31" s="9">
        <v>99869.124396117899</v>
      </c>
      <c r="Y31" s="9">
        <v>124836.40549514737</v>
      </c>
      <c r="Z31" s="9">
        <v>124836.40549514737</v>
      </c>
      <c r="AA31" s="9">
        <v>124836.40549514737</v>
      </c>
      <c r="AB31" s="9">
        <v>99869.124396117899</v>
      </c>
      <c r="AC31" s="9">
        <v>99869.124396117899</v>
      </c>
      <c r="AD31" s="9">
        <v>49934.562198058949</v>
      </c>
      <c r="AE31" s="9">
        <v>24967.281099029475</v>
      </c>
      <c r="AF31" s="9">
        <v>24967.281099029475</v>
      </c>
      <c r="AG31" s="9">
        <v>24967.281099029475</v>
      </c>
      <c r="AH31" s="9">
        <v>49934.562198058949</v>
      </c>
      <c r="AI31" s="9">
        <v>74901.843297088431</v>
      </c>
      <c r="AJ31" s="9">
        <v>124836.40549514737</v>
      </c>
      <c r="AK31" s="9">
        <v>124836.40549514737</v>
      </c>
      <c r="AL31" s="9">
        <v>124836.40549514737</v>
      </c>
      <c r="AM31" s="9">
        <v>124836.40549514737</v>
      </c>
      <c r="AN31" s="9">
        <v>124836.40549514737</v>
      </c>
      <c r="AO31" s="9">
        <v>99869.124396117899</v>
      </c>
      <c r="AP31" s="9">
        <v>40205.312099389143</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row>
    <row r="32" spans="2:67">
      <c r="B32" t="s">
        <v>129</v>
      </c>
      <c r="D32" t="s">
        <v>2617</v>
      </c>
      <c r="E32" s="9">
        <v>0</v>
      </c>
      <c r="F32" s="9">
        <v>0</v>
      </c>
      <c r="G32" s="9">
        <v>0</v>
      </c>
      <c r="H32" s="9">
        <v>0</v>
      </c>
      <c r="I32" s="9">
        <v>0</v>
      </c>
      <c r="J32" s="9">
        <v>0</v>
      </c>
      <c r="K32" s="9">
        <v>0</v>
      </c>
      <c r="L32" s="9">
        <v>0</v>
      </c>
      <c r="M32" s="9">
        <v>0</v>
      </c>
      <c r="N32" s="11">
        <v>0</v>
      </c>
      <c r="O32" s="9">
        <v>20019.234657558769</v>
      </c>
      <c r="P32" s="9">
        <v>50048.086643896924</v>
      </c>
      <c r="Q32" s="9">
        <v>50048.086643896924</v>
      </c>
      <c r="R32" s="9">
        <v>50048.086643896924</v>
      </c>
      <c r="S32" s="9">
        <v>50048.086643896924</v>
      </c>
      <c r="T32" s="9">
        <v>50048.086643896924</v>
      </c>
      <c r="U32" s="9">
        <v>75072.129965845394</v>
      </c>
      <c r="V32" s="9">
        <v>75072.129965845394</v>
      </c>
      <c r="W32" s="9">
        <v>125120.21660974232</v>
      </c>
      <c r="X32" s="9">
        <v>125120.21660974232</v>
      </c>
      <c r="Y32" s="9">
        <v>150144.25993169079</v>
      </c>
      <c r="Z32" s="9">
        <v>150144.25993169079</v>
      </c>
      <c r="AA32" s="9">
        <v>150144.25993169079</v>
      </c>
      <c r="AB32" s="9">
        <v>125120.21660974232</v>
      </c>
      <c r="AC32" s="9">
        <v>125120.21660974232</v>
      </c>
      <c r="AD32" s="9">
        <v>75072.129965845394</v>
      </c>
      <c r="AE32" s="9">
        <v>50048.086643896924</v>
      </c>
      <c r="AF32" s="9">
        <v>60057.703972676311</v>
      </c>
      <c r="AG32" s="9">
        <v>60057.703972676311</v>
      </c>
      <c r="AH32" s="9">
        <v>85081.747294624773</v>
      </c>
      <c r="AI32" s="9">
        <v>110105.79061657323</v>
      </c>
      <c r="AJ32" s="9">
        <v>160153.87726047015</v>
      </c>
      <c r="AK32" s="9">
        <v>160153.87726047015</v>
      </c>
      <c r="AL32" s="9">
        <v>160153.87726047015</v>
      </c>
      <c r="AM32" s="9">
        <v>160153.87726047015</v>
      </c>
      <c r="AN32" s="9">
        <v>160153.87726047015</v>
      </c>
      <c r="AO32" s="9">
        <v>135129.83393852171</v>
      </c>
      <c r="AP32" s="9">
        <v>75330.378092927887</v>
      </c>
      <c r="AQ32" s="9">
        <v>17442.759157130957</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row>
    <row r="33" spans="2:67">
      <c r="B33" t="s">
        <v>134</v>
      </c>
      <c r="D33" t="s">
        <v>2618</v>
      </c>
      <c r="E33" s="9">
        <v>0</v>
      </c>
      <c r="F33" s="9">
        <v>0</v>
      </c>
      <c r="G33" s="9">
        <v>0</v>
      </c>
      <c r="H33" s="9">
        <v>0</v>
      </c>
      <c r="I33" s="9">
        <v>0</v>
      </c>
      <c r="J33" s="9">
        <v>0</v>
      </c>
      <c r="K33" s="9">
        <v>0</v>
      </c>
      <c r="L33" s="9">
        <v>0</v>
      </c>
      <c r="M33" s="9">
        <v>0</v>
      </c>
      <c r="N33" s="11">
        <v>0</v>
      </c>
      <c r="O33" s="9">
        <v>0</v>
      </c>
      <c r="P33" s="9">
        <v>75000</v>
      </c>
      <c r="Q33" s="9">
        <v>50000</v>
      </c>
      <c r="R33" s="9">
        <v>50000</v>
      </c>
      <c r="S33" s="9">
        <v>50000</v>
      </c>
      <c r="T33" s="9">
        <v>25000</v>
      </c>
      <c r="U33" s="9">
        <v>50000</v>
      </c>
      <c r="V33" s="9">
        <v>50000</v>
      </c>
      <c r="W33" s="9">
        <v>100000</v>
      </c>
      <c r="X33" s="9">
        <v>100000</v>
      </c>
      <c r="Y33" s="9">
        <v>125000</v>
      </c>
      <c r="Z33" s="9">
        <v>125000</v>
      </c>
      <c r="AA33" s="9">
        <v>125000</v>
      </c>
      <c r="AB33" s="9">
        <v>125000</v>
      </c>
      <c r="AC33" s="9">
        <v>100000</v>
      </c>
      <c r="AD33" s="9">
        <v>50000</v>
      </c>
      <c r="AE33" s="9">
        <v>20000</v>
      </c>
      <c r="AF33" s="9">
        <v>20000</v>
      </c>
      <c r="AG33" s="9">
        <v>20000</v>
      </c>
      <c r="AH33" s="9">
        <v>40000</v>
      </c>
      <c r="AI33" s="9">
        <v>40000</v>
      </c>
      <c r="AJ33" s="9">
        <v>100000</v>
      </c>
      <c r="AK33" s="9">
        <v>100000</v>
      </c>
      <c r="AL33" s="9">
        <v>100000</v>
      </c>
      <c r="AM33" s="9">
        <v>100000</v>
      </c>
      <c r="AN33" s="9">
        <v>100000</v>
      </c>
      <c r="AO33" s="9">
        <v>100000</v>
      </c>
      <c r="AP33" s="9">
        <v>66730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row>
    <row r="34" spans="2:67">
      <c r="B34" t="s">
        <v>139</v>
      </c>
      <c r="D34" t="s">
        <v>2619</v>
      </c>
      <c r="E34" s="9">
        <v>0</v>
      </c>
      <c r="F34" s="9">
        <v>0</v>
      </c>
      <c r="G34" s="9">
        <v>0</v>
      </c>
      <c r="H34" s="9">
        <v>0</v>
      </c>
      <c r="I34" s="9">
        <v>0</v>
      </c>
      <c r="J34" s="9">
        <v>0</v>
      </c>
      <c r="K34" s="9">
        <v>0</v>
      </c>
      <c r="L34" s="9">
        <v>0</v>
      </c>
      <c r="M34" s="9">
        <v>0</v>
      </c>
      <c r="N34" s="11">
        <v>0</v>
      </c>
      <c r="O34" s="9">
        <v>0</v>
      </c>
      <c r="P34" s="9">
        <v>0</v>
      </c>
      <c r="Q34" s="9">
        <v>0</v>
      </c>
      <c r="R34" s="9">
        <v>0</v>
      </c>
      <c r="S34" s="9">
        <v>0</v>
      </c>
      <c r="T34" s="9">
        <v>0</v>
      </c>
      <c r="U34" s="9">
        <v>0</v>
      </c>
      <c r="V34" s="9">
        <v>10000</v>
      </c>
      <c r="W34" s="9">
        <v>10000</v>
      </c>
      <c r="X34" s="9">
        <v>10000</v>
      </c>
      <c r="Y34" s="9">
        <v>10000</v>
      </c>
      <c r="Z34" s="9">
        <v>10000</v>
      </c>
      <c r="AA34" s="9">
        <v>10000</v>
      </c>
      <c r="AB34" s="9">
        <v>10000</v>
      </c>
      <c r="AC34" s="9">
        <v>0</v>
      </c>
      <c r="AD34" s="9">
        <v>0</v>
      </c>
      <c r="AE34" s="9">
        <v>0</v>
      </c>
      <c r="AF34" s="9">
        <v>0</v>
      </c>
      <c r="AG34" s="9">
        <v>0</v>
      </c>
      <c r="AH34" s="9">
        <v>0</v>
      </c>
      <c r="AI34" s="9">
        <v>0</v>
      </c>
      <c r="AJ34" s="9">
        <v>0</v>
      </c>
      <c r="AK34" s="9">
        <v>10000</v>
      </c>
      <c r="AL34" s="9">
        <v>10000</v>
      </c>
      <c r="AM34" s="9">
        <v>10000</v>
      </c>
      <c r="AN34" s="9">
        <v>8520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row>
    <row r="35" spans="2:67">
      <c r="B35" t="s">
        <v>147</v>
      </c>
      <c r="C35" s="79">
        <v>-2639.6520021084998</v>
      </c>
      <c r="D35" t="s">
        <v>5</v>
      </c>
      <c r="E35" s="9">
        <v>0</v>
      </c>
      <c r="F35" s="9">
        <v>0</v>
      </c>
      <c r="G35" s="9">
        <v>0</v>
      </c>
      <c r="H35" s="9">
        <v>0</v>
      </c>
      <c r="I35" s="9">
        <v>1650.0146062938097</v>
      </c>
      <c r="J35" s="9">
        <v>2989.6170462416071</v>
      </c>
      <c r="K35" s="9">
        <v>2845.3659434645833</v>
      </c>
      <c r="L35" s="9">
        <v>0</v>
      </c>
      <c r="M35" s="9">
        <v>1220.5530509999999</v>
      </c>
      <c r="N35" s="11">
        <v>0</v>
      </c>
      <c r="O35" s="9">
        <v>1683.4927139891552</v>
      </c>
      <c r="P35" s="9">
        <v>3956.9894999869907</v>
      </c>
      <c r="Q35" s="9">
        <v>2701.0766700305894</v>
      </c>
      <c r="R35" s="9">
        <v>4208.8351532679217</v>
      </c>
      <c r="S35" s="9">
        <v>2952.9223233115208</v>
      </c>
      <c r="T35" s="9">
        <v>3774.7804848550973</v>
      </c>
      <c r="U35" s="9">
        <v>8134.5314361199062</v>
      </c>
      <c r="V35" s="9">
        <v>7185.0414440541754</v>
      </c>
      <c r="W35" s="9">
        <v>6167.4574880127429</v>
      </c>
      <c r="X35" s="9">
        <v>6933.1957907732449</v>
      </c>
      <c r="Y35" s="9">
        <v>6933.1957907732449</v>
      </c>
      <c r="Z35" s="9">
        <v>5915.6118347318106</v>
      </c>
      <c r="AA35" s="9">
        <v>5915.6118347318106</v>
      </c>
      <c r="AB35" s="9">
        <v>5582.3687497835799</v>
      </c>
      <c r="AC35" s="9">
        <v>5582.3687497835799</v>
      </c>
      <c r="AD35" s="9">
        <v>5273.9375225059857</v>
      </c>
      <c r="AE35" s="9">
        <v>4018.0246925495831</v>
      </c>
      <c r="AF35" s="9">
        <v>4181.9805165270127</v>
      </c>
      <c r="AG35" s="9">
        <v>7711.3901324812505</v>
      </c>
      <c r="AH35" s="9">
        <v>8728.9740885226838</v>
      </c>
      <c r="AI35" s="9">
        <v>8728.9740885226838</v>
      </c>
      <c r="AJ35" s="9">
        <v>8728.9740885226838</v>
      </c>
      <c r="AK35" s="9">
        <v>7711.3901324812505</v>
      </c>
      <c r="AL35" s="9">
        <v>6693.8061764398171</v>
      </c>
      <c r="AM35" s="9">
        <v>6693.8061764398171</v>
      </c>
      <c r="AN35" s="9">
        <v>5023.6513198256062</v>
      </c>
      <c r="AO35" s="9">
        <v>6244.7520670753274</v>
      </c>
      <c r="AP35" s="9">
        <v>6244.7520670753274</v>
      </c>
      <c r="AQ35" s="9">
        <v>5023.6513198256062</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row>
    <row r="36" spans="2:67">
      <c r="B36" t="s">
        <v>151</v>
      </c>
      <c r="D36" t="s">
        <v>6</v>
      </c>
      <c r="E36" s="9">
        <v>0</v>
      </c>
      <c r="F36" s="9">
        <v>0</v>
      </c>
      <c r="G36" s="9">
        <v>0</v>
      </c>
      <c r="H36" s="9">
        <v>0</v>
      </c>
      <c r="I36" s="9">
        <v>80.261431251402939</v>
      </c>
      <c r="J36" s="9">
        <v>94.483580473484935</v>
      </c>
      <c r="K36" s="9">
        <v>107.49298827511211</v>
      </c>
      <c r="L36" s="9">
        <v>0.8800000000000523</v>
      </c>
      <c r="M36" s="9">
        <v>68.738999999999976</v>
      </c>
      <c r="N36" s="11">
        <v>1.4309999999999832</v>
      </c>
      <c r="O36" s="9">
        <v>132.2957407903217</v>
      </c>
      <c r="P36" s="9">
        <v>161.89809069817267</v>
      </c>
      <c r="Q36" s="9">
        <v>322.08829242306228</v>
      </c>
      <c r="R36" s="9">
        <v>365.84420302702279</v>
      </c>
      <c r="S36" s="9">
        <v>341.87935358344839</v>
      </c>
      <c r="T36" s="9">
        <v>480.97390124909214</v>
      </c>
      <c r="U36" s="9">
        <v>702.17058399093207</v>
      </c>
      <c r="V36" s="9">
        <v>443.40072705019844</v>
      </c>
      <c r="W36" s="9">
        <v>437.76322658592187</v>
      </c>
      <c r="X36" s="9">
        <v>599.55988072441062</v>
      </c>
      <c r="Y36" s="9">
        <v>781.68378730759127</v>
      </c>
      <c r="Z36" s="9">
        <v>776.04628684331453</v>
      </c>
      <c r="AA36" s="9">
        <v>776.04628684331453</v>
      </c>
      <c r="AB36" s="9">
        <v>680.46509957032504</v>
      </c>
      <c r="AC36" s="9">
        <v>503.35731753286757</v>
      </c>
      <c r="AD36" s="9">
        <v>372.62334794238689</v>
      </c>
      <c r="AE36" s="9">
        <v>333.22426912735625</v>
      </c>
      <c r="AF36" s="9">
        <v>346.01793978815016</v>
      </c>
      <c r="AG36" s="9">
        <v>399.5851391395758</v>
      </c>
      <c r="AH36" s="9">
        <v>405.22263960385249</v>
      </c>
      <c r="AI36" s="9">
        <v>405.22263960385249</v>
      </c>
      <c r="AJ36" s="9">
        <v>405.22263960385249</v>
      </c>
      <c r="AK36" s="9">
        <v>399.5851391395758</v>
      </c>
      <c r="AL36" s="9">
        <v>393.94763867529929</v>
      </c>
      <c r="AM36" s="9">
        <v>393.94763867529929</v>
      </c>
      <c r="AN36" s="9">
        <v>95.85939777429796</v>
      </c>
      <c r="AO36" s="9">
        <v>102.57771130907801</v>
      </c>
      <c r="AP36" s="9">
        <v>102.57771130907801</v>
      </c>
      <c r="AQ36" s="9">
        <v>95.85939777429796</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row>
    <row r="37" spans="2:67">
      <c r="B37" t="s">
        <v>155</v>
      </c>
      <c r="C37" s="80">
        <v>-7482.1155959999978</v>
      </c>
      <c r="D37" t="s">
        <v>7</v>
      </c>
      <c r="E37" s="9">
        <v>0</v>
      </c>
      <c r="F37" s="9">
        <v>0</v>
      </c>
      <c r="G37" s="9">
        <v>0</v>
      </c>
      <c r="H37" s="9">
        <v>0</v>
      </c>
      <c r="I37" s="9">
        <v>106.72327500712782</v>
      </c>
      <c r="J37" s="9">
        <v>209.50480314905616</v>
      </c>
      <c r="K37" s="9">
        <v>274.69551784381611</v>
      </c>
      <c r="L37" s="9">
        <v>0</v>
      </c>
      <c r="M37" s="9">
        <v>173.42100000000005</v>
      </c>
      <c r="N37" s="11">
        <v>183.85899999999992</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row>
    <row r="38" spans="2:67">
      <c r="B38" t="s">
        <v>159</v>
      </c>
      <c r="D38" t="s">
        <v>5193</v>
      </c>
      <c r="E38" s="9">
        <v>0</v>
      </c>
      <c r="F38" s="9">
        <v>0</v>
      </c>
      <c r="G38" s="9">
        <v>0</v>
      </c>
      <c r="H38" s="9">
        <v>0</v>
      </c>
      <c r="I38" s="9">
        <v>5.538487500096811</v>
      </c>
      <c r="J38" s="9">
        <v>6.5198953128267361</v>
      </c>
      <c r="K38" s="9">
        <v>7.4176171870764511</v>
      </c>
      <c r="L38" s="9">
        <v>339.62300000000005</v>
      </c>
      <c r="M38" s="9">
        <v>4.4250000000000114</v>
      </c>
      <c r="N38" s="11">
        <v>214.88299999999998</v>
      </c>
      <c r="O38" s="9">
        <v>2876.5975654963891</v>
      </c>
      <c r="P38" s="9">
        <v>4711.8774957198075</v>
      </c>
      <c r="Q38" s="9">
        <v>8445.3032606813249</v>
      </c>
      <c r="R38" s="9">
        <v>8927.5832290181843</v>
      </c>
      <c r="S38" s="9">
        <v>7682.7189606565889</v>
      </c>
      <c r="T38" s="9">
        <v>10519.868363240503</v>
      </c>
      <c r="U38" s="9">
        <v>16712.988773638914</v>
      </c>
      <c r="V38" s="9">
        <v>11627.85961871719</v>
      </c>
      <c r="W38" s="9">
        <v>10009.836747384632</v>
      </c>
      <c r="X38" s="9">
        <v>14109.893768793472</v>
      </c>
      <c r="Y38" s="9">
        <v>19044.609607572773</v>
      </c>
      <c r="Z38" s="9">
        <v>17426.586736240206</v>
      </c>
      <c r="AA38" s="9">
        <v>17426.586736240206</v>
      </c>
      <c r="AB38" s="9">
        <v>15270.029527624811</v>
      </c>
      <c r="AC38" s="9">
        <v>11470.531941072628</v>
      </c>
      <c r="AD38" s="9">
        <v>8861.2975295674569</v>
      </c>
      <c r="AE38" s="9">
        <v>7799.1259651523687</v>
      </c>
      <c r="AF38" s="9">
        <v>8100.4635548971955</v>
      </c>
      <c r="AG38" s="9">
        <v>10153.000544011476</v>
      </c>
      <c r="AH38" s="9">
        <v>10743.416205873302</v>
      </c>
      <c r="AI38" s="9">
        <v>10743.416205873302</v>
      </c>
      <c r="AJ38" s="9">
        <v>10743.416205873302</v>
      </c>
      <c r="AK38" s="9">
        <v>10153.000544011476</v>
      </c>
      <c r="AL38" s="9">
        <v>9562.5848821496529</v>
      </c>
      <c r="AM38" s="9">
        <v>9562.5848821496529</v>
      </c>
      <c r="AN38" s="9">
        <v>2924.2426545049084</v>
      </c>
      <c r="AO38" s="9">
        <v>3693.5281569618032</v>
      </c>
      <c r="AP38" s="9">
        <v>3693.5281569618032</v>
      </c>
      <c r="AQ38" s="9">
        <v>2924.2426545049084</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row>
    <row r="39" spans="2:67">
      <c r="B39" t="s">
        <v>163</v>
      </c>
      <c r="C39" s="81">
        <v>-75.701357829351565</v>
      </c>
      <c r="D39" t="s">
        <v>8</v>
      </c>
      <c r="E39" s="9">
        <v>0</v>
      </c>
      <c r="F39" s="9">
        <v>0</v>
      </c>
      <c r="G39" s="9">
        <v>0</v>
      </c>
      <c r="H39" s="9">
        <v>0</v>
      </c>
      <c r="I39" s="9">
        <v>16.636921875353941</v>
      </c>
      <c r="J39" s="9">
        <v>27.446986329319561</v>
      </c>
      <c r="K39" s="9"/>
      <c r="L39" s="9">
        <v>5.0731448246780388</v>
      </c>
      <c r="M39" s="9"/>
      <c r="N39" s="11">
        <v>44.444345009204476</v>
      </c>
      <c r="O39" s="9">
        <v>502.31748197166542</v>
      </c>
      <c r="P39" s="9">
        <v>1059.3728535804569</v>
      </c>
      <c r="Q39" s="9">
        <v>2605.6185977665205</v>
      </c>
      <c r="R39" s="9">
        <v>2651.8192062719691</v>
      </c>
      <c r="S39" s="9">
        <v>2563.6203399854389</v>
      </c>
      <c r="T39" s="9">
        <v>3012.2733113971631</v>
      </c>
      <c r="U39" s="9">
        <v>3637.301242154957</v>
      </c>
      <c r="V39" s="9">
        <v>2757.3763016358348</v>
      </c>
      <c r="W39" s="9">
        <v>3237.5158994595172</v>
      </c>
      <c r="X39" s="9">
        <v>3718.6471144141738</v>
      </c>
      <c r="Y39" s="9">
        <v>4296.8609960613458</v>
      </c>
      <c r="Z39" s="9">
        <v>4253.1991630594939</v>
      </c>
      <c r="AA39" s="9">
        <v>3935.5321159862378</v>
      </c>
      <c r="AB39" s="9">
        <v>3039.1575435538862</v>
      </c>
      <c r="AC39" s="9">
        <v>2238.7282897201471</v>
      </c>
      <c r="AD39" s="9">
        <v>1685.6330769263643</v>
      </c>
      <c r="AE39" s="9">
        <v>1540.8709140497645</v>
      </c>
      <c r="AF39" s="9">
        <v>1915.3348551826768</v>
      </c>
      <c r="AG39" s="9">
        <v>2162.4405667937303</v>
      </c>
      <c r="AH39" s="9">
        <v>2577.8121987200252</v>
      </c>
      <c r="AI39" s="9">
        <v>3017.8291047717071</v>
      </c>
      <c r="AJ39" s="9">
        <v>3017.8291047717071</v>
      </c>
      <c r="AK39" s="9">
        <v>2947.1211257337127</v>
      </c>
      <c r="AL39" s="9">
        <v>2876.4131466957183</v>
      </c>
      <c r="AM39" s="9">
        <v>2436.3962406440373</v>
      </c>
      <c r="AN39" s="9">
        <v>1180.2498064861243</v>
      </c>
      <c r="AO39" s="9">
        <v>1272.6577830412871</v>
      </c>
      <c r="AP39" s="9">
        <v>1272.6577830412871</v>
      </c>
      <c r="AQ39" s="9">
        <v>1180.2498064861243</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row>
    <row r="40" spans="2:67">
      <c r="B40" t="s">
        <v>168</v>
      </c>
      <c r="D40" t="s">
        <v>2623</v>
      </c>
      <c r="E40" s="9">
        <v>0</v>
      </c>
      <c r="F40" s="9">
        <v>0</v>
      </c>
      <c r="G40" s="9">
        <v>0</v>
      </c>
      <c r="H40" s="9">
        <v>0</v>
      </c>
      <c r="I40" s="9">
        <v>0</v>
      </c>
      <c r="J40" s="9">
        <v>0</v>
      </c>
      <c r="K40" s="9">
        <v>0</v>
      </c>
      <c r="L40" s="9">
        <v>0</v>
      </c>
      <c r="M40" s="9">
        <v>0</v>
      </c>
      <c r="N40" s="11">
        <v>0</v>
      </c>
      <c r="O40" s="9">
        <v>0</v>
      </c>
      <c r="P40" s="9">
        <v>0</v>
      </c>
      <c r="Q40" s="9">
        <v>0</v>
      </c>
      <c r="R40" s="9">
        <v>0</v>
      </c>
      <c r="S40" s="9">
        <v>0</v>
      </c>
      <c r="T40" s="9">
        <v>0</v>
      </c>
      <c r="U40" s="9">
        <v>0</v>
      </c>
      <c r="V40" s="9">
        <v>1012.5</v>
      </c>
      <c r="W40" s="9">
        <v>1012.5</v>
      </c>
      <c r="X40" s="9">
        <v>1012.5</v>
      </c>
      <c r="Y40" s="9">
        <v>1012.5</v>
      </c>
      <c r="Z40" s="9">
        <v>1012.5</v>
      </c>
      <c r="AA40" s="9">
        <v>1012.5</v>
      </c>
      <c r="AB40" s="9">
        <v>1012.5</v>
      </c>
      <c r="AC40" s="9">
        <v>1012.5</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row>
    <row r="41" spans="2:67">
      <c r="B41" t="s">
        <v>172</v>
      </c>
      <c r="C41" s="82">
        <v>-136.22535277880732</v>
      </c>
      <c r="D41" t="s">
        <v>9</v>
      </c>
      <c r="E41" s="9">
        <v>0</v>
      </c>
      <c r="F41" s="9">
        <v>0</v>
      </c>
      <c r="G41" s="9">
        <v>0</v>
      </c>
      <c r="H41" s="9">
        <v>0</v>
      </c>
      <c r="I41" s="9">
        <v>0</v>
      </c>
      <c r="J41" s="9">
        <v>0</v>
      </c>
      <c r="K41" s="9">
        <v>0</v>
      </c>
      <c r="L41" s="9">
        <v>0</v>
      </c>
      <c r="M41" s="9">
        <v>0</v>
      </c>
      <c r="N41" s="11">
        <v>0</v>
      </c>
      <c r="O41" s="9">
        <v>0</v>
      </c>
      <c r="P41" s="9">
        <v>0</v>
      </c>
      <c r="Q41" s="9">
        <v>110.23163132687678</v>
      </c>
      <c r="R41" s="9">
        <v>102.7101307848183</v>
      </c>
      <c r="S41" s="9">
        <v>109.18594637601171</v>
      </c>
      <c r="T41" s="9">
        <v>105.212607491672</v>
      </c>
      <c r="U41" s="9">
        <v>202.87246565497281</v>
      </c>
      <c r="V41" s="9">
        <v>84.000765755589612</v>
      </c>
      <c r="W41" s="9">
        <v>88.920356616652427</v>
      </c>
      <c r="X41" s="9">
        <v>203.17969422778134</v>
      </c>
      <c r="Y41" s="9">
        <v>325.28004989368287</v>
      </c>
      <c r="Z41" s="9">
        <v>330.1996407547457</v>
      </c>
      <c r="AA41" s="9">
        <v>330.1996407547457</v>
      </c>
      <c r="AB41" s="9">
        <v>285.24703609172008</v>
      </c>
      <c r="AC41" s="9">
        <v>166.50961395051505</v>
      </c>
      <c r="AD41" s="9">
        <v>96.603083737136714</v>
      </c>
      <c r="AE41" s="9">
        <v>92.327406794730649</v>
      </c>
      <c r="AF41" s="9">
        <v>91.534749276430944</v>
      </c>
      <c r="AG41" s="9">
        <v>74.471536763586741</v>
      </c>
      <c r="AH41" s="9">
        <v>69.55194590252394</v>
      </c>
      <c r="AI41" s="9">
        <v>69.55194590252394</v>
      </c>
      <c r="AJ41" s="9">
        <v>69.55194590252394</v>
      </c>
      <c r="AK41" s="9">
        <v>74.471536763586741</v>
      </c>
      <c r="AL41" s="9">
        <v>79.39112762464957</v>
      </c>
      <c r="AM41" s="9">
        <v>77.09014165252286</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row>
    <row r="42" spans="2:67">
      <c r="B42" t="s">
        <v>177</v>
      </c>
      <c r="C42" s="82">
        <v>-383.19013510291938</v>
      </c>
      <c r="D42" t="s">
        <v>10</v>
      </c>
      <c r="E42" s="9">
        <v>0</v>
      </c>
      <c r="F42" s="9">
        <v>0</v>
      </c>
      <c r="G42" s="9">
        <v>0</v>
      </c>
      <c r="H42" s="9">
        <v>0</v>
      </c>
      <c r="I42" s="9">
        <v>0</v>
      </c>
      <c r="J42" s="9">
        <v>0</v>
      </c>
      <c r="K42" s="9">
        <v>0</v>
      </c>
      <c r="L42" s="9">
        <v>0</v>
      </c>
      <c r="M42" s="9">
        <v>0</v>
      </c>
      <c r="N42" s="11">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c r="BL42" s="9"/>
      <c r="BM42" s="9"/>
      <c r="BN42" s="9"/>
      <c r="BO42" s="9"/>
    </row>
    <row r="43" spans="2:67">
      <c r="B43" t="s">
        <v>183</v>
      </c>
      <c r="D43" t="s">
        <v>2624</v>
      </c>
      <c r="E43" s="9">
        <v>0</v>
      </c>
      <c r="F43" s="9">
        <v>0</v>
      </c>
      <c r="G43" s="9">
        <v>0</v>
      </c>
      <c r="H43" s="9">
        <v>0</v>
      </c>
      <c r="I43" s="9">
        <v>0</v>
      </c>
      <c r="J43" s="9">
        <v>0</v>
      </c>
      <c r="K43" s="9">
        <v>0</v>
      </c>
      <c r="L43" s="9">
        <v>0</v>
      </c>
      <c r="M43" s="9">
        <v>0</v>
      </c>
      <c r="N43" s="11">
        <v>0</v>
      </c>
      <c r="O43" s="9">
        <v>0</v>
      </c>
      <c r="P43" s="9">
        <v>0</v>
      </c>
      <c r="Q43" s="9">
        <v>0</v>
      </c>
      <c r="R43" s="9">
        <v>0</v>
      </c>
      <c r="S43" s="9">
        <v>0</v>
      </c>
      <c r="T43" s="9">
        <v>0</v>
      </c>
      <c r="U43" s="9">
        <v>0</v>
      </c>
      <c r="V43" s="9">
        <v>173.15375</v>
      </c>
      <c r="W43" s="9">
        <v>173.15375</v>
      </c>
      <c r="X43" s="9">
        <v>173.15375</v>
      </c>
      <c r="Y43" s="9">
        <v>173.15375</v>
      </c>
      <c r="Z43" s="9">
        <v>173.15375</v>
      </c>
      <c r="AA43" s="9">
        <v>173.15375</v>
      </c>
      <c r="AB43" s="9">
        <v>173.15375</v>
      </c>
      <c r="AC43" s="9">
        <v>173.15375</v>
      </c>
      <c r="AD43" s="9">
        <v>0</v>
      </c>
      <c r="AE43" s="9">
        <v>0</v>
      </c>
      <c r="AF43" s="9">
        <v>0</v>
      </c>
      <c r="AG43" s="9">
        <v>0</v>
      </c>
      <c r="AH43" s="9">
        <v>173.15375</v>
      </c>
      <c r="AI43" s="9">
        <v>173.15375</v>
      </c>
      <c r="AJ43" s="9">
        <v>173.15375</v>
      </c>
      <c r="AK43" s="9">
        <v>173.15375</v>
      </c>
      <c r="AL43" s="9">
        <v>173.15375</v>
      </c>
      <c r="AM43" s="9">
        <v>173.15375</v>
      </c>
      <c r="AN43" s="9">
        <v>173.15375</v>
      </c>
      <c r="AO43" s="9">
        <v>173.15375</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row>
    <row r="44" spans="2:67">
      <c r="B44" t="s">
        <v>188</v>
      </c>
      <c r="C44" s="82">
        <v>-362.10451395320052</v>
      </c>
      <c r="D44" t="s">
        <v>11</v>
      </c>
      <c r="E44" s="9">
        <v>0</v>
      </c>
      <c r="F44" s="9">
        <v>0</v>
      </c>
      <c r="G44" s="9">
        <v>0</v>
      </c>
      <c r="H44" s="9">
        <v>0</v>
      </c>
      <c r="I44" s="9">
        <v>0</v>
      </c>
      <c r="J44" s="9">
        <v>0</v>
      </c>
      <c r="K44" s="9">
        <v>0</v>
      </c>
      <c r="L44" s="9">
        <v>0</v>
      </c>
      <c r="M44" s="9">
        <v>0</v>
      </c>
      <c r="N44" s="11">
        <v>0</v>
      </c>
      <c r="O44" s="9">
        <v>0</v>
      </c>
      <c r="P44" s="9">
        <v>0</v>
      </c>
      <c r="Q44" s="9">
        <v>0</v>
      </c>
      <c r="R44" s="9">
        <v>0</v>
      </c>
      <c r="S44" s="9">
        <v>0</v>
      </c>
      <c r="T44" s="9">
        <v>0</v>
      </c>
      <c r="U44" s="9">
        <v>0</v>
      </c>
      <c r="V44" s="9">
        <v>5323.0518289442107</v>
      </c>
      <c r="W44" s="9">
        <v>5329.8770568417285</v>
      </c>
      <c r="X44" s="9">
        <v>5325.2454527999325</v>
      </c>
      <c r="Y44" s="9">
        <v>5325.2454527999325</v>
      </c>
      <c r="Z44" s="9">
        <v>5331.4003570886134</v>
      </c>
      <c r="AA44" s="9">
        <v>5331.4003570886134</v>
      </c>
      <c r="AB44" s="9">
        <v>5333.4159935189482</v>
      </c>
      <c r="AC44" s="9">
        <v>5333.4159935189482</v>
      </c>
      <c r="AD44" s="9">
        <v>0</v>
      </c>
      <c r="AE44" s="9">
        <v>0</v>
      </c>
      <c r="AF44" s="9">
        <v>0</v>
      </c>
      <c r="AG44" s="9">
        <v>0</v>
      </c>
      <c r="AH44" s="9">
        <v>5313.8655565724193</v>
      </c>
      <c r="AI44" s="9">
        <v>5314.3836035336226</v>
      </c>
      <c r="AJ44" s="9">
        <v>5314.3836035336226</v>
      </c>
      <c r="AK44" s="9">
        <v>5320.5385078223035</v>
      </c>
      <c r="AL44" s="9">
        <v>5326.6934121109844</v>
      </c>
      <c r="AM44" s="9">
        <v>5326.6934121109844</v>
      </c>
      <c r="AN44" s="9">
        <v>5336.7954221011232</v>
      </c>
      <c r="AO44" s="9">
        <v>5329.1339896140225</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row>
    <row r="45" spans="2:67">
      <c r="B45" t="s">
        <v>193</v>
      </c>
      <c r="D45" t="s">
        <v>2625</v>
      </c>
      <c r="E45" s="9">
        <v>0</v>
      </c>
      <c r="F45" s="9">
        <v>0</v>
      </c>
      <c r="G45" s="9">
        <v>0</v>
      </c>
      <c r="H45" s="9">
        <v>0</v>
      </c>
      <c r="I45" s="9">
        <v>0</v>
      </c>
      <c r="J45" s="9">
        <v>0</v>
      </c>
      <c r="K45" s="9">
        <v>0</v>
      </c>
      <c r="L45" s="9">
        <v>0</v>
      </c>
      <c r="M45" s="9">
        <v>0</v>
      </c>
      <c r="N45" s="11">
        <v>0</v>
      </c>
      <c r="O45" s="9">
        <v>0</v>
      </c>
      <c r="P45" s="9">
        <v>0</v>
      </c>
      <c r="Q45" s="9">
        <v>0</v>
      </c>
      <c r="R45" s="9">
        <v>0</v>
      </c>
      <c r="S45" s="9">
        <v>0</v>
      </c>
      <c r="T45" s="9">
        <v>0</v>
      </c>
      <c r="U45" s="9">
        <v>0</v>
      </c>
      <c r="V45" s="9">
        <v>164.0625</v>
      </c>
      <c r="W45" s="9">
        <v>164.0625</v>
      </c>
      <c r="X45" s="9">
        <v>164.0625</v>
      </c>
      <c r="Y45" s="9">
        <v>164.0625</v>
      </c>
      <c r="Z45" s="9">
        <v>164.0625</v>
      </c>
      <c r="AA45" s="9">
        <v>164.0625</v>
      </c>
      <c r="AB45" s="9">
        <v>164.0625</v>
      </c>
      <c r="AC45" s="9">
        <v>164.0625</v>
      </c>
      <c r="AD45" s="9">
        <v>0</v>
      </c>
      <c r="AE45" s="9">
        <v>0</v>
      </c>
      <c r="AF45" s="9">
        <v>0</v>
      </c>
      <c r="AG45" s="9">
        <v>0</v>
      </c>
      <c r="AH45" s="9">
        <v>164.0625</v>
      </c>
      <c r="AI45" s="9">
        <v>164.0625</v>
      </c>
      <c r="AJ45" s="9">
        <v>164.0625</v>
      </c>
      <c r="AK45" s="9">
        <v>164.0625</v>
      </c>
      <c r="AL45" s="9">
        <v>164.0625</v>
      </c>
      <c r="AM45" s="9">
        <v>164.0625</v>
      </c>
      <c r="AN45" s="9">
        <v>164.0625</v>
      </c>
      <c r="AO45" s="9">
        <v>164.0625</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row>
    <row r="46" spans="2:67">
      <c r="B46" t="s">
        <v>199</v>
      </c>
      <c r="C46" s="83">
        <v>-7856.1903475084582</v>
      </c>
      <c r="D46" t="s">
        <v>12</v>
      </c>
      <c r="E46" s="9">
        <v>0</v>
      </c>
      <c r="F46" s="9">
        <v>0</v>
      </c>
      <c r="G46" s="9">
        <v>1194.615999691267</v>
      </c>
      <c r="H46" s="9">
        <v>4977.2960003087319</v>
      </c>
      <c r="I46" s="9">
        <v>0</v>
      </c>
      <c r="J46" s="9">
        <v>0</v>
      </c>
      <c r="K46" s="9">
        <v>0</v>
      </c>
      <c r="L46" s="9">
        <v>0</v>
      </c>
      <c r="M46" s="9">
        <v>0</v>
      </c>
      <c r="N46" s="11">
        <v>1025.3477000000012</v>
      </c>
      <c r="O46" s="9">
        <v>4237.6053014440276</v>
      </c>
      <c r="P46" s="9">
        <v>4115.2703408729767</v>
      </c>
      <c r="Q46" s="9">
        <v>7119.2731399013774</v>
      </c>
      <c r="R46" s="9">
        <v>5158.9114193318983</v>
      </c>
      <c r="S46" s="9">
        <v>5100.9635291113045</v>
      </c>
      <c r="T46" s="9">
        <v>3155.0725349803006</v>
      </c>
      <c r="U46" s="9">
        <v>5058.7784301340489</v>
      </c>
      <c r="V46" s="9">
        <v>9770.4362246848923</v>
      </c>
      <c r="W46" s="9">
        <v>7770.5761249337584</v>
      </c>
      <c r="X46" s="9">
        <v>6618.3796604988102</v>
      </c>
      <c r="Y46" s="9">
        <v>6618.3796604988102</v>
      </c>
      <c r="Z46" s="9">
        <v>2012.5684698948517</v>
      </c>
      <c r="AA46" s="9">
        <v>2012.5684698948517</v>
      </c>
      <c r="AB46" s="9">
        <v>2030.5000015815453</v>
      </c>
      <c r="AC46" s="9">
        <v>2030.5000015815453</v>
      </c>
      <c r="AD46" s="9">
        <v>2047.0964279588648</v>
      </c>
      <c r="AE46" s="9">
        <v>2114.6760469315664</v>
      </c>
      <c r="AF46" s="9">
        <v>2105.853721171</v>
      </c>
      <c r="AG46" s="9">
        <v>1915.939141627247</v>
      </c>
      <c r="AH46" s="9">
        <v>1861.1838000288965</v>
      </c>
      <c r="AI46" s="9">
        <v>1861.1838000288965</v>
      </c>
      <c r="AJ46" s="9">
        <v>1861.1838000288965</v>
      </c>
      <c r="AK46" s="9">
        <v>1915.939141627247</v>
      </c>
      <c r="AL46" s="9">
        <v>1970.6944832255977</v>
      </c>
      <c r="AM46" s="9">
        <v>1970.6944832255977</v>
      </c>
      <c r="AN46" s="9">
        <v>1994.0814062625316</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row>
    <row r="47" spans="2:67">
      <c r="B47" t="s">
        <v>204</v>
      </c>
      <c r="D47" t="s">
        <v>2626</v>
      </c>
      <c r="E47" s="9">
        <v>0</v>
      </c>
      <c r="F47" s="9">
        <v>0</v>
      </c>
      <c r="G47" s="9">
        <v>0</v>
      </c>
      <c r="H47" s="9">
        <v>0</v>
      </c>
      <c r="I47" s="9">
        <v>0</v>
      </c>
      <c r="J47" s="9">
        <v>0</v>
      </c>
      <c r="K47" s="9">
        <v>0</v>
      </c>
      <c r="L47" s="9">
        <v>0</v>
      </c>
      <c r="M47" s="9">
        <v>0</v>
      </c>
      <c r="N47" s="11">
        <v>0</v>
      </c>
      <c r="O47" s="9">
        <v>0</v>
      </c>
      <c r="P47" s="9">
        <v>0</v>
      </c>
      <c r="Q47" s="9">
        <v>0</v>
      </c>
      <c r="R47" s="9">
        <v>0</v>
      </c>
      <c r="S47" s="9">
        <v>0</v>
      </c>
      <c r="T47" s="9">
        <v>0</v>
      </c>
      <c r="U47" s="9">
        <v>0</v>
      </c>
      <c r="V47" s="9">
        <v>1875</v>
      </c>
      <c r="W47" s="9">
        <v>1875</v>
      </c>
      <c r="X47" s="9">
        <v>1875</v>
      </c>
      <c r="Y47" s="9">
        <v>1875</v>
      </c>
      <c r="Z47" s="9">
        <v>1875</v>
      </c>
      <c r="AA47" s="9">
        <v>1875</v>
      </c>
      <c r="AB47" s="9">
        <v>1875</v>
      </c>
      <c r="AC47" s="9">
        <v>1875</v>
      </c>
      <c r="AD47" s="9">
        <v>0</v>
      </c>
      <c r="AE47" s="9">
        <v>0</v>
      </c>
      <c r="AF47" s="9">
        <v>0</v>
      </c>
      <c r="AG47" s="9">
        <v>0</v>
      </c>
      <c r="AH47" s="9">
        <v>1875</v>
      </c>
      <c r="AI47" s="9">
        <v>1875</v>
      </c>
      <c r="AJ47" s="9">
        <v>1875</v>
      </c>
      <c r="AK47" s="9">
        <v>1875</v>
      </c>
      <c r="AL47" s="9">
        <v>1875</v>
      </c>
      <c r="AM47" s="9">
        <v>1875</v>
      </c>
      <c r="AN47" s="9">
        <v>1875</v>
      </c>
      <c r="AO47" s="9">
        <v>1875</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row>
    <row r="48" spans="2:67">
      <c r="B48" t="s">
        <v>209</v>
      </c>
      <c r="D48" t="s">
        <v>2627</v>
      </c>
      <c r="E48" s="9">
        <v>0</v>
      </c>
      <c r="F48" s="9">
        <v>0</v>
      </c>
      <c r="G48" s="9">
        <v>0</v>
      </c>
      <c r="H48" s="9">
        <v>0</v>
      </c>
      <c r="I48" s="9">
        <v>0</v>
      </c>
      <c r="J48" s="9">
        <v>0</v>
      </c>
      <c r="K48" s="9">
        <v>0</v>
      </c>
      <c r="L48" s="9">
        <v>0</v>
      </c>
      <c r="M48" s="9">
        <v>0</v>
      </c>
      <c r="N48" s="11">
        <v>0</v>
      </c>
      <c r="O48" s="9">
        <v>0</v>
      </c>
      <c r="P48" s="9">
        <v>0</v>
      </c>
      <c r="Q48" s="9">
        <v>0</v>
      </c>
      <c r="R48" s="9">
        <v>0</v>
      </c>
      <c r="S48" s="9">
        <v>0</v>
      </c>
      <c r="T48" s="9">
        <v>0</v>
      </c>
      <c r="U48" s="9">
        <v>0</v>
      </c>
      <c r="V48" s="9">
        <v>70885</v>
      </c>
      <c r="W48" s="9">
        <v>70885</v>
      </c>
      <c r="X48" s="9">
        <v>70885</v>
      </c>
      <c r="Y48" s="9">
        <v>70885</v>
      </c>
      <c r="Z48" s="9">
        <v>70885</v>
      </c>
      <c r="AA48" s="9">
        <v>70885</v>
      </c>
      <c r="AB48" s="9">
        <v>70885</v>
      </c>
      <c r="AC48" s="9">
        <v>70885</v>
      </c>
      <c r="AD48" s="9">
        <v>0</v>
      </c>
      <c r="AE48" s="9">
        <v>0</v>
      </c>
      <c r="AF48" s="9">
        <v>0</v>
      </c>
      <c r="AG48" s="9">
        <v>0</v>
      </c>
      <c r="AH48" s="9">
        <v>70885</v>
      </c>
      <c r="AI48" s="9">
        <v>70885</v>
      </c>
      <c r="AJ48" s="9">
        <v>70885</v>
      </c>
      <c r="AK48" s="9">
        <v>70885</v>
      </c>
      <c r="AL48" s="9">
        <v>70885</v>
      </c>
      <c r="AM48" s="9">
        <v>70885</v>
      </c>
      <c r="AN48" s="9">
        <v>70885</v>
      </c>
      <c r="AO48" s="9">
        <v>70885</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row>
    <row r="49" spans="2:67">
      <c r="B49" t="s">
        <v>214</v>
      </c>
      <c r="C49" s="82">
        <v>-873.03776891066195</v>
      </c>
      <c r="D49" t="s">
        <v>13</v>
      </c>
      <c r="E49" s="9">
        <v>0</v>
      </c>
      <c r="F49" s="9">
        <v>0</v>
      </c>
      <c r="G49" s="9">
        <v>47.700122891409578</v>
      </c>
      <c r="H49" s="9">
        <v>213.31787710859044</v>
      </c>
      <c r="I49" s="9"/>
      <c r="J49" s="9"/>
      <c r="K49" s="9"/>
      <c r="L49" s="9">
        <v>37.243868606079843</v>
      </c>
      <c r="M49" s="9"/>
      <c r="N49" s="11">
        <v>44.84200000000024</v>
      </c>
      <c r="O49" s="9">
        <v>113.95223513925482</v>
      </c>
      <c r="P49" s="9">
        <v>80.12102021190455</v>
      </c>
      <c r="Q49" s="9">
        <v>214.2672350123315</v>
      </c>
      <c r="R49" s="9">
        <v>117.94118908042131</v>
      </c>
      <c r="S49" s="9">
        <v>131.69442444003016</v>
      </c>
      <c r="T49" s="9">
        <v>44.692851519787851</v>
      </c>
      <c r="U49" s="9">
        <v>63.892655480701123</v>
      </c>
      <c r="V49" s="9">
        <v>39.88015851542292</v>
      </c>
      <c r="W49" s="9">
        <v>195.62759559512833</v>
      </c>
      <c r="X49" s="9">
        <v>140.54970263431267</v>
      </c>
      <c r="Y49" s="9">
        <v>60.469427934725275</v>
      </c>
      <c r="Z49" s="9">
        <v>0</v>
      </c>
      <c r="AA49" s="9">
        <v>0</v>
      </c>
      <c r="AB49" s="9">
        <v>0</v>
      </c>
      <c r="AC49" s="9">
        <v>0</v>
      </c>
      <c r="AD49" s="9">
        <v>0</v>
      </c>
      <c r="AE49" s="9">
        <v>0.6804490310988367</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row>
    <row r="50" spans="2:67">
      <c r="B50" t="s">
        <v>219</v>
      </c>
      <c r="D50" t="s">
        <v>2628</v>
      </c>
      <c r="E50" s="9">
        <v>0</v>
      </c>
      <c r="F50" s="9">
        <v>0</v>
      </c>
      <c r="G50" s="9">
        <v>3004.1999715532347</v>
      </c>
      <c r="H50" s="9">
        <v>7373.8000284467644</v>
      </c>
      <c r="I50" s="9">
        <v>0</v>
      </c>
      <c r="J50" s="9">
        <v>0</v>
      </c>
      <c r="K50" s="9">
        <v>0</v>
      </c>
      <c r="L50" s="9">
        <v>0</v>
      </c>
      <c r="M50" s="9">
        <v>0</v>
      </c>
      <c r="N50" s="11">
        <v>0</v>
      </c>
      <c r="O50" s="9">
        <v>0</v>
      </c>
      <c r="P50" s="9">
        <v>60705.656934306571</v>
      </c>
      <c r="Q50" s="9">
        <v>60705.656934306571</v>
      </c>
      <c r="R50" s="9">
        <v>60705.656934306571</v>
      </c>
      <c r="S50" s="9">
        <v>80940.875912408752</v>
      </c>
      <c r="T50" s="9">
        <v>121411.31386861314</v>
      </c>
      <c r="U50" s="9">
        <v>161881.7518248175</v>
      </c>
      <c r="V50" s="9">
        <v>202352.18978102188</v>
      </c>
      <c r="W50" s="9">
        <v>202352.18978102188</v>
      </c>
      <c r="X50" s="9">
        <v>202352.18978102188</v>
      </c>
      <c r="Y50" s="9">
        <v>202352.18978102188</v>
      </c>
      <c r="Z50" s="9">
        <v>202352.18978102188</v>
      </c>
      <c r="AA50" s="9">
        <v>202352.18978102188</v>
      </c>
      <c r="AB50" s="9">
        <v>202352.18978102188</v>
      </c>
      <c r="AC50" s="9">
        <v>202352.18978102188</v>
      </c>
      <c r="AD50" s="9">
        <v>202352.18978102188</v>
      </c>
      <c r="AE50" s="9">
        <v>202352.18978102188</v>
      </c>
      <c r="AF50" s="9">
        <v>202352.18978102188</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row>
    <row r="51" spans="2:67">
      <c r="B51" t="s">
        <v>224</v>
      </c>
      <c r="D51" t="s">
        <v>2629</v>
      </c>
      <c r="E51" s="9">
        <v>0</v>
      </c>
      <c r="F51" s="9">
        <v>0</v>
      </c>
      <c r="G51" s="9">
        <v>0</v>
      </c>
      <c r="H51" s="9">
        <v>0</v>
      </c>
      <c r="I51" s="9">
        <v>363.64538438135639</v>
      </c>
      <c r="J51" s="9">
        <v>428.08254728707783</v>
      </c>
      <c r="K51" s="9">
        <v>487.02506833156565</v>
      </c>
      <c r="L51" s="9">
        <v>0</v>
      </c>
      <c r="M51" s="9">
        <v>1450.3410000000001</v>
      </c>
      <c r="N51" s="11">
        <v>0</v>
      </c>
      <c r="O51" s="9">
        <v>1936.9416956521741</v>
      </c>
      <c r="P51" s="9">
        <v>1936.9416956521741</v>
      </c>
      <c r="Q51" s="9">
        <v>1936.9416956521741</v>
      </c>
      <c r="R51" s="9">
        <v>1936.9416956521741</v>
      </c>
      <c r="S51" s="9">
        <v>1936.9416956521741</v>
      </c>
      <c r="T51" s="9">
        <v>1936.9416956521741</v>
      </c>
      <c r="U51" s="9">
        <v>1936.9416956521741</v>
      </c>
      <c r="V51" s="9">
        <v>1936.9416956521741</v>
      </c>
      <c r="W51" s="9">
        <v>1936.9416956521741</v>
      </c>
      <c r="X51" s="9">
        <v>1936.9416956521741</v>
      </c>
      <c r="Y51" s="9">
        <v>1936.9416956521741</v>
      </c>
      <c r="Z51" s="9">
        <v>1936.9416956521741</v>
      </c>
      <c r="AA51" s="9">
        <v>1936.9416956521741</v>
      </c>
      <c r="AB51" s="9">
        <v>1936.9416956521741</v>
      </c>
      <c r="AC51" s="9">
        <v>1936.9416956521741</v>
      </c>
      <c r="AD51" s="9">
        <v>0</v>
      </c>
      <c r="AE51" s="9">
        <v>0</v>
      </c>
      <c r="AF51" s="9">
        <v>0</v>
      </c>
      <c r="AG51" s="9">
        <v>0</v>
      </c>
      <c r="AH51" s="9">
        <v>1936.9416956521741</v>
      </c>
      <c r="AI51" s="9">
        <v>1936.9416956521741</v>
      </c>
      <c r="AJ51" s="9">
        <v>1936.9416956521741</v>
      </c>
      <c r="AK51" s="9">
        <v>1936.9416956521741</v>
      </c>
      <c r="AL51" s="9">
        <v>1936.9416956521741</v>
      </c>
      <c r="AM51" s="9">
        <v>1936.9416956521741</v>
      </c>
      <c r="AN51" s="9">
        <v>1936.9416956521741</v>
      </c>
      <c r="AO51" s="9">
        <v>1936.9416956521741</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row>
    <row r="52" spans="2:67">
      <c r="B52" t="s">
        <v>229</v>
      </c>
      <c r="D52" t="s">
        <v>2630</v>
      </c>
      <c r="E52" s="9">
        <v>0</v>
      </c>
      <c r="F52" s="9">
        <v>0</v>
      </c>
      <c r="G52" s="9">
        <v>0</v>
      </c>
      <c r="H52" s="9">
        <v>0</v>
      </c>
      <c r="I52" s="9">
        <v>0</v>
      </c>
      <c r="J52" s="9">
        <v>0</v>
      </c>
      <c r="K52" s="9">
        <v>0</v>
      </c>
      <c r="L52" s="9">
        <v>0</v>
      </c>
      <c r="M52" s="9">
        <v>0</v>
      </c>
      <c r="N52" s="11">
        <v>46.28</v>
      </c>
      <c r="O52" s="9">
        <v>171.21174767291706</v>
      </c>
      <c r="P52" s="9">
        <v>379.1811021992595</v>
      </c>
      <c r="Q52" s="9">
        <v>587.96398439188363</v>
      </c>
      <c r="R52" s="9">
        <v>723.73894662649002</v>
      </c>
      <c r="S52" s="9">
        <v>587.96398439188363</v>
      </c>
      <c r="T52" s="9">
        <v>703.11832431871073</v>
      </c>
      <c r="U52" s="9">
        <v>1490.7990148370636</v>
      </c>
      <c r="V52" s="9">
        <v>998.24027183318628</v>
      </c>
      <c r="W52" s="9">
        <v>926.0458795414504</v>
      </c>
      <c r="X52" s="9">
        <v>1327.4467006835025</v>
      </c>
      <c r="Y52" s="9">
        <v>1668.2042323004962</v>
      </c>
      <c r="Z52" s="9">
        <v>1596.0098400087602</v>
      </c>
      <c r="AA52" s="9">
        <v>1596.0098400087602</v>
      </c>
      <c r="AB52" s="9">
        <v>1443.60198973196</v>
      </c>
      <c r="AC52" s="9">
        <v>1112.2297291128921</v>
      </c>
      <c r="AD52" s="9">
        <v>912.97320638770077</v>
      </c>
      <c r="AE52" s="9">
        <v>748.32048723640003</v>
      </c>
      <c r="AF52" s="9">
        <v>766.83255474357463</v>
      </c>
      <c r="AG52" s="9">
        <v>1110.5768715045235</v>
      </c>
      <c r="AH52" s="9">
        <v>1182.7712637962595</v>
      </c>
      <c r="AI52" s="9">
        <v>1182.7712637962595</v>
      </c>
      <c r="AJ52" s="9">
        <v>1182.7712637962595</v>
      </c>
      <c r="AK52" s="9">
        <v>1110.5768715045235</v>
      </c>
      <c r="AL52" s="9">
        <v>1038.3824792127878</v>
      </c>
      <c r="AM52" s="9">
        <v>1038.3824792127878</v>
      </c>
      <c r="AN52" s="9">
        <v>543.09984893842602</v>
      </c>
      <c r="AO52" s="9">
        <v>625.1951864587428</v>
      </c>
      <c r="AP52" s="9">
        <v>625.1951864587428</v>
      </c>
      <c r="AQ52" s="9">
        <v>543.09984893842602</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row>
    <row r="53" spans="2:67">
      <c r="B53" t="s">
        <v>234</v>
      </c>
      <c r="C53" s="79">
        <v>-39736.871862410539</v>
      </c>
      <c r="D53" t="s">
        <v>14</v>
      </c>
      <c r="E53" s="9">
        <v>0</v>
      </c>
      <c r="F53" s="9">
        <v>0</v>
      </c>
      <c r="G53" s="9">
        <v>0</v>
      </c>
      <c r="H53" s="9">
        <v>0</v>
      </c>
      <c r="I53" s="9">
        <v>0</v>
      </c>
      <c r="J53" s="9">
        <v>0</v>
      </c>
      <c r="K53" s="9">
        <v>0</v>
      </c>
      <c r="L53" s="9">
        <v>1179</v>
      </c>
      <c r="M53" s="9">
        <v>2327</v>
      </c>
      <c r="N53" s="11">
        <v>2120</v>
      </c>
      <c r="O53" s="9">
        <v>10841.693271551791</v>
      </c>
      <c r="P53" s="9">
        <v>10181.722749963636</v>
      </c>
      <c r="Q53" s="9">
        <v>23904.628823050847</v>
      </c>
      <c r="R53" s="9">
        <v>14917.978601082443</v>
      </c>
      <c r="S53" s="9">
        <v>14711.508246907901</v>
      </c>
      <c r="T53" s="9">
        <v>6944.0280466078175</v>
      </c>
      <c r="U53" s="9">
        <v>15405.963152229666</v>
      </c>
      <c r="V53" s="9">
        <v>36883.363106544726</v>
      </c>
      <c r="W53" s="9">
        <v>27831.93302181859</v>
      </c>
      <c r="X53" s="9">
        <v>22555.53771484505</v>
      </c>
      <c r="Y53" s="9">
        <v>22555.53771484505</v>
      </c>
      <c r="Z53" s="9">
        <v>1649.1571820353406</v>
      </c>
      <c r="AA53" s="9">
        <v>1649.1571820353406</v>
      </c>
      <c r="AB53" s="9">
        <v>1745.8938978923629</v>
      </c>
      <c r="AC53" s="9">
        <v>1745.8938978923629</v>
      </c>
      <c r="AD53" s="9">
        <v>1835.4280108034259</v>
      </c>
      <c r="AE53" s="9">
        <v>2200.0053660741523</v>
      </c>
      <c r="AF53" s="9">
        <v>2152.4108362141455</v>
      </c>
      <c r="AG53" s="9">
        <v>1127.862959355265</v>
      </c>
      <c r="AH53" s="9">
        <v>832.46979303783394</v>
      </c>
      <c r="AI53" s="9">
        <v>832.46979303783394</v>
      </c>
      <c r="AJ53" s="9">
        <v>832.46979303783394</v>
      </c>
      <c r="AK53" s="9">
        <v>1127.862959355265</v>
      </c>
      <c r="AL53" s="9">
        <v>1423.2561256726963</v>
      </c>
      <c r="AM53" s="9">
        <v>1423.2561256726963</v>
      </c>
      <c r="AN53" s="9">
        <v>1271.3529306338323</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row>
    <row r="54" spans="2:67">
      <c r="B54" t="s">
        <v>239</v>
      </c>
      <c r="C54" s="83">
        <v>-5590.1818126162516</v>
      </c>
      <c r="D54" t="s">
        <v>15</v>
      </c>
      <c r="E54" s="9">
        <v>0</v>
      </c>
      <c r="F54" s="9">
        <v>0</v>
      </c>
      <c r="G54" s="9">
        <v>691.14076630002137</v>
      </c>
      <c r="H54" s="9">
        <v>5641.0022336999782</v>
      </c>
      <c r="I54" s="9">
        <v>0</v>
      </c>
      <c r="J54" s="9">
        <v>0</v>
      </c>
      <c r="K54" s="9">
        <v>0</v>
      </c>
      <c r="L54" s="9">
        <v>2</v>
      </c>
      <c r="M54" s="9">
        <v>0</v>
      </c>
      <c r="N54" s="11">
        <v>0</v>
      </c>
      <c r="O54" s="9">
        <v>4970.0184703015339</v>
      </c>
      <c r="P54" s="9">
        <v>4767.0916570123609</v>
      </c>
      <c r="Q54" s="9">
        <v>8670.5344171278484</v>
      </c>
      <c r="R54" s="9">
        <v>6109.5997405730941</v>
      </c>
      <c r="S54" s="9">
        <v>6059.6254774632862</v>
      </c>
      <c r="T54" s="9">
        <v>4801.6779914984936</v>
      </c>
      <c r="U54" s="9">
        <v>7173.3894178774372</v>
      </c>
      <c r="V54" s="9">
        <v>13275.597702460731</v>
      </c>
      <c r="W54" s="9">
        <v>10713.621882245014</v>
      </c>
      <c r="X54" s="9">
        <v>9210.8231557029649</v>
      </c>
      <c r="Y54" s="9">
        <v>9210.8231557029649</v>
      </c>
      <c r="Z54" s="9">
        <v>3284.1911245157553</v>
      </c>
      <c r="AA54" s="9">
        <v>3284.1911245157553</v>
      </c>
      <c r="AB54" s="9">
        <v>3313.93559466222</v>
      </c>
      <c r="AC54" s="9">
        <v>3313.93559466222</v>
      </c>
      <c r="AD54" s="9">
        <v>3341.4654185246454</v>
      </c>
      <c r="AE54" s="9">
        <v>3453.5651540165454</v>
      </c>
      <c r="AF54" s="9">
        <v>3438.9308545159465</v>
      </c>
      <c r="AG54" s="9">
        <v>3123.9043057348736</v>
      </c>
      <c r="AH54" s="9">
        <v>3033.0772279375988</v>
      </c>
      <c r="AI54" s="9">
        <v>3033.0772279375988</v>
      </c>
      <c r="AJ54" s="9">
        <v>3033.0772279375988</v>
      </c>
      <c r="AK54" s="9">
        <v>3123.9043057348736</v>
      </c>
      <c r="AL54" s="9">
        <v>3214.7313835321479</v>
      </c>
      <c r="AM54" s="9">
        <v>3214.7313835321479</v>
      </c>
      <c r="AN54" s="9">
        <v>3307.1057860542496</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0</v>
      </c>
      <c r="BL54" s="9">
        <v>0</v>
      </c>
      <c r="BM54" s="9">
        <v>0</v>
      </c>
      <c r="BN54" s="9">
        <v>0</v>
      </c>
      <c r="BO54" s="9">
        <v>0</v>
      </c>
    </row>
    <row r="55" spans="2:67">
      <c r="B55" t="s">
        <v>247</v>
      </c>
      <c r="D55" t="s">
        <v>2639</v>
      </c>
      <c r="E55" s="9">
        <v>0</v>
      </c>
      <c r="F55" s="9">
        <v>0</v>
      </c>
      <c r="G55" s="9">
        <v>0</v>
      </c>
      <c r="H55" s="9">
        <v>0</v>
      </c>
      <c r="I55" s="9">
        <v>0</v>
      </c>
      <c r="J55" s="9">
        <v>0</v>
      </c>
      <c r="K55" s="9">
        <v>0</v>
      </c>
      <c r="L55" s="9">
        <v>0</v>
      </c>
      <c r="M55" s="9">
        <v>0</v>
      </c>
      <c r="N55" s="11">
        <v>0</v>
      </c>
      <c r="O55" s="9">
        <v>1287.3420000000001</v>
      </c>
      <c r="P55" s="9">
        <v>3557.1292105263155</v>
      </c>
      <c r="Q55" s="9">
        <v>10015.790796052632</v>
      </c>
      <c r="R55" s="9">
        <v>9592.3230328947375</v>
      </c>
      <c r="S55" s="9">
        <v>9592.3230328947375</v>
      </c>
      <c r="T55" s="9">
        <v>8304.9810328947369</v>
      </c>
      <c r="U55" s="9">
        <v>6458.6615855263153</v>
      </c>
      <c r="V55" s="9">
        <v>6106.0665427631584</v>
      </c>
      <c r="W55" s="9">
        <v>9711.367736184211</v>
      </c>
      <c r="X55" s="9">
        <v>8938.5390684210524</v>
      </c>
      <c r="Y55" s="9">
        <v>9362.0068315789485</v>
      </c>
      <c r="Z55" s="9">
        <v>9898.3993315789467</v>
      </c>
      <c r="AA55" s="9">
        <v>7750.057884210526</v>
      </c>
      <c r="AB55" s="9">
        <v>4456.6596052631585</v>
      </c>
      <c r="AC55" s="9">
        <v>3296.4096052631585</v>
      </c>
      <c r="AD55" s="9">
        <v>2136.159605263158</v>
      </c>
      <c r="AE55" s="9">
        <v>2136.159605263158</v>
      </c>
      <c r="AF55" s="9">
        <v>3674.7591447368418</v>
      </c>
      <c r="AG55" s="9">
        <v>3674.7591447368418</v>
      </c>
      <c r="AH55" s="9">
        <v>6444.7879078947371</v>
      </c>
      <c r="AI55" s="9">
        <v>9638.2844342105273</v>
      </c>
      <c r="AJ55" s="9">
        <v>9638.2844342105273</v>
      </c>
      <c r="AK55" s="9">
        <v>9638.2844342105273</v>
      </c>
      <c r="AL55" s="9">
        <v>9638.2844342105273</v>
      </c>
      <c r="AM55" s="9">
        <v>6444.7879078947371</v>
      </c>
      <c r="AN55" s="9">
        <v>3674.7591447368418</v>
      </c>
      <c r="AO55" s="9">
        <v>3674.7591447368418</v>
      </c>
      <c r="AP55" s="9">
        <v>3674.7591447368418</v>
      </c>
      <c r="AQ55" s="9">
        <v>3674.7591447368418</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v>0</v>
      </c>
      <c r="BN55" s="9">
        <v>0</v>
      </c>
      <c r="BO55" s="9">
        <v>0</v>
      </c>
    </row>
    <row r="56" spans="2:67">
      <c r="B56" t="s">
        <v>251</v>
      </c>
      <c r="D56" t="s">
        <v>2640</v>
      </c>
      <c r="E56" s="9">
        <v>0</v>
      </c>
      <c r="F56" s="9">
        <v>0</v>
      </c>
      <c r="G56" s="9">
        <v>0</v>
      </c>
      <c r="H56" s="9">
        <v>0</v>
      </c>
      <c r="I56" s="9">
        <v>0</v>
      </c>
      <c r="J56" s="9">
        <v>0</v>
      </c>
      <c r="K56" s="9">
        <v>0</v>
      </c>
      <c r="L56" s="9">
        <v>0</v>
      </c>
      <c r="M56" s="9">
        <v>0</v>
      </c>
      <c r="N56" s="11">
        <v>0</v>
      </c>
      <c r="O56" s="9">
        <v>118.4</v>
      </c>
      <c r="P56" s="9">
        <v>327.15789473684208</v>
      </c>
      <c r="Q56" s="9">
        <v>704.47134502923973</v>
      </c>
      <c r="R56" s="9">
        <v>665.52397660818713</v>
      </c>
      <c r="S56" s="9">
        <v>665.52397660818713</v>
      </c>
      <c r="T56" s="9">
        <v>547.12397660818715</v>
      </c>
      <c r="U56" s="9">
        <v>377.31345029239765</v>
      </c>
      <c r="V56" s="9">
        <v>348.16783625730994</v>
      </c>
      <c r="W56" s="9">
        <v>466.33415204678363</v>
      </c>
      <c r="X56" s="9">
        <v>395.25520467836259</v>
      </c>
      <c r="Y56" s="9">
        <v>434.20257309941519</v>
      </c>
      <c r="Z56" s="9">
        <v>483.53590643274856</v>
      </c>
      <c r="AA56" s="9">
        <v>392.65871345029245</v>
      </c>
      <c r="AB56" s="9">
        <v>196.46783625730995</v>
      </c>
      <c r="AC56" s="9">
        <v>196.46783625730995</v>
      </c>
      <c r="AD56" s="9">
        <v>196.46783625730995</v>
      </c>
      <c r="AE56" s="9">
        <v>196.46783625730995</v>
      </c>
      <c r="AF56" s="9">
        <v>337.9766081871345</v>
      </c>
      <c r="AG56" s="9">
        <v>337.9766081871345</v>
      </c>
      <c r="AH56" s="9">
        <v>376.9239766081871</v>
      </c>
      <c r="AI56" s="9">
        <v>454.81871345029236</v>
      </c>
      <c r="AJ56" s="9">
        <v>454.81871345029242</v>
      </c>
      <c r="AK56" s="9">
        <v>454.81871345029236</v>
      </c>
      <c r="AL56" s="9">
        <v>454.81871345029242</v>
      </c>
      <c r="AM56" s="9">
        <v>376.9239766081871</v>
      </c>
      <c r="AN56" s="9">
        <v>337.9766081871345</v>
      </c>
      <c r="AO56" s="9">
        <v>337.9766081871345</v>
      </c>
      <c r="AP56" s="9">
        <v>337.9766081871345</v>
      </c>
      <c r="AQ56" s="9">
        <v>337.9766081871345</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row>
    <row r="57" spans="2:67">
      <c r="B57" t="s">
        <v>255</v>
      </c>
      <c r="D57" t="s">
        <v>2641</v>
      </c>
      <c r="E57" s="9">
        <v>0</v>
      </c>
      <c r="F57" s="9">
        <v>0</v>
      </c>
      <c r="G57" s="9">
        <v>0</v>
      </c>
      <c r="H57" s="9">
        <v>0</v>
      </c>
      <c r="I57" s="9">
        <v>0</v>
      </c>
      <c r="J57" s="9">
        <v>0</v>
      </c>
      <c r="K57" s="9">
        <v>0</v>
      </c>
      <c r="L57" s="9">
        <v>0</v>
      </c>
      <c r="M57" s="9">
        <v>0</v>
      </c>
      <c r="N57" s="11">
        <v>0</v>
      </c>
      <c r="O57" s="9">
        <v>58.399442631532267</v>
      </c>
      <c r="P57" s="9">
        <v>161.3668809555497</v>
      </c>
      <c r="Q57" s="9">
        <v>510.46078969251244</v>
      </c>
      <c r="R57" s="9">
        <v>491.25044672161363</v>
      </c>
      <c r="S57" s="9">
        <v>491.25044672161363</v>
      </c>
      <c r="T57" s="9">
        <v>432.85100409008135</v>
      </c>
      <c r="U57" s="9">
        <v>349.0939087369627</v>
      </c>
      <c r="V57" s="9">
        <v>332.24864791374017</v>
      </c>
      <c r="W57" s="9">
        <v>551.05168265411362</v>
      </c>
      <c r="X57" s="9">
        <v>515.99280673222336</v>
      </c>
      <c r="Y57" s="9">
        <v>535.20314970312211</v>
      </c>
      <c r="Z57" s="9">
        <v>559.53625079959386</v>
      </c>
      <c r="AA57" s="9">
        <v>434.45269011749679</v>
      </c>
      <c r="AB57" s="9">
        <v>257.42436204208934</v>
      </c>
      <c r="AC57" s="9">
        <v>177.16493495875602</v>
      </c>
      <c r="AD57" s="9">
        <v>96.905507875422714</v>
      </c>
      <c r="AE57" s="9">
        <v>96.905507875422714</v>
      </c>
      <c r="AF57" s="9">
        <v>166.70308733635491</v>
      </c>
      <c r="AG57" s="9">
        <v>166.70308733635491</v>
      </c>
      <c r="AH57" s="9">
        <v>348.23503468225368</v>
      </c>
      <c r="AI57" s="9">
        <v>548.97732499905123</v>
      </c>
      <c r="AJ57" s="9">
        <v>548.97732499905123</v>
      </c>
      <c r="AK57" s="9">
        <v>548.97732499905123</v>
      </c>
      <c r="AL57" s="9">
        <v>548.97732499905123</v>
      </c>
      <c r="AM57" s="9">
        <v>348.23503468225368</v>
      </c>
      <c r="AN57" s="9">
        <v>166.70308733635491</v>
      </c>
      <c r="AO57" s="9">
        <v>166.70308733635491</v>
      </c>
      <c r="AP57" s="9">
        <v>166.70308733635491</v>
      </c>
      <c r="AQ57" s="9">
        <v>166.70308733635491</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row>
    <row r="58" spans="2:67">
      <c r="B58" t="s">
        <v>260</v>
      </c>
      <c r="D58" t="s">
        <v>2642</v>
      </c>
      <c r="E58" s="9">
        <v>0</v>
      </c>
      <c r="F58" s="9">
        <v>0</v>
      </c>
      <c r="G58" s="9">
        <v>0</v>
      </c>
      <c r="H58" s="9">
        <v>0</v>
      </c>
      <c r="I58" s="9">
        <v>0</v>
      </c>
      <c r="J58" s="9">
        <v>0</v>
      </c>
      <c r="K58" s="9">
        <v>0</v>
      </c>
      <c r="L58" s="9">
        <v>0</v>
      </c>
      <c r="M58" s="9">
        <v>0</v>
      </c>
      <c r="N58" s="11">
        <v>0</v>
      </c>
      <c r="O58" s="9">
        <v>1243.6286795000001</v>
      </c>
      <c r="P58" s="9">
        <v>3436.3424038815788</v>
      </c>
      <c r="Q58" s="9">
        <v>9694.8620344957981</v>
      </c>
      <c r="R58" s="9">
        <v>9285.7736530813236</v>
      </c>
      <c r="S58" s="9">
        <v>9285.7736530813236</v>
      </c>
      <c r="T58" s="9">
        <v>8042.1449735813239</v>
      </c>
      <c r="U58" s="9">
        <v>6258.5196306142188</v>
      </c>
      <c r="V58" s="9">
        <v>5917.6069418557199</v>
      </c>
      <c r="W58" s="9">
        <v>9419.3651744005674</v>
      </c>
      <c r="X58" s="9">
        <v>8672.7788783191518</v>
      </c>
      <c r="Y58" s="9">
        <v>9081.8672597336263</v>
      </c>
      <c r="Z58" s="9">
        <v>9600.0458761919599</v>
      </c>
      <c r="AA58" s="9">
        <v>7515.2142778915186</v>
      </c>
      <c r="AB58" s="9">
        <v>4324.2076962463452</v>
      </c>
      <c r="AC58" s="9">
        <v>3193.9156545796786</v>
      </c>
      <c r="AD58" s="9">
        <v>2063.6236129130116</v>
      </c>
      <c r="AE58" s="9">
        <v>2063.6236129130116</v>
      </c>
      <c r="AF58" s="9">
        <v>3549.9780653855996</v>
      </c>
      <c r="AG58" s="9">
        <v>3549.9780653855996</v>
      </c>
      <c r="AH58" s="9">
        <v>6245.0386283000735</v>
      </c>
      <c r="AI58" s="9">
        <v>9349.18757262902</v>
      </c>
      <c r="AJ58" s="9">
        <v>9349.18757262902</v>
      </c>
      <c r="AK58" s="9">
        <v>9349.18757262902</v>
      </c>
      <c r="AL58" s="9">
        <v>9349.18757262902</v>
      </c>
      <c r="AM58" s="9">
        <v>6245.0386283000735</v>
      </c>
      <c r="AN58" s="9">
        <v>3549.9780653855996</v>
      </c>
      <c r="AO58" s="9">
        <v>3549.9780653855996</v>
      </c>
      <c r="AP58" s="9">
        <v>3549.9780653855996</v>
      </c>
      <c r="AQ58" s="9">
        <v>3549.9780653855996</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s="9">
        <v>0</v>
      </c>
      <c r="BI58" s="9">
        <v>0</v>
      </c>
      <c r="BJ58" s="9">
        <v>0</v>
      </c>
      <c r="BK58" s="9">
        <v>0</v>
      </c>
      <c r="BL58" s="9">
        <v>0</v>
      </c>
      <c r="BM58" s="9">
        <v>0</v>
      </c>
      <c r="BN58" s="9">
        <v>0</v>
      </c>
      <c r="BO58" s="9">
        <v>0</v>
      </c>
    </row>
    <row r="59" spans="2:67">
      <c r="B59" t="s">
        <v>264</v>
      </c>
      <c r="D59" t="s">
        <v>2643</v>
      </c>
      <c r="E59" s="9">
        <v>0</v>
      </c>
      <c r="F59" s="9">
        <v>0</v>
      </c>
      <c r="G59" s="9">
        <v>0</v>
      </c>
      <c r="H59" s="9">
        <v>0</v>
      </c>
      <c r="I59" s="9">
        <v>0</v>
      </c>
      <c r="J59" s="9">
        <v>0</v>
      </c>
      <c r="K59" s="9">
        <v>0</v>
      </c>
      <c r="L59" s="9">
        <v>0</v>
      </c>
      <c r="M59" s="9">
        <v>0</v>
      </c>
      <c r="N59" s="11">
        <v>0</v>
      </c>
      <c r="O59" s="9">
        <v>0</v>
      </c>
      <c r="P59" s="9">
        <v>0</v>
      </c>
      <c r="Q59" s="9">
        <v>0</v>
      </c>
      <c r="R59" s="9">
        <v>0</v>
      </c>
      <c r="S59" s="9">
        <v>0</v>
      </c>
      <c r="T59" s="9">
        <v>2365.9870730537277</v>
      </c>
      <c r="U59" s="9">
        <v>2365.9870730537277</v>
      </c>
      <c r="V59" s="9">
        <v>2768.278710594846</v>
      </c>
      <c r="W59" s="9">
        <v>3344.2393153097587</v>
      </c>
      <c r="X59" s="9">
        <v>2999.2920445449558</v>
      </c>
      <c r="Y59" s="9">
        <v>2036.5152764528509</v>
      </c>
      <c r="Z59" s="9">
        <v>1689.0802593201752</v>
      </c>
      <c r="AA59" s="9">
        <v>1496.5808760964908</v>
      </c>
      <c r="AB59" s="9">
        <v>863.13148300438593</v>
      </c>
      <c r="AC59" s="9">
        <v>634.22605537280697</v>
      </c>
      <c r="AD59" s="9">
        <v>550.94480537280697</v>
      </c>
      <c r="AE59" s="9">
        <v>550.94480537280697</v>
      </c>
      <c r="AF59" s="9">
        <v>947.77068941885955</v>
      </c>
      <c r="AG59" s="9">
        <v>947.77068941885955</v>
      </c>
      <c r="AH59" s="9">
        <v>1225.4219476425437</v>
      </c>
      <c r="AI59" s="9">
        <v>1612.2913390899121</v>
      </c>
      <c r="AJ59" s="9">
        <v>1612.2913390899121</v>
      </c>
      <c r="AK59" s="9">
        <v>1612.2913390899121</v>
      </c>
      <c r="AL59" s="9">
        <v>1612.2913390899121</v>
      </c>
      <c r="AM59" s="9">
        <v>1225.4219476425437</v>
      </c>
      <c r="AN59" s="9">
        <v>947.77068941885955</v>
      </c>
      <c r="AO59" s="9">
        <v>947.77068941885955</v>
      </c>
      <c r="AP59" s="9">
        <v>947.77068941885955</v>
      </c>
      <c r="AQ59" s="9">
        <v>947.77068941885955</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row>
    <row r="60" spans="2:67">
      <c r="B60" t="s">
        <v>269</v>
      </c>
      <c r="D60" t="s">
        <v>2644</v>
      </c>
      <c r="E60" s="9">
        <v>0</v>
      </c>
      <c r="F60" s="9">
        <v>0</v>
      </c>
      <c r="G60" s="9">
        <v>0</v>
      </c>
      <c r="H60" s="9">
        <v>0</v>
      </c>
      <c r="I60" s="9">
        <v>0</v>
      </c>
      <c r="J60" s="9">
        <v>0</v>
      </c>
      <c r="K60" s="9">
        <v>0</v>
      </c>
      <c r="L60" s="9">
        <v>0</v>
      </c>
      <c r="M60" s="9">
        <v>0</v>
      </c>
      <c r="N60" s="11">
        <v>0</v>
      </c>
      <c r="O60" s="9">
        <v>0</v>
      </c>
      <c r="P60" s="9">
        <v>0</v>
      </c>
      <c r="Q60" s="9">
        <v>0</v>
      </c>
      <c r="R60" s="9">
        <v>0</v>
      </c>
      <c r="S60" s="9">
        <v>0</v>
      </c>
      <c r="T60" s="9">
        <v>124.50934303096631</v>
      </c>
      <c r="U60" s="9">
        <v>124.50934303096631</v>
      </c>
      <c r="V60" s="9">
        <v>145.68216833292803</v>
      </c>
      <c r="W60" s="9">
        <v>175.99405786405646</v>
      </c>
      <c r="X60" s="9">
        <v>157.84173442655646</v>
      </c>
      <c r="Y60" s="9">
        <v>107.17419118725682</v>
      </c>
      <c r="Z60" s="9">
        <v>88.890953895590158</v>
      </c>
      <c r="AA60" s="9">
        <v>78.759546713359285</v>
      </c>
      <c r="AB60" s="9">
        <v>45.423818531128418</v>
      </c>
      <c r="AC60" s="9">
        <v>33.376598848897544</v>
      </c>
      <c r="AD60" s="9">
        <v>28.992629166666674</v>
      </c>
      <c r="AE60" s="9">
        <v>28.992629166666674</v>
      </c>
      <c r="AF60" s="9">
        <v>49.874985416666675</v>
      </c>
      <c r="AG60" s="9">
        <v>49.874985416666675</v>
      </c>
      <c r="AH60" s="9">
        <v>64.488832984760066</v>
      </c>
      <c r="AI60" s="9">
        <v>84.85011805285346</v>
      </c>
      <c r="AJ60" s="9">
        <v>84.850118052853446</v>
      </c>
      <c r="AK60" s="9">
        <v>84.85011805285346</v>
      </c>
      <c r="AL60" s="9">
        <v>84.850118052853446</v>
      </c>
      <c r="AM60" s="9">
        <v>64.488832984760066</v>
      </c>
      <c r="AN60" s="9">
        <v>49.874985416666675</v>
      </c>
      <c r="AO60" s="9">
        <v>49.874985416666675</v>
      </c>
      <c r="AP60" s="9">
        <v>49.874985416666675</v>
      </c>
      <c r="AQ60" s="9">
        <v>49.874985416666675</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row>
    <row r="61" spans="2:67">
      <c r="B61" t="s">
        <v>274</v>
      </c>
      <c r="D61" t="s">
        <v>2645</v>
      </c>
      <c r="E61" s="9">
        <v>0</v>
      </c>
      <c r="F61" s="9">
        <v>0</v>
      </c>
      <c r="G61" s="9">
        <v>0</v>
      </c>
      <c r="H61" s="9">
        <v>0</v>
      </c>
      <c r="I61" s="9">
        <v>0</v>
      </c>
      <c r="J61" s="9">
        <v>0</v>
      </c>
      <c r="K61" s="9">
        <v>0</v>
      </c>
      <c r="L61" s="9">
        <v>0</v>
      </c>
      <c r="M61" s="9">
        <v>0</v>
      </c>
      <c r="N61" s="11">
        <v>0</v>
      </c>
      <c r="O61" s="9">
        <v>0</v>
      </c>
      <c r="P61" s="9">
        <v>0</v>
      </c>
      <c r="Q61" s="9">
        <v>1993.7809999999995</v>
      </c>
      <c r="R61" s="9">
        <v>1993.7809999999995</v>
      </c>
      <c r="S61" s="9">
        <v>1993.7809999999995</v>
      </c>
      <c r="T61" s="9">
        <v>5041.1193333333331</v>
      </c>
      <c r="U61" s="9">
        <v>6638.0568333333331</v>
      </c>
      <c r="V61" s="9">
        <v>5632.8133333333335</v>
      </c>
      <c r="W61" s="9">
        <v>6528.952666666667</v>
      </c>
      <c r="X61" s="9">
        <v>7636.9651666666668</v>
      </c>
      <c r="Y61" s="9">
        <v>7844.931833333334</v>
      </c>
      <c r="Z61" s="9">
        <v>7362.9935000000005</v>
      </c>
      <c r="AA61" s="9">
        <v>7047.3685000000014</v>
      </c>
      <c r="AB61" s="9">
        <v>5493.8374999999996</v>
      </c>
      <c r="AC61" s="9">
        <v>3530.7750000000001</v>
      </c>
      <c r="AD61" s="9">
        <v>2406.4</v>
      </c>
      <c r="AE61" s="9">
        <v>2267.2333333333331</v>
      </c>
      <c r="AF61" s="9">
        <v>2817.6833333333334</v>
      </c>
      <c r="AG61" s="9">
        <v>2817.6833333333334</v>
      </c>
      <c r="AH61" s="9">
        <v>3301.1198333333332</v>
      </c>
      <c r="AI61" s="9">
        <v>3936.056333333333</v>
      </c>
      <c r="AJ61" s="9">
        <v>3936.056333333333</v>
      </c>
      <c r="AK61" s="9">
        <v>3936.056333333333</v>
      </c>
      <c r="AL61" s="9">
        <v>3936.056333333333</v>
      </c>
      <c r="AM61" s="9">
        <v>3301.1198333333332</v>
      </c>
      <c r="AN61" s="9">
        <v>1314.6833333333332</v>
      </c>
      <c r="AO61" s="9">
        <v>1314.6833333333332</v>
      </c>
      <c r="AP61" s="9">
        <v>1314.6833333333332</v>
      </c>
      <c r="AQ61" s="9">
        <v>1314.6833333333332</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row>
    <row r="62" spans="2:67">
      <c r="B62" t="s">
        <v>279</v>
      </c>
      <c r="D62" t="s">
        <v>2646</v>
      </c>
      <c r="E62" s="9">
        <v>0</v>
      </c>
      <c r="F62" s="9">
        <v>0</v>
      </c>
      <c r="G62" s="9">
        <v>0</v>
      </c>
      <c r="H62" s="9">
        <v>0</v>
      </c>
      <c r="I62" s="9">
        <v>0</v>
      </c>
      <c r="J62" s="9">
        <v>0</v>
      </c>
      <c r="K62" s="9">
        <v>0</v>
      </c>
      <c r="L62" s="9">
        <v>560.86</v>
      </c>
      <c r="M62" s="9">
        <v>0</v>
      </c>
      <c r="N62" s="11">
        <v>416.15</v>
      </c>
      <c r="O62" s="9">
        <v>5348.1606518847457</v>
      </c>
      <c r="P62" s="9">
        <v>6893.8451153431424</v>
      </c>
      <c r="Q62" s="9">
        <v>9837.1159853391837</v>
      </c>
      <c r="R62" s="9">
        <v>10148.516614485174</v>
      </c>
      <c r="S62" s="9">
        <v>9689.2035804395746</v>
      </c>
      <c r="T62" s="9">
        <v>14512.96649808584</v>
      </c>
      <c r="U62" s="9">
        <v>13174.202850980639</v>
      </c>
      <c r="V62" s="9">
        <v>10500.530678585088</v>
      </c>
      <c r="W62" s="9">
        <v>12595.534319260818</v>
      </c>
      <c r="X62" s="9">
        <v>12619.15511946991</v>
      </c>
      <c r="Y62" s="9">
        <v>12767.06752436952</v>
      </c>
      <c r="Z62" s="9">
        <v>12660.862298091479</v>
      </c>
      <c r="AA62" s="9">
        <v>11345.834181645123</v>
      </c>
      <c r="AB62" s="9">
        <v>9284.2927478699403</v>
      </c>
      <c r="AC62" s="9">
        <v>8314.3935761893445</v>
      </c>
      <c r="AD62" s="9">
        <v>7344.4944045087468</v>
      </c>
      <c r="AE62" s="9">
        <v>6885.1813704631486</v>
      </c>
      <c r="AF62" s="9">
        <v>7593.1723218571924</v>
      </c>
      <c r="AG62" s="9">
        <v>8805.359329099274</v>
      </c>
      <c r="AH62" s="9">
        <v>11208.416444059478</v>
      </c>
      <c r="AI62" s="9">
        <v>13465.825024768414</v>
      </c>
      <c r="AJ62" s="9">
        <v>13465.825024768414</v>
      </c>
      <c r="AK62" s="9">
        <v>13172.264085617529</v>
      </c>
      <c r="AL62" s="9">
        <v>12878.703146466649</v>
      </c>
      <c r="AM62" s="9">
        <v>10621.294565757713</v>
      </c>
      <c r="AN62" s="9">
        <v>3120.8031164779095</v>
      </c>
      <c r="AO62" s="9">
        <v>3434.3341875438182</v>
      </c>
      <c r="AP62" s="9">
        <v>3434.3341875438182</v>
      </c>
      <c r="AQ62" s="9">
        <v>3120.8031164779095</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9">
        <v>0</v>
      </c>
      <c r="BK62" s="9">
        <v>0</v>
      </c>
      <c r="BL62" s="9">
        <v>0</v>
      </c>
      <c r="BM62" s="9">
        <v>0</v>
      </c>
      <c r="BN62" s="9">
        <v>0</v>
      </c>
      <c r="BO62" s="9">
        <v>0</v>
      </c>
    </row>
    <row r="63" spans="2:67">
      <c r="B63" t="s">
        <v>284</v>
      </c>
      <c r="D63" t="s">
        <v>2647</v>
      </c>
      <c r="E63" s="9">
        <v>0</v>
      </c>
      <c r="F63" s="9">
        <v>0</v>
      </c>
      <c r="G63" s="9">
        <v>0</v>
      </c>
      <c r="H63" s="9">
        <v>0</v>
      </c>
      <c r="I63" s="9">
        <v>0</v>
      </c>
      <c r="J63" s="9">
        <v>0</v>
      </c>
      <c r="K63" s="9">
        <v>0</v>
      </c>
      <c r="L63" s="9">
        <v>0</v>
      </c>
      <c r="M63" s="9">
        <v>0</v>
      </c>
      <c r="N63" s="11">
        <v>0</v>
      </c>
      <c r="O63" s="9">
        <v>0</v>
      </c>
      <c r="P63" s="9">
        <v>0</v>
      </c>
      <c r="Q63" s="9">
        <v>0</v>
      </c>
      <c r="R63" s="9">
        <v>0</v>
      </c>
      <c r="S63" s="9">
        <v>0</v>
      </c>
      <c r="T63" s="9">
        <v>153.43859649122805</v>
      </c>
      <c r="U63" s="9">
        <v>153.43859649122805</v>
      </c>
      <c r="V63" s="9">
        <v>193.07017543859649</v>
      </c>
      <c r="W63" s="9">
        <v>242.74456140350878</v>
      </c>
      <c r="X63" s="9">
        <v>222.79719298245615</v>
      </c>
      <c r="Y63" s="9">
        <v>150.50245614035089</v>
      </c>
      <c r="Z63" s="9">
        <v>130.41122807017541</v>
      </c>
      <c r="AA63" s="9">
        <v>111.09543859649122</v>
      </c>
      <c r="AB63" s="9">
        <v>66.280701754385959</v>
      </c>
      <c r="AC63" s="9">
        <v>44.859649122807014</v>
      </c>
      <c r="AD63" s="9">
        <v>31.859649122807014</v>
      </c>
      <c r="AE63" s="9">
        <v>31.859649122807014</v>
      </c>
      <c r="AF63" s="9">
        <v>54.807017543859644</v>
      </c>
      <c r="AG63" s="9">
        <v>54.807017543859644</v>
      </c>
      <c r="AH63" s="9">
        <v>87.414807017543865</v>
      </c>
      <c r="AI63" s="9">
        <v>126.33838596491228</v>
      </c>
      <c r="AJ63" s="9">
        <v>126.33838596491228</v>
      </c>
      <c r="AK63" s="9">
        <v>126.33838596491228</v>
      </c>
      <c r="AL63" s="9">
        <v>126.33838596491228</v>
      </c>
      <c r="AM63" s="9">
        <v>87.414807017543865</v>
      </c>
      <c r="AN63" s="9">
        <v>54.807017543859644</v>
      </c>
      <c r="AO63" s="9">
        <v>54.807017543859644</v>
      </c>
      <c r="AP63" s="9">
        <v>54.807017543859644</v>
      </c>
      <c r="AQ63" s="9">
        <v>54.807017543859644</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9">
        <v>0</v>
      </c>
      <c r="BM63" s="9">
        <v>0</v>
      </c>
      <c r="BN63" s="9">
        <v>0</v>
      </c>
      <c r="BO63" s="9">
        <v>0</v>
      </c>
    </row>
    <row r="64" spans="2:67">
      <c r="B64" t="s">
        <v>289</v>
      </c>
      <c r="D64" t="s">
        <v>2648</v>
      </c>
      <c r="E64" s="9">
        <v>0</v>
      </c>
      <c r="F64" s="9">
        <v>0</v>
      </c>
      <c r="G64" s="9">
        <v>0</v>
      </c>
      <c r="H64" s="9">
        <v>0</v>
      </c>
      <c r="I64" s="9">
        <v>0</v>
      </c>
      <c r="J64" s="9">
        <v>0</v>
      </c>
      <c r="K64" s="9">
        <v>0</v>
      </c>
      <c r="L64" s="9">
        <v>0</v>
      </c>
      <c r="M64" s="9">
        <v>0</v>
      </c>
      <c r="N64" s="11">
        <v>0</v>
      </c>
      <c r="O64" s="9">
        <v>0</v>
      </c>
      <c r="P64" s="9">
        <v>0</v>
      </c>
      <c r="Q64" s="9">
        <v>0</v>
      </c>
      <c r="R64" s="9">
        <v>0</v>
      </c>
      <c r="S64" s="9">
        <v>0</v>
      </c>
      <c r="T64" s="9">
        <v>2132.8578947368424</v>
      </c>
      <c r="U64" s="9">
        <v>2132.8578947368424</v>
      </c>
      <c r="V64" s="9">
        <v>2477.5552631578948</v>
      </c>
      <c r="W64" s="9">
        <v>2980.4268421052634</v>
      </c>
      <c r="X64" s="9">
        <v>2666.2557894736842</v>
      </c>
      <c r="Y64" s="9">
        <v>1811.4136842105263</v>
      </c>
      <c r="Z64" s="9">
        <v>1494.9768421052631</v>
      </c>
      <c r="AA64" s="9">
        <v>1330.5031578947369</v>
      </c>
      <c r="AB64" s="9">
        <v>764.42105263157896</v>
      </c>
      <c r="AC64" s="9">
        <v>566.78947368421063</v>
      </c>
      <c r="AD64" s="9">
        <v>501.78947368421058</v>
      </c>
      <c r="AE64" s="9">
        <v>501.78947368421058</v>
      </c>
      <c r="AF64" s="9">
        <v>863.21052631578948</v>
      </c>
      <c r="AG64" s="9">
        <v>863.21052631578948</v>
      </c>
      <c r="AH64" s="9">
        <v>1094.1442105263159</v>
      </c>
      <c r="AI64" s="9">
        <v>1424.5515789473686</v>
      </c>
      <c r="AJ64" s="9">
        <v>1424.5515789473684</v>
      </c>
      <c r="AK64" s="9">
        <v>1424.5515789473686</v>
      </c>
      <c r="AL64" s="9">
        <v>1424.5515789473684</v>
      </c>
      <c r="AM64" s="9">
        <v>1094.1442105263159</v>
      </c>
      <c r="AN64" s="9">
        <v>863.21052631578948</v>
      </c>
      <c r="AO64" s="9">
        <v>863.21052631578948</v>
      </c>
      <c r="AP64" s="9">
        <v>863.21052631578948</v>
      </c>
      <c r="AQ64" s="9">
        <v>863.21052631578948</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0</v>
      </c>
    </row>
    <row r="65" spans="2:67">
      <c r="B65" t="s">
        <v>294</v>
      </c>
      <c r="D65" t="s">
        <v>2649</v>
      </c>
      <c r="E65" s="9">
        <v>0</v>
      </c>
      <c r="F65" s="9">
        <v>0</v>
      </c>
      <c r="G65" s="9">
        <v>0</v>
      </c>
      <c r="H65" s="9">
        <v>0</v>
      </c>
      <c r="I65" s="9">
        <v>0</v>
      </c>
      <c r="J65" s="9">
        <v>0</v>
      </c>
      <c r="K65" s="9">
        <v>0</v>
      </c>
      <c r="L65" s="9">
        <v>0</v>
      </c>
      <c r="M65" s="9">
        <v>0</v>
      </c>
      <c r="N65" s="11">
        <v>0</v>
      </c>
      <c r="O65" s="9">
        <v>0</v>
      </c>
      <c r="P65" s="9">
        <v>0</v>
      </c>
      <c r="Q65" s="9">
        <v>0</v>
      </c>
      <c r="R65" s="9">
        <v>0</v>
      </c>
      <c r="S65" s="9">
        <v>0</v>
      </c>
      <c r="T65" s="9">
        <v>30.124499999999991</v>
      </c>
      <c r="U65" s="9">
        <v>30.124499999999991</v>
      </c>
      <c r="V65" s="9">
        <v>35.963249999999995</v>
      </c>
      <c r="W65" s="9">
        <v>43.948649999999986</v>
      </c>
      <c r="X65" s="9">
        <v>39.684899999999992</v>
      </c>
      <c r="Y65" s="9">
        <v>26.904899999999998</v>
      </c>
      <c r="Z65" s="9">
        <v>22.610400000000002</v>
      </c>
      <c r="AA65" s="9">
        <v>19.797899999999998</v>
      </c>
      <c r="AB65" s="9">
        <v>11.535</v>
      </c>
      <c r="AC65" s="9">
        <v>8.2724999999999991</v>
      </c>
      <c r="AD65" s="9">
        <v>6.81</v>
      </c>
      <c r="AE65" s="9">
        <v>6.81</v>
      </c>
      <c r="AF65" s="9">
        <v>11.714999999999998</v>
      </c>
      <c r="AG65" s="9">
        <v>11.714999999999998</v>
      </c>
      <c r="AH65" s="9">
        <v>16.022849999999998</v>
      </c>
      <c r="AI65" s="9">
        <v>21.680699999999998</v>
      </c>
      <c r="AJ65" s="9">
        <v>21.680699999999998</v>
      </c>
      <c r="AK65" s="9">
        <v>21.680699999999998</v>
      </c>
      <c r="AL65" s="9">
        <v>21.680699999999998</v>
      </c>
      <c r="AM65" s="9">
        <v>16.022849999999998</v>
      </c>
      <c r="AN65" s="9">
        <v>11.714999999999998</v>
      </c>
      <c r="AO65" s="9">
        <v>11.714999999999998</v>
      </c>
      <c r="AP65" s="9">
        <v>11.714999999999998</v>
      </c>
      <c r="AQ65" s="9">
        <v>11.714999999999998</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row>
    <row r="66" spans="2:67">
      <c r="B66" t="s">
        <v>299</v>
      </c>
      <c r="D66" t="s">
        <v>2650</v>
      </c>
      <c r="E66" s="9">
        <v>0</v>
      </c>
      <c r="F66" s="9">
        <v>0</v>
      </c>
      <c r="G66" s="9">
        <v>0</v>
      </c>
      <c r="H66" s="9">
        <v>0</v>
      </c>
      <c r="I66" s="9">
        <v>0</v>
      </c>
      <c r="J66" s="9">
        <v>0</v>
      </c>
      <c r="K66" s="9">
        <v>0</v>
      </c>
      <c r="L66" s="9">
        <v>0</v>
      </c>
      <c r="M66" s="9">
        <v>0</v>
      </c>
      <c r="N66" s="11">
        <v>0</v>
      </c>
      <c r="O66" s="9">
        <v>0</v>
      </c>
      <c r="P66" s="9">
        <v>0</v>
      </c>
      <c r="Q66" s="9">
        <v>0</v>
      </c>
      <c r="R66" s="9">
        <v>0</v>
      </c>
      <c r="S66" s="9">
        <v>0</v>
      </c>
      <c r="T66" s="9">
        <v>52.717874999999992</v>
      </c>
      <c r="U66" s="9">
        <v>52.717874999999992</v>
      </c>
      <c r="V66" s="9">
        <v>62.935687499999993</v>
      </c>
      <c r="W66" s="9">
        <v>76.910137500000005</v>
      </c>
      <c r="X66" s="9">
        <v>69.448574999999991</v>
      </c>
      <c r="Y66" s="9">
        <v>47.083574999999989</v>
      </c>
      <c r="Z66" s="9">
        <v>39.568199999999997</v>
      </c>
      <c r="AA66" s="9">
        <v>34.646324999999997</v>
      </c>
      <c r="AB66" s="9">
        <v>20.186249999999998</v>
      </c>
      <c r="AC66" s="9">
        <v>14.476874999999994</v>
      </c>
      <c r="AD66" s="9">
        <v>11.917499999999997</v>
      </c>
      <c r="AE66" s="9">
        <v>11.917499999999997</v>
      </c>
      <c r="AF66" s="9">
        <v>20.501249999999995</v>
      </c>
      <c r="AG66" s="9">
        <v>20.501249999999995</v>
      </c>
      <c r="AH66" s="9">
        <v>28.039987499999992</v>
      </c>
      <c r="AI66" s="9">
        <v>37.941224999999996</v>
      </c>
      <c r="AJ66" s="9">
        <v>37.941224999999996</v>
      </c>
      <c r="AK66" s="9">
        <v>37.941224999999996</v>
      </c>
      <c r="AL66" s="9">
        <v>37.941224999999996</v>
      </c>
      <c r="AM66" s="9">
        <v>28.039987499999992</v>
      </c>
      <c r="AN66" s="9">
        <v>20.501249999999995</v>
      </c>
      <c r="AO66" s="9">
        <v>20.501249999999995</v>
      </c>
      <c r="AP66" s="9">
        <v>20.501249999999995</v>
      </c>
      <c r="AQ66" s="9">
        <v>20.501249999999995</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row>
    <row r="67" spans="2:67">
      <c r="B67" t="s">
        <v>307</v>
      </c>
      <c r="C67" s="84">
        <v>-20470.625000000011</v>
      </c>
      <c r="D67" t="s">
        <v>16</v>
      </c>
      <c r="E67" s="9">
        <v>0</v>
      </c>
      <c r="F67" s="9">
        <v>0</v>
      </c>
      <c r="G67" s="9">
        <v>4394.0691485833531</v>
      </c>
      <c r="H67" s="9">
        <v>10785.229851416645</v>
      </c>
      <c r="I67" s="9">
        <v>0</v>
      </c>
      <c r="J67" s="9">
        <v>0</v>
      </c>
      <c r="K67" s="9">
        <v>0</v>
      </c>
      <c r="L67" s="9">
        <v>70.829698333334818</v>
      </c>
      <c r="M67" s="9">
        <v>6505.2123016666774</v>
      </c>
      <c r="N67" s="11">
        <v>0</v>
      </c>
      <c r="O67" s="9">
        <v>5271.0041972245572</v>
      </c>
      <c r="P67" s="9">
        <v>14037.826435284876</v>
      </c>
      <c r="Q67" s="9">
        <v>16699.769351023137</v>
      </c>
      <c r="R67" s="9">
        <v>20766.658863095105</v>
      </c>
      <c r="S67" s="9">
        <v>39513.910964072384</v>
      </c>
      <c r="T67" s="9">
        <v>27454.305680934969</v>
      </c>
      <c r="U67" s="9">
        <v>27930.28185532623</v>
      </c>
      <c r="V67" s="9">
        <v>27609.900907283409</v>
      </c>
      <c r="W67" s="9">
        <v>28146.537838548331</v>
      </c>
      <c r="X67" s="9">
        <v>36099.782855504607</v>
      </c>
      <c r="Y67" s="9">
        <v>43663.494778862972</v>
      </c>
      <c r="Z67" s="9">
        <v>49882.895147575749</v>
      </c>
      <c r="AA67" s="9">
        <v>55680.161053757161</v>
      </c>
      <c r="AB67" s="9">
        <v>55680.161053757161</v>
      </c>
      <c r="AC67" s="9">
        <v>53362.712527631258</v>
      </c>
      <c r="AD67" s="9">
        <v>59136.414246570872</v>
      </c>
      <c r="AE67" s="9">
        <v>59136.414246570872</v>
      </c>
      <c r="AF67" s="9">
        <v>57621.473578825673</v>
      </c>
      <c r="AG67" s="9">
        <v>57783.250545958392</v>
      </c>
      <c r="AH67" s="9">
        <v>56454.229621901002</v>
      </c>
      <c r="AI67" s="9">
        <v>55305.881896995968</v>
      </c>
      <c r="AJ67" s="9">
        <v>70931.09792850136</v>
      </c>
      <c r="AK67" s="9">
        <v>73897.646399172983</v>
      </c>
      <c r="AL67" s="9">
        <v>70098.493935997962</v>
      </c>
      <c r="AM67" s="9">
        <v>70098.493935997962</v>
      </c>
      <c r="AN67" s="9">
        <v>69902.683917995702</v>
      </c>
      <c r="AO67" s="9">
        <v>67197.41630037599</v>
      </c>
      <c r="AP67" s="9">
        <v>66482.752180801966</v>
      </c>
      <c r="AQ67" s="9">
        <v>48666.68786080322</v>
      </c>
      <c r="AR67" s="9">
        <v>34577.739650772972</v>
      </c>
      <c r="AS67" s="9">
        <v>24120.529884412772</v>
      </c>
      <c r="AT67" s="9">
        <v>12725.501609059571</v>
      </c>
      <c r="AU67" s="9">
        <v>12725.501609059571</v>
      </c>
      <c r="AV67" s="9">
        <v>9847.1143403437145</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row>
    <row r="68" spans="2:67">
      <c r="B68" t="s">
        <v>311</v>
      </c>
      <c r="C68" s="85">
        <v>-183.17665</v>
      </c>
      <c r="D68" t="s">
        <v>17</v>
      </c>
      <c r="E68" s="9">
        <v>0</v>
      </c>
      <c r="F68" s="9">
        <v>0</v>
      </c>
      <c r="G68" s="9">
        <v>35.462369054262766</v>
      </c>
      <c r="H68" s="9">
        <v>87.042280945737232</v>
      </c>
      <c r="I68" s="9">
        <v>0</v>
      </c>
      <c r="J68" s="9">
        <v>0</v>
      </c>
      <c r="K68" s="9">
        <v>0</v>
      </c>
      <c r="L68" s="9">
        <v>8.5160705000000974</v>
      </c>
      <c r="M68" s="9">
        <v>68.035311999999976</v>
      </c>
      <c r="N68" s="11">
        <v>0</v>
      </c>
      <c r="O68" s="9">
        <v>160.11287022520145</v>
      </c>
      <c r="P68" s="9">
        <v>99.682085243337013</v>
      </c>
      <c r="Q68" s="9">
        <v>150.13708832075969</v>
      </c>
      <c r="R68" s="9">
        <v>276.91588095279485</v>
      </c>
      <c r="S68" s="9">
        <v>694.31335892990387</v>
      </c>
      <c r="T68" s="9">
        <v>604.81752410166916</v>
      </c>
      <c r="U68" s="9">
        <v>623.84736273150645</v>
      </c>
      <c r="V68" s="9">
        <v>611.4024162160265</v>
      </c>
      <c r="W68" s="9">
        <v>625.51580027110583</v>
      </c>
      <c r="X68" s="9">
        <v>790.68371581853523</v>
      </c>
      <c r="Y68" s="9">
        <v>922.51391548994854</v>
      </c>
      <c r="Z68" s="9">
        <v>1063.5186936693844</v>
      </c>
      <c r="AA68" s="9">
        <v>1202.464863932787</v>
      </c>
      <c r="AB68" s="9">
        <v>1202.464863932787</v>
      </c>
      <c r="AC68" s="9">
        <v>927.68285387104902</v>
      </c>
      <c r="AD68" s="9">
        <v>940.96864374363918</v>
      </c>
      <c r="AE68" s="9">
        <v>940.96864374363918</v>
      </c>
      <c r="AF68" s="9">
        <v>907.85943665881928</v>
      </c>
      <c r="AG68" s="9">
        <v>984.61076768086821</v>
      </c>
      <c r="AH68" s="9">
        <v>1040.6601480911038</v>
      </c>
      <c r="AI68" s="9">
        <v>1031.9271293090155</v>
      </c>
      <c r="AJ68" s="9">
        <v>1194.5070364183284</v>
      </c>
      <c r="AK68" s="9">
        <v>1279.8302708595231</v>
      </c>
      <c r="AL68" s="9">
        <v>1186.6607182429962</v>
      </c>
      <c r="AM68" s="9">
        <v>1186.6607182429962</v>
      </c>
      <c r="AN68" s="9">
        <v>1157.7807894354346</v>
      </c>
      <c r="AO68" s="9">
        <v>1287.4947681409747</v>
      </c>
      <c r="AP68" s="9">
        <v>1283.743763944912</v>
      </c>
      <c r="AQ68" s="9">
        <v>916.01334024520247</v>
      </c>
      <c r="AR68" s="9">
        <v>608.09771435637765</v>
      </c>
      <c r="AS68" s="9">
        <v>436.13525960306686</v>
      </c>
      <c r="AT68" s="9">
        <v>278.11733951248681</v>
      </c>
      <c r="AU68" s="9">
        <v>278.11733951248681</v>
      </c>
      <c r="AV68" s="9">
        <v>215.20984605132909</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row>
    <row r="69" spans="2:67">
      <c r="B69" t="s">
        <v>315</v>
      </c>
      <c r="C69" s="79">
        <v>-12291.140625166496</v>
      </c>
      <c r="D69" t="s">
        <v>18</v>
      </c>
      <c r="E69" s="9">
        <v>0</v>
      </c>
      <c r="F69" s="9">
        <v>0</v>
      </c>
      <c r="G69" s="9">
        <v>0</v>
      </c>
      <c r="H69" s="9">
        <v>0</v>
      </c>
      <c r="I69" s="9">
        <v>2177.1750000380562</v>
      </c>
      <c r="J69" s="9">
        <v>684.96562512844002</v>
      </c>
      <c r="K69" s="9">
        <v>0</v>
      </c>
      <c r="L69" s="9">
        <v>0</v>
      </c>
      <c r="M69" s="9">
        <v>11100</v>
      </c>
      <c r="N69" s="11">
        <v>0</v>
      </c>
      <c r="O69" s="9">
        <v>18048.05768346721</v>
      </c>
      <c r="P69" s="9">
        <v>9922.0086108969699</v>
      </c>
      <c r="Q69" s="9">
        <v>10316.589007626137</v>
      </c>
      <c r="R69" s="9">
        <v>24180.89680577569</v>
      </c>
      <c r="S69" s="9">
        <v>64514.890408227322</v>
      </c>
      <c r="T69" s="9">
        <v>56076.813299490619</v>
      </c>
      <c r="U69" s="9">
        <v>56157.623158645554</v>
      </c>
      <c r="V69" s="9">
        <v>55211.529740386526</v>
      </c>
      <c r="W69" s="9">
        <v>55587.796923174203</v>
      </c>
      <c r="X69" s="9">
        <v>71329.28326709113</v>
      </c>
      <c r="Y69" s="9">
        <v>83964.861002390026</v>
      </c>
      <c r="Z69" s="9">
        <v>97307.378072062769</v>
      </c>
      <c r="AA69" s="9">
        <v>110223.02942495092</v>
      </c>
      <c r="AB69" s="9">
        <v>110223.02942495092</v>
      </c>
      <c r="AC69" s="9">
        <v>80961.399981159455</v>
      </c>
      <c r="AD69" s="9">
        <v>80294.256501921598</v>
      </c>
      <c r="AE69" s="9">
        <v>80294.256501921598</v>
      </c>
      <c r="AF69" s="9">
        <v>77088.995999156046</v>
      </c>
      <c r="AG69" s="9">
        <v>86704.777507452716</v>
      </c>
      <c r="AH69" s="9">
        <v>93875.927655479551</v>
      </c>
      <c r="AI69" s="9">
        <v>93810.703814419961</v>
      </c>
      <c r="AJ69" s="9">
        <v>107435.85752868427</v>
      </c>
      <c r="AK69" s="9">
        <v>116475.81077748742</v>
      </c>
      <c r="AL69" s="9">
        <v>107435.85752868427</v>
      </c>
      <c r="AM69" s="9">
        <v>107435.85752868427</v>
      </c>
      <c r="AN69" s="9">
        <v>104230.59702591873</v>
      </c>
      <c r="AO69" s="9">
        <v>120897.95164029961</v>
      </c>
      <c r="AP69" s="9">
        <v>120990.35208180072</v>
      </c>
      <c r="AQ69" s="9">
        <v>86221.507524393455</v>
      </c>
      <c r="AR69" s="9">
        <v>56412.584848673789</v>
      </c>
      <c r="AS69" s="9">
        <v>40706.80838512256</v>
      </c>
      <c r="AT69" s="9">
        <v>26924.188223230671</v>
      </c>
      <c r="AU69" s="9">
        <v>26924.188223230671</v>
      </c>
      <c r="AV69" s="9">
        <v>20834.193267976119</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s="9">
        <v>0</v>
      </c>
      <c r="BN69" s="9">
        <v>0</v>
      </c>
      <c r="BO69" s="9">
        <v>0</v>
      </c>
    </row>
    <row r="70" spans="2:67">
      <c r="B70" t="s">
        <v>319</v>
      </c>
      <c r="C70" s="79">
        <v>-26385.40266878534</v>
      </c>
      <c r="D70" t="s">
        <v>19</v>
      </c>
      <c r="E70" s="9">
        <v>0</v>
      </c>
      <c r="F70" s="9">
        <v>0</v>
      </c>
      <c r="G70" s="9">
        <v>2754.6701608499307</v>
      </c>
      <c r="H70" s="9">
        <v>6761.3298391500684</v>
      </c>
      <c r="I70" s="9">
        <v>0</v>
      </c>
      <c r="J70" s="9">
        <v>0</v>
      </c>
      <c r="K70" s="9">
        <v>0</v>
      </c>
      <c r="L70" s="9">
        <v>0</v>
      </c>
      <c r="M70" s="9">
        <v>1724</v>
      </c>
      <c r="N70" s="11">
        <v>0</v>
      </c>
      <c r="O70" s="9">
        <v>0</v>
      </c>
      <c r="P70" s="9">
        <v>0</v>
      </c>
      <c r="Q70" s="9">
        <v>0</v>
      </c>
      <c r="R70" s="9">
        <v>0</v>
      </c>
      <c r="S70" s="9">
        <v>0</v>
      </c>
      <c r="T70" s="9">
        <v>0</v>
      </c>
      <c r="U70" s="9">
        <v>0</v>
      </c>
      <c r="V70" s="9">
        <v>0</v>
      </c>
      <c r="W70" s="9">
        <v>0</v>
      </c>
      <c r="X70" s="9">
        <v>490.38579021129283</v>
      </c>
      <c r="Y70" s="9">
        <v>1483.8942628944455</v>
      </c>
      <c r="Z70" s="9">
        <v>1135.76766213273</v>
      </c>
      <c r="AA70" s="9">
        <v>1219.0356026847467</v>
      </c>
      <c r="AB70" s="9">
        <v>1219.0356026847467</v>
      </c>
      <c r="AC70" s="9">
        <v>1225.7154989677101</v>
      </c>
      <c r="AD70" s="9">
        <v>372.97342391313123</v>
      </c>
      <c r="AE70" s="9">
        <v>5214.6801975615899</v>
      </c>
      <c r="AF70" s="9">
        <v>6581.568327802258</v>
      </c>
      <c r="AG70" s="9">
        <v>4887.3871895806624</v>
      </c>
      <c r="AH70" s="9">
        <v>3948.7371136650063</v>
      </c>
      <c r="AI70" s="9">
        <v>2989.8917590101837</v>
      </c>
      <c r="AJ70" s="9">
        <v>5554.6571240806506</v>
      </c>
      <c r="AK70" s="9">
        <v>4762.178816709451</v>
      </c>
      <c r="AL70" s="9">
        <v>4660.3641902801237</v>
      </c>
      <c r="AM70" s="9">
        <v>4660.3641902801237</v>
      </c>
      <c r="AN70" s="9">
        <v>5008.1416704631984</v>
      </c>
      <c r="AO70" s="9">
        <v>1679.4063753811593</v>
      </c>
      <c r="AP70" s="9">
        <v>1823.6437628227031</v>
      </c>
      <c r="AQ70" s="9">
        <v>2086.6648810984393</v>
      </c>
      <c r="AR70" s="9">
        <v>2086.6648810984393</v>
      </c>
      <c r="AS70" s="9">
        <v>1286.7766766773707</v>
      </c>
      <c r="AT70" s="9">
        <v>0</v>
      </c>
      <c r="AU70" s="9">
        <v>0</v>
      </c>
      <c r="AV70" s="9">
        <v>0</v>
      </c>
      <c r="AW70" s="9">
        <v>0</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row>
    <row r="71" spans="2:67">
      <c r="B71" t="s">
        <v>323</v>
      </c>
      <c r="C71" s="82">
        <v>-492.58273604052442</v>
      </c>
      <c r="D71" t="s">
        <v>20</v>
      </c>
      <c r="E71" s="9">
        <v>0</v>
      </c>
      <c r="F71" s="9">
        <v>0</v>
      </c>
      <c r="G71" s="9">
        <v>15.707639059422386</v>
      </c>
      <c r="H71" s="9">
        <v>38.554354050977615</v>
      </c>
      <c r="I71" s="9">
        <v>9.2771675843921617</v>
      </c>
      <c r="J71" s="9">
        <v>0</v>
      </c>
      <c r="K71" s="9">
        <v>0</v>
      </c>
      <c r="L71" s="9">
        <v>4.9855435333333844</v>
      </c>
      <c r="M71" s="9">
        <v>45.453540466666539</v>
      </c>
      <c r="N71" s="11">
        <v>139.67970099999999</v>
      </c>
      <c r="O71" s="9">
        <v>0</v>
      </c>
      <c r="P71" s="9">
        <v>0</v>
      </c>
      <c r="Q71" s="9">
        <v>0</v>
      </c>
      <c r="R71" s="9">
        <v>0</v>
      </c>
      <c r="S71" s="9">
        <v>111.58810418955279</v>
      </c>
      <c r="T71" s="9">
        <v>102.54037854293334</v>
      </c>
      <c r="U71" s="9">
        <v>119.94376785409983</v>
      </c>
      <c r="V71" s="9">
        <v>103.72630869269128</v>
      </c>
      <c r="W71" s="9">
        <v>165.66031831707363</v>
      </c>
      <c r="X71" s="9">
        <v>271.37485527297656</v>
      </c>
      <c r="Y71" s="9">
        <v>335.23797627953212</v>
      </c>
      <c r="Z71" s="9">
        <v>384.01708059550441</v>
      </c>
      <c r="AA71" s="9">
        <v>437.50105058137797</v>
      </c>
      <c r="AB71" s="9">
        <v>437.50105058137797</v>
      </c>
      <c r="AC71" s="9">
        <v>378.81146626254423</v>
      </c>
      <c r="AD71" s="9">
        <v>403.56463315213801</v>
      </c>
      <c r="AE71" s="9">
        <v>403.56463315213801</v>
      </c>
      <c r="AF71" s="9">
        <v>389.26389220985101</v>
      </c>
      <c r="AG71" s="9">
        <v>413.18250697294673</v>
      </c>
      <c r="AH71" s="9">
        <v>441.03266229833042</v>
      </c>
      <c r="AI71" s="9">
        <v>424.78061754757016</v>
      </c>
      <c r="AJ71" s="9">
        <v>525.82029271042234</v>
      </c>
      <c r="AK71" s="9">
        <v>567.19390822548041</v>
      </c>
      <c r="AL71" s="9">
        <v>522.50398360630925</v>
      </c>
      <c r="AM71" s="9">
        <v>522.50398360630925</v>
      </c>
      <c r="AN71" s="9">
        <v>512.45689508427165</v>
      </c>
      <c r="AO71" s="9">
        <v>547.84497354522603</v>
      </c>
      <c r="AP71" s="9">
        <v>554.30672617252367</v>
      </c>
      <c r="AQ71" s="9">
        <v>410.21184586901961</v>
      </c>
      <c r="AR71" s="9">
        <v>277.21495510574988</v>
      </c>
      <c r="AS71" s="9">
        <v>197.35792392196927</v>
      </c>
      <c r="AT71" s="9">
        <v>120.12622391521137</v>
      </c>
      <c r="AU71" s="9">
        <v>120.12622391521137</v>
      </c>
      <c r="AV71" s="9">
        <v>92.954816124865943</v>
      </c>
      <c r="AW71" s="9">
        <v>0</v>
      </c>
      <c r="AX71" s="9">
        <v>0</v>
      </c>
      <c r="AY71" s="9">
        <v>0</v>
      </c>
      <c r="AZ71" s="9">
        <v>0</v>
      </c>
      <c r="BA71" s="9">
        <v>0</v>
      </c>
      <c r="BB71" s="9">
        <v>0</v>
      </c>
      <c r="BC71" s="9">
        <v>0</v>
      </c>
      <c r="BD71" s="9">
        <v>0</v>
      </c>
      <c r="BE71" s="9">
        <v>0</v>
      </c>
      <c r="BF71" s="9">
        <v>0</v>
      </c>
      <c r="BG71" s="9">
        <v>0</v>
      </c>
      <c r="BH71" s="9">
        <v>0</v>
      </c>
      <c r="BI71" s="9">
        <v>0</v>
      </c>
      <c r="BJ71" s="9">
        <v>0</v>
      </c>
      <c r="BK71" s="9">
        <v>0</v>
      </c>
      <c r="BL71" s="9">
        <v>0</v>
      </c>
      <c r="BM71" s="9">
        <v>0</v>
      </c>
      <c r="BN71" s="9">
        <v>0</v>
      </c>
      <c r="BO71" s="9">
        <v>0</v>
      </c>
    </row>
    <row r="72" spans="2:67">
      <c r="B72" t="s">
        <v>327</v>
      </c>
      <c r="C72" s="83">
        <v>-3092.4686690656395</v>
      </c>
      <c r="D72" t="s">
        <v>21</v>
      </c>
      <c r="E72" s="9">
        <v>0</v>
      </c>
      <c r="F72" s="9">
        <v>0</v>
      </c>
      <c r="G72" s="9">
        <v>483.00342020770944</v>
      </c>
      <c r="H72" s="9">
        <v>1185.5304797922906</v>
      </c>
      <c r="I72" s="9">
        <v>76.717769065638834</v>
      </c>
      <c r="J72" s="9">
        <v>0</v>
      </c>
      <c r="K72" s="9">
        <v>0</v>
      </c>
      <c r="L72" s="9">
        <v>452.93244999274975</v>
      </c>
      <c r="M72" s="9">
        <v>820.74815000724857</v>
      </c>
      <c r="N72" s="11">
        <v>0</v>
      </c>
      <c r="O72" s="9">
        <v>1782.8544197116555</v>
      </c>
      <c r="P72" s="9">
        <v>1796.6713526961257</v>
      </c>
      <c r="Q72" s="9">
        <v>2477.9867516531253</v>
      </c>
      <c r="R72" s="9">
        <v>3399.3561558615306</v>
      </c>
      <c r="S72" s="9">
        <v>7014.8150817239784</v>
      </c>
      <c r="T72" s="9">
        <v>6055.9102878604317</v>
      </c>
      <c r="U72" s="9">
        <v>6318.6161594765063</v>
      </c>
      <c r="V72" s="9">
        <v>6229.8421199919985</v>
      </c>
      <c r="W72" s="9">
        <v>6122.3269221168084</v>
      </c>
      <c r="X72" s="9">
        <v>7529.3441570034292</v>
      </c>
      <c r="Y72" s="9">
        <v>8803.0364446680578</v>
      </c>
      <c r="Z72" s="9">
        <v>10028.200377763071</v>
      </c>
      <c r="AA72" s="9">
        <v>11028.538668848109</v>
      </c>
      <c r="AB72" s="9">
        <v>11028.538668848109</v>
      </c>
      <c r="AC72" s="9">
        <v>9317.4575411316473</v>
      </c>
      <c r="AD72" s="9">
        <v>9760.3743471047565</v>
      </c>
      <c r="AE72" s="9">
        <v>9760.3743471047565</v>
      </c>
      <c r="AF72" s="9">
        <v>9478.9430231806673</v>
      </c>
      <c r="AG72" s="9">
        <v>9769.1172612946848</v>
      </c>
      <c r="AH72" s="9">
        <v>9951.0999353210645</v>
      </c>
      <c r="AI72" s="9">
        <v>9710.0289060367268</v>
      </c>
      <c r="AJ72" s="9">
        <v>11519.820376152915</v>
      </c>
      <c r="AK72" s="9">
        <v>12142.355605092838</v>
      </c>
      <c r="AL72" s="9">
        <v>11356.272211306403</v>
      </c>
      <c r="AM72" s="9">
        <v>11356.272211306403</v>
      </c>
      <c r="AN72" s="9">
        <v>11186.940826995737</v>
      </c>
      <c r="AO72" s="9">
        <v>11569.394261559666</v>
      </c>
      <c r="AP72" s="9">
        <v>11477.774681302939</v>
      </c>
      <c r="AQ72" s="9">
        <v>8243.1022512386426</v>
      </c>
      <c r="AR72" s="9">
        <v>5625.7909387445789</v>
      </c>
      <c r="AS72" s="9">
        <v>3988.947590405649</v>
      </c>
      <c r="AT72" s="9">
        <v>2364.0231209623789</v>
      </c>
      <c r="AU72" s="9">
        <v>2364.0231209623789</v>
      </c>
      <c r="AV72" s="9">
        <v>1829.3036055066027</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row>
    <row r="73" spans="2:67">
      <c r="B73" t="s">
        <v>331</v>
      </c>
      <c r="C73" s="79">
        <v>-49838.815394883299</v>
      </c>
      <c r="D73" t="s">
        <v>22</v>
      </c>
      <c r="E73" s="9">
        <v>0</v>
      </c>
      <c r="F73" s="9">
        <v>0</v>
      </c>
      <c r="G73" s="9">
        <v>2735.5646301000261</v>
      </c>
      <c r="H73" s="9">
        <v>6714.4353698999739</v>
      </c>
      <c r="I73" s="9">
        <v>16633.090625299235</v>
      </c>
      <c r="J73" s="9">
        <v>17802.55586038492</v>
      </c>
      <c r="K73" s="9">
        <v>20647.353514315841</v>
      </c>
      <c r="L73" s="9">
        <v>0</v>
      </c>
      <c r="M73" s="9">
        <v>0</v>
      </c>
      <c r="N73" s="11">
        <v>0</v>
      </c>
      <c r="O73" s="9">
        <v>40.279227313842739</v>
      </c>
      <c r="P73" s="9">
        <v>396.08408157403755</v>
      </c>
      <c r="Q73" s="9">
        <v>1991.1630248259912</v>
      </c>
      <c r="R73" s="9">
        <v>1781.7673632350709</v>
      </c>
      <c r="S73" s="9">
        <v>1724.606734466779</v>
      </c>
      <c r="T73" s="9">
        <v>1881.4446007925558</v>
      </c>
      <c r="U73" s="9">
        <v>3418.52329911687</v>
      </c>
      <c r="V73" s="9">
        <v>4484.7220668981145</v>
      </c>
      <c r="W73" s="9">
        <v>40.279227313842739</v>
      </c>
      <c r="X73" s="9">
        <v>396.08408157403755</v>
      </c>
      <c r="Y73" s="9">
        <v>1991.1630248259912</v>
      </c>
      <c r="Z73" s="9">
        <v>1781.7673632350709</v>
      </c>
      <c r="AA73" s="9">
        <v>1724.606734466779</v>
      </c>
      <c r="AB73" s="9">
        <v>1881.4446007925558</v>
      </c>
      <c r="AC73" s="9">
        <v>3418.52329911687</v>
      </c>
      <c r="AD73" s="9">
        <v>4484.7220668981145</v>
      </c>
      <c r="AE73" s="9">
        <v>10760.15662443455</v>
      </c>
      <c r="AF73" s="9">
        <v>10760.15662443455</v>
      </c>
      <c r="AG73" s="9">
        <v>8019.0406004690558</v>
      </c>
      <c r="AH73" s="9">
        <v>6228.3477216268393</v>
      </c>
      <c r="AI73" s="9">
        <v>5491.1125512791887</v>
      </c>
      <c r="AJ73" s="9">
        <v>9900.370353336657</v>
      </c>
      <c r="AK73" s="9">
        <v>8462.6468824750118</v>
      </c>
      <c r="AL73" s="9">
        <v>8493.7681601535969</v>
      </c>
      <c r="AM73" s="9">
        <v>8493.7681601535969</v>
      </c>
      <c r="AN73" s="9">
        <v>9073.9915648416099</v>
      </c>
      <c r="AO73" s="9">
        <v>3605.825538842455</v>
      </c>
      <c r="AP73" s="9">
        <v>3561.737062131122</v>
      </c>
      <c r="AQ73" s="9">
        <v>3481.3404281280791</v>
      </c>
      <c r="AR73" s="9">
        <v>3481.3404281280791</v>
      </c>
      <c r="AS73" s="9">
        <v>2146.8265973456482</v>
      </c>
      <c r="AT73" s="9">
        <v>0</v>
      </c>
      <c r="AU73" s="9">
        <v>0</v>
      </c>
      <c r="AV73" s="9">
        <v>0</v>
      </c>
      <c r="AW73" s="9">
        <v>0</v>
      </c>
      <c r="AX73" s="9">
        <v>0</v>
      </c>
      <c r="AY73" s="9">
        <v>0</v>
      </c>
      <c r="AZ73" s="9">
        <v>0</v>
      </c>
      <c r="BA73" s="9">
        <v>0</v>
      </c>
      <c r="BB73" s="9">
        <v>0</v>
      </c>
      <c r="BC73" s="9">
        <v>0</v>
      </c>
      <c r="BD73" s="9">
        <v>0</v>
      </c>
      <c r="BE73" s="9">
        <v>0</v>
      </c>
      <c r="BF73" s="9">
        <v>0</v>
      </c>
      <c r="BG73" s="9">
        <v>0</v>
      </c>
      <c r="BH73" s="9">
        <v>0</v>
      </c>
      <c r="BI73" s="9">
        <v>0</v>
      </c>
      <c r="BJ73" s="9">
        <v>0</v>
      </c>
      <c r="BK73" s="9">
        <v>0</v>
      </c>
      <c r="BL73" s="9">
        <v>0</v>
      </c>
      <c r="BM73" s="9">
        <v>0</v>
      </c>
      <c r="BN73" s="9">
        <v>0</v>
      </c>
      <c r="BO73" s="9">
        <v>0</v>
      </c>
    </row>
    <row r="74" spans="2:67">
      <c r="B74" t="s">
        <v>335</v>
      </c>
      <c r="C74" s="79">
        <v>-29185.810547487643</v>
      </c>
      <c r="D74" t="s">
        <v>23</v>
      </c>
      <c r="E74" s="9">
        <v>0</v>
      </c>
      <c r="F74" s="9">
        <v>0</v>
      </c>
      <c r="G74" s="9">
        <v>498.48066592933804</v>
      </c>
      <c r="H74" s="9">
        <v>1223.5193340706619</v>
      </c>
      <c r="I74" s="9">
        <v>6577.1281251400324</v>
      </c>
      <c r="J74" s="9">
        <v>278.68242234760692</v>
      </c>
      <c r="K74" s="9">
        <v>0</v>
      </c>
      <c r="L74" s="9">
        <v>0</v>
      </c>
      <c r="M74" s="9">
        <v>14811</v>
      </c>
      <c r="N74" s="11">
        <v>0</v>
      </c>
      <c r="O74" s="9">
        <v>17444.544453611899</v>
      </c>
      <c r="P74" s="9">
        <v>5188.2558008657297</v>
      </c>
      <c r="Q74" s="9">
        <v>11071.800070808304</v>
      </c>
      <c r="R74" s="9">
        <v>27624.09268945238</v>
      </c>
      <c r="S74" s="9">
        <v>74412.470228249978</v>
      </c>
      <c r="T74" s="9">
        <v>65439.965196233738</v>
      </c>
      <c r="U74" s="9">
        <v>69267.013566811773</v>
      </c>
      <c r="V74" s="9">
        <v>67681.089999932796</v>
      </c>
      <c r="W74" s="9">
        <v>65133.768686250325</v>
      </c>
      <c r="X74" s="9">
        <v>81466.454737397828</v>
      </c>
      <c r="Y74" s="9">
        <v>95837.91164788256</v>
      </c>
      <c r="Z74" s="9">
        <v>111291.90492877828</v>
      </c>
      <c r="AA74" s="9">
        <v>127224.95564518322</v>
      </c>
      <c r="AB74" s="9">
        <v>127224.95564518322</v>
      </c>
      <c r="AC74" s="9">
        <v>93692.276266145287</v>
      </c>
      <c r="AD74" s="9">
        <v>93227.346881842343</v>
      </c>
      <c r="AE74" s="9">
        <v>93227.346881842343</v>
      </c>
      <c r="AF74" s="9">
        <v>89487.89762490672</v>
      </c>
      <c r="AG74" s="9">
        <v>100706.24539571366</v>
      </c>
      <c r="AH74" s="9">
        <v>109184.72735920608</v>
      </c>
      <c r="AI74" s="9">
        <v>109047.43994198754</v>
      </c>
      <c r="AJ74" s="9">
        <v>125096.34536416363</v>
      </c>
      <c r="AK74" s="9">
        <v>135704.09070080199</v>
      </c>
      <c r="AL74" s="9">
        <v>125096.34536416363</v>
      </c>
      <c r="AM74" s="9">
        <v>43.162098732148813</v>
      </c>
      <c r="AN74" s="9">
        <v>43.162098732148813</v>
      </c>
      <c r="AO74" s="9">
        <v>140802.03224329333</v>
      </c>
      <c r="AP74" s="9">
        <v>140996.5227510196</v>
      </c>
      <c r="AQ74" s="9">
        <v>100591.18501156896</v>
      </c>
      <c r="AR74" s="9">
        <v>65814.306922067408</v>
      </c>
      <c r="AS74" s="9">
        <v>47491.005563082748</v>
      </c>
      <c r="AT74" s="9">
        <v>31411.373758259448</v>
      </c>
      <c r="AU74" s="9">
        <v>31411.373758259448</v>
      </c>
      <c r="AV74" s="9">
        <v>24306.420170081714</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row>
    <row r="75" spans="2:67">
      <c r="B75" t="s">
        <v>339</v>
      </c>
      <c r="C75" s="83">
        <v>-1144.272591439727</v>
      </c>
      <c r="D75" t="s">
        <v>24</v>
      </c>
      <c r="E75" s="9">
        <v>0</v>
      </c>
      <c r="F75" s="9">
        <v>0</v>
      </c>
      <c r="G75" s="9">
        <v>0</v>
      </c>
      <c r="H75" s="9">
        <v>0</v>
      </c>
      <c r="I75" s="9">
        <v>0</v>
      </c>
      <c r="J75" s="9">
        <v>0</v>
      </c>
      <c r="K75" s="9">
        <v>0</v>
      </c>
      <c r="L75" s="9">
        <v>0</v>
      </c>
      <c r="M75" s="9">
        <v>0</v>
      </c>
      <c r="N75" s="11">
        <v>0</v>
      </c>
      <c r="O75" s="9">
        <v>0</v>
      </c>
      <c r="P75" s="9">
        <v>0</v>
      </c>
      <c r="Q75" s="9">
        <v>2906.9758036510311</v>
      </c>
      <c r="R75" s="9">
        <v>3524.5677865572884</v>
      </c>
      <c r="S75" s="9">
        <v>3509.3564184299184</v>
      </c>
      <c r="T75" s="9">
        <v>9390.4217892952674</v>
      </c>
      <c r="U75" s="9">
        <v>11929.667549039024</v>
      </c>
      <c r="V75" s="9">
        <v>2988.3009358887712</v>
      </c>
      <c r="W75" s="9">
        <v>2531.4842864348593</v>
      </c>
      <c r="X75" s="9">
        <v>4810.7969302508091</v>
      </c>
      <c r="Y75" s="9">
        <v>8200.8446107500713</v>
      </c>
      <c r="Z75" s="9">
        <v>8500.1926519150402</v>
      </c>
      <c r="AA75" s="9">
        <v>8448.1030198464177</v>
      </c>
      <c r="AB75" s="9">
        <v>7351.7378117913677</v>
      </c>
      <c r="AC75" s="9">
        <v>4709.7310825461709</v>
      </c>
      <c r="AD75" s="9">
        <v>2708.9199865666569</v>
      </c>
      <c r="AE75" s="9">
        <v>2052.0400775609151</v>
      </c>
      <c r="AF75" s="9">
        <v>2631.2764993321216</v>
      </c>
      <c r="AG75" s="9">
        <v>7726.5043753005375</v>
      </c>
      <c r="AH75" s="9">
        <v>9740.8967913810739</v>
      </c>
      <c r="AI75" s="9">
        <v>9740.8967913810739</v>
      </c>
      <c r="AJ75" s="9">
        <v>10401.754003903978</v>
      </c>
      <c r="AK75" s="9">
        <v>2805.7302638344941</v>
      </c>
      <c r="AL75" s="9">
        <v>1867.4994233065818</v>
      </c>
      <c r="AM75" s="9">
        <v>1855.7125213020372</v>
      </c>
      <c r="AN75" s="9">
        <v>7423.016196927143</v>
      </c>
      <c r="AO75" s="9">
        <v>7423.016196927143</v>
      </c>
      <c r="AP75" s="9">
        <v>9927.2941660683609</v>
      </c>
      <c r="AQ75" s="9">
        <v>13686.288915788115</v>
      </c>
      <c r="AR75" s="9">
        <v>13597.925743081609</v>
      </c>
      <c r="AS75" s="9">
        <v>15386.330114047394</v>
      </c>
      <c r="AT75" s="9">
        <v>27408.121447419329</v>
      </c>
      <c r="AU75" s="9">
        <v>27369.69859117295</v>
      </c>
      <c r="AV75" s="9">
        <v>27713.247210411682</v>
      </c>
      <c r="AW75" s="9">
        <v>24905.669618078431</v>
      </c>
      <c r="AX75" s="9">
        <v>24905.669618078427</v>
      </c>
      <c r="AY75" s="9">
        <v>24220.114609208213</v>
      </c>
      <c r="AZ75" s="9">
        <v>24011.467432595538</v>
      </c>
      <c r="BA75" s="9">
        <v>20402.910099780758</v>
      </c>
      <c r="BB75" s="9">
        <v>15635.060711112485</v>
      </c>
      <c r="BC75" s="9">
        <v>5332.2152190367142</v>
      </c>
      <c r="BD75" s="9">
        <v>0</v>
      </c>
      <c r="BE75" s="9">
        <v>0</v>
      </c>
      <c r="BF75" s="9">
        <v>0</v>
      </c>
      <c r="BG75" s="9">
        <v>0</v>
      </c>
      <c r="BH75" s="9">
        <v>0</v>
      </c>
      <c r="BI75" s="9">
        <v>0</v>
      </c>
      <c r="BJ75" s="9">
        <v>0</v>
      </c>
      <c r="BK75" s="9">
        <v>0</v>
      </c>
      <c r="BL75" s="9">
        <v>0</v>
      </c>
      <c r="BM75" s="9">
        <v>0</v>
      </c>
      <c r="BN75" s="9">
        <v>0</v>
      </c>
      <c r="BO75" s="9">
        <v>0</v>
      </c>
    </row>
    <row r="76" spans="2:67">
      <c r="B76" t="s">
        <v>343</v>
      </c>
      <c r="D76" t="s">
        <v>25</v>
      </c>
      <c r="E76" s="9">
        <v>0</v>
      </c>
      <c r="F76" s="9">
        <v>0</v>
      </c>
      <c r="G76" s="9">
        <v>0</v>
      </c>
      <c r="H76" s="9">
        <v>0</v>
      </c>
      <c r="I76" s="9">
        <v>0</v>
      </c>
      <c r="J76" s="9">
        <v>0</v>
      </c>
      <c r="K76" s="9">
        <v>0</v>
      </c>
      <c r="L76" s="9">
        <v>0</v>
      </c>
      <c r="M76" s="9">
        <v>0</v>
      </c>
      <c r="N76" s="11">
        <v>0</v>
      </c>
      <c r="O76" s="9">
        <v>0</v>
      </c>
      <c r="P76" s="9">
        <v>0</v>
      </c>
      <c r="Q76" s="9">
        <v>0</v>
      </c>
      <c r="R76" s="9">
        <v>1995.7782101167309</v>
      </c>
      <c r="S76" s="9">
        <v>1703.6607782101155</v>
      </c>
      <c r="T76" s="9">
        <v>6929.2623410583674</v>
      </c>
      <c r="U76" s="9">
        <v>6931.0920173333234</v>
      </c>
      <c r="V76" s="9">
        <v>1403.5932400000002</v>
      </c>
      <c r="W76" s="9">
        <v>662.10199733332502</v>
      </c>
      <c r="X76" s="9">
        <v>342.11697733332585</v>
      </c>
      <c r="Y76" s="9">
        <v>415.7995520000004</v>
      </c>
      <c r="Z76" s="9">
        <v>161.94497999999999</v>
      </c>
      <c r="AA76" s="9">
        <v>0</v>
      </c>
      <c r="AB76" s="9">
        <v>0</v>
      </c>
      <c r="AC76" s="9">
        <v>3773.5355294117653</v>
      </c>
      <c r="AD76" s="9">
        <v>2587.8265294117646</v>
      </c>
      <c r="AE76" s="9">
        <v>521.36294117646958</v>
      </c>
      <c r="AF76" s="9">
        <v>0</v>
      </c>
      <c r="AG76" s="9">
        <v>6041.3280000000004</v>
      </c>
      <c r="AH76" s="9">
        <v>8429.76</v>
      </c>
      <c r="AI76" s="9">
        <v>8429.76</v>
      </c>
      <c r="AJ76" s="9">
        <v>10466.612852140077</v>
      </c>
      <c r="AK76" s="9">
        <v>897.97261089494168</v>
      </c>
      <c r="AL76" s="9">
        <v>585.73512062255486</v>
      </c>
      <c r="AM76" s="9">
        <v>637.57712062255541</v>
      </c>
      <c r="AN76" s="9">
        <v>871.75112062255448</v>
      </c>
      <c r="AO76" s="9">
        <v>964.99112062255517</v>
      </c>
      <c r="AP76" s="9">
        <v>12823.539120622554</v>
      </c>
      <c r="AQ76" s="9">
        <v>14819.749840466926</v>
      </c>
      <c r="AR76" s="9">
        <v>14087.28</v>
      </c>
      <c r="AS76" s="9">
        <v>15181.320000000003</v>
      </c>
      <c r="AT76" s="9">
        <v>24871.775000000001</v>
      </c>
      <c r="AU76" s="9">
        <v>27569.348000000002</v>
      </c>
      <c r="AV76" s="9">
        <v>27380.817999999999</v>
      </c>
      <c r="AW76" s="9">
        <v>27663.840000000004</v>
      </c>
      <c r="AX76" s="9">
        <v>27726.000000000004</v>
      </c>
      <c r="AY76" s="9">
        <v>27258.962000000003</v>
      </c>
      <c r="AZ76" s="9">
        <v>26930.340000000004</v>
      </c>
      <c r="BA76" s="9">
        <v>22138.512000000002</v>
      </c>
      <c r="BB76" s="9">
        <v>17725.635000000002</v>
      </c>
      <c r="BC76" s="9">
        <v>6322.3200000000006</v>
      </c>
      <c r="BD76" s="9">
        <v>0</v>
      </c>
      <c r="BE76" s="9">
        <v>0</v>
      </c>
      <c r="BF76" s="9">
        <v>0</v>
      </c>
      <c r="BG76" s="9">
        <v>0</v>
      </c>
      <c r="BH76" s="9">
        <v>0</v>
      </c>
      <c r="BI76" s="9">
        <v>0</v>
      </c>
      <c r="BJ76" s="9">
        <v>0</v>
      </c>
      <c r="BK76" s="9">
        <v>0</v>
      </c>
      <c r="BL76" s="9">
        <v>0</v>
      </c>
      <c r="BM76" s="9">
        <v>0</v>
      </c>
      <c r="BN76" s="9">
        <v>0</v>
      </c>
      <c r="BO76" s="9">
        <v>0</v>
      </c>
    </row>
    <row r="77" spans="2:67">
      <c r="B77" t="s">
        <v>347</v>
      </c>
      <c r="C77" s="9">
        <v>-33.902712317289911</v>
      </c>
      <c r="D77" t="s">
        <v>26</v>
      </c>
      <c r="E77" s="9">
        <v>0</v>
      </c>
      <c r="F77" s="9">
        <v>0</v>
      </c>
      <c r="G77" s="9">
        <v>0</v>
      </c>
      <c r="H77" s="9">
        <v>0</v>
      </c>
      <c r="I77" s="9">
        <v>0</v>
      </c>
      <c r="J77" s="9">
        <v>0</v>
      </c>
      <c r="K77" s="9">
        <v>0</v>
      </c>
      <c r="L77" s="9">
        <v>0</v>
      </c>
      <c r="M77" s="9">
        <v>0</v>
      </c>
      <c r="N77" s="11">
        <v>0</v>
      </c>
      <c r="O77" s="9">
        <v>626.41430998743738</v>
      </c>
      <c r="P77" s="9">
        <v>109.96334022701159</v>
      </c>
      <c r="Q77" s="9">
        <v>159.54815644914677</v>
      </c>
      <c r="R77" s="9">
        <v>202.15276614427972</v>
      </c>
      <c r="S77" s="9">
        <v>431.73950251389778</v>
      </c>
      <c r="T77" s="9">
        <v>240.90002453093442</v>
      </c>
      <c r="U77" s="9">
        <v>251.408138797844</v>
      </c>
      <c r="V77" s="9">
        <v>248.85226178782275</v>
      </c>
      <c r="W77" s="9">
        <v>289.83022288644366</v>
      </c>
      <c r="X77" s="9">
        <v>390.6425127635498</v>
      </c>
      <c r="Y77" s="9">
        <v>481.27395323718935</v>
      </c>
      <c r="Z77" s="9">
        <v>559.26278033691744</v>
      </c>
      <c r="AA77" s="9">
        <v>645.10644032961375</v>
      </c>
      <c r="AB77" s="9">
        <v>645.10644032961375</v>
      </c>
      <c r="AC77" s="9">
        <v>638.381598793894</v>
      </c>
      <c r="AD77" s="9">
        <v>727.66880238714248</v>
      </c>
      <c r="AE77" s="9">
        <v>727.66880238714248</v>
      </c>
      <c r="AF77" s="9">
        <v>707.29068993673911</v>
      </c>
      <c r="AG77" s="9">
        <v>721.55536865202134</v>
      </c>
      <c r="AH77" s="9">
        <v>698.58744516838249</v>
      </c>
      <c r="AI77" s="9">
        <v>705.55773640025745</v>
      </c>
      <c r="AJ77" s="9">
        <v>957.12309266589511</v>
      </c>
      <c r="AK77" s="9">
        <v>1007.2115162951502</v>
      </c>
      <c r="AL77" s="9">
        <v>957.12309266589511</v>
      </c>
      <c r="AM77" s="9">
        <v>957.12309266589511</v>
      </c>
      <c r="AN77" s="9">
        <v>957.12309266589511</v>
      </c>
      <c r="AO77" s="9">
        <v>920.44249025516899</v>
      </c>
      <c r="AP77" s="9">
        <v>910.56791101001329</v>
      </c>
      <c r="AQ77" s="9">
        <v>670.43989961827253</v>
      </c>
      <c r="AR77" s="9">
        <v>480.92345382952078</v>
      </c>
      <c r="AS77" s="9">
        <v>334.20104418661612</v>
      </c>
      <c r="AT77" s="9">
        <v>171.17614458338878</v>
      </c>
      <c r="AU77" s="9">
        <v>171.17614458338878</v>
      </c>
      <c r="AV77" s="9">
        <v>132.45773092762224</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s="9">
        <v>0</v>
      </c>
      <c r="BN77" s="9">
        <v>0</v>
      </c>
      <c r="BO77" s="9">
        <v>0</v>
      </c>
    </row>
    <row r="78" spans="2:67">
      <c r="B78" t="s">
        <v>351</v>
      </c>
      <c r="C78" s="84">
        <v>-15560.004999999994</v>
      </c>
      <c r="D78" t="s">
        <v>27</v>
      </c>
      <c r="E78" s="9">
        <v>0</v>
      </c>
      <c r="F78" s="9">
        <v>0</v>
      </c>
      <c r="G78" s="9">
        <v>0</v>
      </c>
      <c r="H78" s="9">
        <v>0</v>
      </c>
      <c r="I78" s="9">
        <v>0</v>
      </c>
      <c r="J78" s="9">
        <v>0</v>
      </c>
      <c r="K78" s="9">
        <v>0</v>
      </c>
      <c r="L78" s="9">
        <v>0</v>
      </c>
      <c r="M78" s="9">
        <v>0</v>
      </c>
      <c r="N78" s="11">
        <v>0</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0</v>
      </c>
      <c r="BI78" s="9">
        <v>0</v>
      </c>
      <c r="BJ78" s="9">
        <v>0</v>
      </c>
      <c r="BK78" s="9">
        <v>0</v>
      </c>
      <c r="BL78" s="9">
        <v>0</v>
      </c>
      <c r="BM78" s="9">
        <v>0</v>
      </c>
      <c r="BN78" s="9">
        <v>0</v>
      </c>
      <c r="BO78" s="9">
        <v>0</v>
      </c>
    </row>
    <row r="79" spans="2:67">
      <c r="B79" t="s">
        <v>355</v>
      </c>
      <c r="C79" s="9">
        <v>-56485.995999999992</v>
      </c>
      <c r="D79" t="s">
        <v>28</v>
      </c>
      <c r="E79" s="9">
        <v>0</v>
      </c>
      <c r="F79" s="9">
        <v>0</v>
      </c>
      <c r="G79" s="9">
        <v>0</v>
      </c>
      <c r="H79" s="9">
        <v>0</v>
      </c>
      <c r="I79" s="9">
        <v>0</v>
      </c>
      <c r="J79" s="9">
        <v>0</v>
      </c>
      <c r="K79" s="9">
        <v>0</v>
      </c>
      <c r="L79" s="9">
        <v>0</v>
      </c>
      <c r="M79" s="9">
        <v>0</v>
      </c>
      <c r="N79" s="11">
        <v>0</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9">
        <v>0</v>
      </c>
      <c r="BK79" s="9">
        <v>0</v>
      </c>
      <c r="BL79" s="9">
        <v>0</v>
      </c>
      <c r="BM79" s="9">
        <v>0</v>
      </c>
      <c r="BN79" s="9">
        <v>0</v>
      </c>
      <c r="BO79" s="9">
        <v>0</v>
      </c>
    </row>
    <row r="80" spans="2:67">
      <c r="B80" t="s">
        <v>359</v>
      </c>
      <c r="D80" t="s">
        <v>29</v>
      </c>
      <c r="E80" s="9">
        <v>0</v>
      </c>
      <c r="F80" s="9">
        <v>0</v>
      </c>
      <c r="G80" s="9">
        <v>0</v>
      </c>
      <c r="H80" s="9">
        <v>0</v>
      </c>
      <c r="I80" s="9">
        <v>0</v>
      </c>
      <c r="J80" s="9">
        <v>0</v>
      </c>
      <c r="K80" s="9">
        <v>0</v>
      </c>
      <c r="L80" s="9">
        <v>0</v>
      </c>
      <c r="M80" s="9">
        <v>0</v>
      </c>
      <c r="N80" s="11">
        <v>0</v>
      </c>
      <c r="O80" s="9">
        <v>43.333041983357894</v>
      </c>
      <c r="P80" s="9">
        <v>56.694050156927325</v>
      </c>
      <c r="Q80" s="9">
        <v>59.08165616407517</v>
      </c>
      <c r="R80" s="9">
        <v>72.38062616959435</v>
      </c>
      <c r="S80" s="9">
        <v>138.43278433146972</v>
      </c>
      <c r="T80" s="9">
        <v>117.47367598672818</v>
      </c>
      <c r="U80" s="9">
        <v>118.73863579956533</v>
      </c>
      <c r="V80" s="9">
        <v>120.45732817448493</v>
      </c>
      <c r="W80" s="9">
        <v>115.10421443360178</v>
      </c>
      <c r="X80" s="9">
        <v>133.94413034383024</v>
      </c>
      <c r="Y80" s="9">
        <v>156.9314171032625</v>
      </c>
      <c r="Z80" s="9">
        <v>180.90815604867299</v>
      </c>
      <c r="AA80" s="9">
        <v>199.28051557427688</v>
      </c>
      <c r="AB80" s="9">
        <v>199.28051557427688</v>
      </c>
      <c r="AC80" s="9">
        <v>165.06408186259782</v>
      </c>
      <c r="AD80" s="9">
        <v>175.11599406178084</v>
      </c>
      <c r="AE80" s="9">
        <v>175.11599406178084</v>
      </c>
      <c r="AF80" s="9">
        <v>169.72741140074189</v>
      </c>
      <c r="AG80" s="9">
        <v>178.9557500624129</v>
      </c>
      <c r="AH80" s="9">
        <v>179.46423043482216</v>
      </c>
      <c r="AI80" s="9">
        <v>180.49825404791594</v>
      </c>
      <c r="AJ80" s="9">
        <v>222.4518631528058</v>
      </c>
      <c r="AK80" s="9">
        <v>238.04844397675998</v>
      </c>
      <c r="AL80" s="9">
        <v>225.44945768532958</v>
      </c>
      <c r="AM80" s="9">
        <v>225.44945768532958</v>
      </c>
      <c r="AN80" s="9">
        <v>222.89587402584303</v>
      </c>
      <c r="AO80" s="9">
        <v>230.65459923450342</v>
      </c>
      <c r="AP80" s="9">
        <v>227.12845192524182</v>
      </c>
      <c r="AQ80" s="9">
        <v>161.96286759126323</v>
      </c>
      <c r="AR80" s="9">
        <v>111.84904884360068</v>
      </c>
      <c r="AS80" s="9">
        <v>78.924496100939095</v>
      </c>
      <c r="AT80" s="9">
        <v>45.264094352727476</v>
      </c>
      <c r="AU80" s="9">
        <v>45.264094352727476</v>
      </c>
      <c r="AV80" s="9">
        <v>35.0257872967534</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row>
    <row r="81" spans="1:67">
      <c r="B81" t="s">
        <v>366</v>
      </c>
      <c r="D81" t="s">
        <v>2655</v>
      </c>
      <c r="E81" s="9">
        <v>0</v>
      </c>
      <c r="F81" s="9">
        <v>0</v>
      </c>
      <c r="G81" s="9">
        <v>0</v>
      </c>
      <c r="H81" s="9">
        <v>0</v>
      </c>
      <c r="I81" s="9">
        <v>0</v>
      </c>
      <c r="J81" s="9">
        <v>0</v>
      </c>
      <c r="K81" s="9">
        <v>0</v>
      </c>
      <c r="L81" s="9">
        <v>0</v>
      </c>
      <c r="M81" s="9">
        <v>0</v>
      </c>
      <c r="N81" s="11">
        <v>0</v>
      </c>
      <c r="O81" s="9">
        <v>0</v>
      </c>
      <c r="P81" s="9">
        <v>0</v>
      </c>
      <c r="Q81" s="9">
        <v>0</v>
      </c>
      <c r="R81" s="9">
        <v>0</v>
      </c>
      <c r="S81" s="9">
        <v>0</v>
      </c>
      <c r="T81" s="9">
        <v>0</v>
      </c>
      <c r="U81" s="9">
        <v>0</v>
      </c>
      <c r="V81" s="9">
        <v>0</v>
      </c>
      <c r="W81" s="9">
        <v>19592.357142857141</v>
      </c>
      <c r="X81" s="9">
        <v>19592.357142857141</v>
      </c>
      <c r="Y81" s="9">
        <v>19592.357142857141</v>
      </c>
      <c r="Z81" s="9">
        <v>19592.357142857141</v>
      </c>
      <c r="AA81" s="9">
        <v>19592.357142857141</v>
      </c>
      <c r="AB81" s="9">
        <v>19592.357142857141</v>
      </c>
      <c r="AC81" s="9">
        <v>19592.357142857141</v>
      </c>
      <c r="AD81" s="9">
        <v>0</v>
      </c>
      <c r="AE81" s="9">
        <v>0</v>
      </c>
      <c r="AF81" s="9">
        <v>0</v>
      </c>
      <c r="AG81" s="9">
        <v>0</v>
      </c>
      <c r="AH81" s="9">
        <v>19592.357142857141</v>
      </c>
      <c r="AI81" s="9">
        <v>19592.357142857141</v>
      </c>
      <c r="AJ81" s="9">
        <v>19592.357142857141</v>
      </c>
      <c r="AK81" s="9">
        <v>19592.357142857141</v>
      </c>
      <c r="AL81" s="9">
        <v>19592.357142857141</v>
      </c>
      <c r="AM81" s="9">
        <v>19592.357142857141</v>
      </c>
      <c r="AN81" s="9">
        <v>19592.357142857141</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row>
    <row r="82" spans="1:67">
      <c r="B82" t="s">
        <v>370</v>
      </c>
      <c r="D82" t="s">
        <v>2656</v>
      </c>
      <c r="E82" s="9">
        <v>0</v>
      </c>
      <c r="F82" s="9">
        <v>0</v>
      </c>
      <c r="G82" s="9">
        <v>0</v>
      </c>
      <c r="H82" s="9">
        <v>0</v>
      </c>
      <c r="I82" s="9">
        <v>0</v>
      </c>
      <c r="J82" s="9">
        <v>0</v>
      </c>
      <c r="K82" s="9">
        <v>0</v>
      </c>
      <c r="L82" s="9">
        <v>0</v>
      </c>
      <c r="M82" s="9">
        <v>0</v>
      </c>
      <c r="N82" s="11">
        <v>0</v>
      </c>
      <c r="O82" s="9">
        <v>0</v>
      </c>
      <c r="P82" s="9">
        <v>0</v>
      </c>
      <c r="Q82" s="9">
        <v>0</v>
      </c>
      <c r="R82" s="9">
        <v>0</v>
      </c>
      <c r="S82" s="9">
        <v>0</v>
      </c>
      <c r="T82" s="9">
        <v>0</v>
      </c>
      <c r="U82" s="9">
        <v>0</v>
      </c>
      <c r="V82" s="9">
        <v>0</v>
      </c>
      <c r="W82" s="9">
        <v>0</v>
      </c>
      <c r="X82" s="9">
        <v>796.22928571428565</v>
      </c>
      <c r="Y82" s="9">
        <v>796.22928571428565</v>
      </c>
      <c r="Z82" s="9">
        <v>796.22928571428565</v>
      </c>
      <c r="AA82" s="9">
        <v>796.22928571428565</v>
      </c>
      <c r="AB82" s="9">
        <v>796.22928571428565</v>
      </c>
      <c r="AC82" s="9">
        <v>796.22928571428565</v>
      </c>
      <c r="AD82" s="9">
        <v>796.22928571428565</v>
      </c>
      <c r="AE82" s="9">
        <v>0</v>
      </c>
      <c r="AF82" s="9">
        <v>0</v>
      </c>
      <c r="AG82" s="9">
        <v>0</v>
      </c>
      <c r="AH82" s="9">
        <v>796.22928571428565</v>
      </c>
      <c r="AI82" s="9">
        <v>796.22928571428565</v>
      </c>
      <c r="AJ82" s="9">
        <v>796.22928571428565</v>
      </c>
      <c r="AK82" s="9">
        <v>796.22928571428565</v>
      </c>
      <c r="AL82" s="9">
        <v>796.22928571428565</v>
      </c>
      <c r="AM82" s="9">
        <v>796.22928571428565</v>
      </c>
      <c r="AN82" s="9">
        <v>796.22928571428565</v>
      </c>
      <c r="AO82" s="9">
        <v>0</v>
      </c>
      <c r="AP82" s="9">
        <v>0</v>
      </c>
      <c r="AQ82" s="9">
        <v>0</v>
      </c>
      <c r="AR82" s="9">
        <v>0</v>
      </c>
      <c r="AS82" s="9">
        <v>0</v>
      </c>
      <c r="AT82" s="9">
        <v>0</v>
      </c>
      <c r="AU82" s="9">
        <v>0</v>
      </c>
      <c r="AV82" s="9">
        <v>0</v>
      </c>
      <c r="AW82" s="9">
        <v>0</v>
      </c>
      <c r="AX82" s="9">
        <v>0</v>
      </c>
      <c r="AY82" s="9">
        <v>0</v>
      </c>
      <c r="AZ82" s="9">
        <v>0</v>
      </c>
      <c r="BA82" s="9">
        <v>0</v>
      </c>
      <c r="BB82" s="9">
        <v>0</v>
      </c>
      <c r="BC82" s="9">
        <v>0</v>
      </c>
      <c r="BD82" s="9">
        <v>0</v>
      </c>
      <c r="BE82" s="9">
        <v>0</v>
      </c>
      <c r="BF82" s="9">
        <v>0</v>
      </c>
      <c r="BG82" s="9">
        <v>0</v>
      </c>
      <c r="BH82" s="9">
        <v>0</v>
      </c>
      <c r="BI82" s="9">
        <v>0</v>
      </c>
      <c r="BJ82" s="9">
        <v>0</v>
      </c>
      <c r="BK82" s="9">
        <v>0</v>
      </c>
      <c r="BL82" s="9">
        <v>0</v>
      </c>
      <c r="BM82" s="9">
        <v>0</v>
      </c>
      <c r="BN82" s="9">
        <v>0</v>
      </c>
      <c r="BO82" s="9">
        <v>0</v>
      </c>
    </row>
    <row r="83" spans="1:67">
      <c r="B83" t="s">
        <v>374</v>
      </c>
      <c r="D83" t="s">
        <v>2657</v>
      </c>
      <c r="E83" s="9">
        <v>0</v>
      </c>
      <c r="F83" s="9">
        <v>0</v>
      </c>
      <c r="G83" s="9">
        <v>0</v>
      </c>
      <c r="H83" s="9">
        <v>0</v>
      </c>
      <c r="I83" s="9">
        <v>0</v>
      </c>
      <c r="J83" s="9">
        <v>0</v>
      </c>
      <c r="K83" s="9">
        <v>0</v>
      </c>
      <c r="L83" s="9">
        <v>0</v>
      </c>
      <c r="M83" s="9">
        <v>0</v>
      </c>
      <c r="N83" s="11">
        <v>0</v>
      </c>
      <c r="O83" s="9">
        <v>0</v>
      </c>
      <c r="P83" s="9">
        <v>0</v>
      </c>
      <c r="Q83" s="9">
        <v>0</v>
      </c>
      <c r="R83" s="9">
        <v>0</v>
      </c>
      <c r="S83" s="9">
        <v>0</v>
      </c>
      <c r="T83" s="9">
        <v>0</v>
      </c>
      <c r="U83" s="9">
        <v>0</v>
      </c>
      <c r="V83" s="9">
        <v>0</v>
      </c>
      <c r="W83" s="9">
        <v>0</v>
      </c>
      <c r="X83" s="9">
        <v>875.49428571428575</v>
      </c>
      <c r="Y83" s="9">
        <v>875.49428571428575</v>
      </c>
      <c r="Z83" s="9">
        <v>875.49428571428575</v>
      </c>
      <c r="AA83" s="9">
        <v>875.49428571428575</v>
      </c>
      <c r="AB83" s="9">
        <v>875.49428571428575</v>
      </c>
      <c r="AC83" s="9">
        <v>875.49428571428575</v>
      </c>
      <c r="AD83" s="9">
        <v>875.49428571428575</v>
      </c>
      <c r="AE83" s="9">
        <v>0</v>
      </c>
      <c r="AF83" s="9">
        <v>0</v>
      </c>
      <c r="AG83" s="9">
        <v>0</v>
      </c>
      <c r="AH83" s="9">
        <v>875.49428571428575</v>
      </c>
      <c r="AI83" s="9">
        <v>875.49428571428575</v>
      </c>
      <c r="AJ83" s="9">
        <v>875.49428571428575</v>
      </c>
      <c r="AK83" s="9">
        <v>875.49428571428575</v>
      </c>
      <c r="AL83" s="9">
        <v>875.49428571428575</v>
      </c>
      <c r="AM83" s="9">
        <v>875.49428571428575</v>
      </c>
      <c r="AN83" s="9">
        <v>875.49428571428575</v>
      </c>
      <c r="AO83" s="9">
        <v>0</v>
      </c>
      <c r="AP83" s="9">
        <v>0</v>
      </c>
      <c r="AQ83" s="9">
        <v>0</v>
      </c>
      <c r="AR83" s="9">
        <v>0</v>
      </c>
      <c r="AS83" s="9">
        <v>0</v>
      </c>
      <c r="AT83" s="9">
        <v>0</v>
      </c>
      <c r="AU83" s="9">
        <v>0</v>
      </c>
      <c r="AV83" s="9">
        <v>0</v>
      </c>
      <c r="AW83" s="9">
        <v>0</v>
      </c>
      <c r="AX83" s="9">
        <v>0</v>
      </c>
      <c r="AY83" s="9">
        <v>0</v>
      </c>
      <c r="AZ83" s="9">
        <v>0</v>
      </c>
      <c r="BA83" s="9">
        <v>0</v>
      </c>
      <c r="BB83" s="9">
        <v>0</v>
      </c>
      <c r="BC83" s="9">
        <v>0</v>
      </c>
      <c r="BD83" s="9">
        <v>0</v>
      </c>
      <c r="BE83" s="9">
        <v>0</v>
      </c>
      <c r="BF83" s="9">
        <v>0</v>
      </c>
      <c r="BG83" s="9">
        <v>0</v>
      </c>
      <c r="BH83" s="9">
        <v>0</v>
      </c>
      <c r="BI83" s="9">
        <v>0</v>
      </c>
      <c r="BJ83" s="9">
        <v>0</v>
      </c>
      <c r="BK83" s="9">
        <v>0</v>
      </c>
      <c r="BL83" s="9">
        <v>0</v>
      </c>
      <c r="BM83" s="9">
        <v>0</v>
      </c>
      <c r="BN83" s="9">
        <v>0</v>
      </c>
      <c r="BO83" s="9">
        <v>0</v>
      </c>
    </row>
    <row r="84" spans="1:67">
      <c r="B84" t="s">
        <v>378</v>
      </c>
      <c r="D84" t="s">
        <v>2658</v>
      </c>
      <c r="E84" s="9">
        <v>0</v>
      </c>
      <c r="F84" s="9">
        <v>0</v>
      </c>
      <c r="G84" s="9">
        <v>0</v>
      </c>
      <c r="H84" s="9">
        <v>0</v>
      </c>
      <c r="I84" s="9">
        <v>0</v>
      </c>
      <c r="J84" s="9">
        <v>0</v>
      </c>
      <c r="K84" s="9">
        <v>0</v>
      </c>
      <c r="L84" s="9">
        <v>0</v>
      </c>
      <c r="M84" s="9">
        <v>0</v>
      </c>
      <c r="N84" s="11">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c r="AJ84" s="9">
        <v>1616.5766666666666</v>
      </c>
      <c r="AK84" s="9">
        <v>1616.5766666666666</v>
      </c>
      <c r="AL84" s="9">
        <v>1616.5766666666666</v>
      </c>
      <c r="AM84" s="9">
        <v>1616.5766666666666</v>
      </c>
      <c r="AN84" s="9">
        <v>1616.5766666666666</v>
      </c>
      <c r="AO84" s="9">
        <v>1616.5766666666666</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row>
    <row r="85" spans="1:67">
      <c r="B85" t="s">
        <v>382</v>
      </c>
      <c r="D85" t="s">
        <v>2659</v>
      </c>
      <c r="E85" s="9">
        <v>0</v>
      </c>
      <c r="F85" s="9">
        <v>0</v>
      </c>
      <c r="G85" s="9">
        <v>0</v>
      </c>
      <c r="H85" s="9">
        <v>0</v>
      </c>
      <c r="I85" s="9">
        <v>0</v>
      </c>
      <c r="J85" s="9">
        <v>0</v>
      </c>
      <c r="K85" s="9">
        <v>0</v>
      </c>
      <c r="L85" s="9">
        <v>0</v>
      </c>
      <c r="M85" s="9">
        <v>0</v>
      </c>
      <c r="N85" s="11">
        <v>0</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c r="AI85" s="9">
        <v>0</v>
      </c>
      <c r="AJ85" s="9">
        <v>0</v>
      </c>
      <c r="AK85" s="9">
        <v>24.683333333333334</v>
      </c>
      <c r="AL85" s="9">
        <v>24.683333333333334</v>
      </c>
      <c r="AM85" s="9">
        <v>24.683333333333334</v>
      </c>
      <c r="AN85" s="9">
        <v>24.683333333333334</v>
      </c>
      <c r="AO85" s="9">
        <v>24.683333333333334</v>
      </c>
      <c r="AP85" s="9">
        <v>24.683333333333334</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s="9">
        <v>0</v>
      </c>
      <c r="BI85" s="9">
        <v>0</v>
      </c>
      <c r="BJ85" s="9">
        <v>0</v>
      </c>
      <c r="BK85" s="9">
        <v>0</v>
      </c>
      <c r="BL85" s="9">
        <v>0</v>
      </c>
      <c r="BM85" s="9">
        <v>0</v>
      </c>
      <c r="BN85" s="9">
        <v>0</v>
      </c>
      <c r="BO85" s="9">
        <v>0</v>
      </c>
    </row>
    <row r="86" spans="1:67">
      <c r="B86" t="s">
        <v>390</v>
      </c>
      <c r="D86" t="s">
        <v>2661</v>
      </c>
      <c r="E86" s="9">
        <v>0</v>
      </c>
      <c r="F86" s="9">
        <v>0</v>
      </c>
      <c r="G86" s="9">
        <v>0</v>
      </c>
      <c r="H86" s="9">
        <v>0</v>
      </c>
      <c r="I86" s="9">
        <v>0</v>
      </c>
      <c r="J86" s="9">
        <v>0</v>
      </c>
      <c r="K86" s="9">
        <v>0</v>
      </c>
      <c r="L86" s="9">
        <v>0</v>
      </c>
      <c r="M86" s="9">
        <v>0</v>
      </c>
      <c r="N86" s="11">
        <v>0</v>
      </c>
      <c r="O86" s="9">
        <v>0</v>
      </c>
      <c r="P86" s="9">
        <v>0</v>
      </c>
      <c r="Q86" s="9">
        <v>0</v>
      </c>
      <c r="R86" s="9">
        <v>0</v>
      </c>
      <c r="S86" s="9">
        <v>0</v>
      </c>
      <c r="T86" s="9">
        <v>0.10000000000000002</v>
      </c>
      <c r="U86" s="9">
        <v>0.10000000000000002</v>
      </c>
      <c r="V86" s="9">
        <v>0.10000000000000002</v>
      </c>
      <c r="W86" s="9">
        <v>0.10000000000000002</v>
      </c>
      <c r="X86" s="9">
        <v>0.10000000000000002</v>
      </c>
      <c r="Y86" s="9">
        <v>0.10000000000000002</v>
      </c>
      <c r="Z86" s="9">
        <v>0.10000000000000002</v>
      </c>
      <c r="AA86" s="9">
        <v>0.10000000000000002</v>
      </c>
      <c r="AB86" s="9">
        <v>0.10000000000000002</v>
      </c>
      <c r="AC86" s="9">
        <v>0.10000000000000002</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c r="AU86" s="9">
        <v>0</v>
      </c>
      <c r="AV86" s="9">
        <v>0</v>
      </c>
      <c r="AW86" s="9">
        <v>0</v>
      </c>
      <c r="AX86" s="9">
        <v>0</v>
      </c>
      <c r="AY86" s="9">
        <v>0</v>
      </c>
      <c r="AZ86" s="9">
        <v>0</v>
      </c>
      <c r="BA86" s="9">
        <v>0</v>
      </c>
      <c r="BB86" s="9">
        <v>0</v>
      </c>
      <c r="BC86" s="9">
        <v>0</v>
      </c>
      <c r="BD86" s="9">
        <v>0</v>
      </c>
      <c r="BE86" s="9">
        <v>0</v>
      </c>
      <c r="BF86" s="9">
        <v>0</v>
      </c>
      <c r="BG86" s="9">
        <v>0</v>
      </c>
      <c r="BH86" s="9">
        <v>0</v>
      </c>
      <c r="BI86" s="9">
        <v>0</v>
      </c>
      <c r="BJ86" s="9">
        <v>0</v>
      </c>
      <c r="BK86" s="9">
        <v>0</v>
      </c>
      <c r="BL86" s="9">
        <v>0</v>
      </c>
      <c r="BM86" s="9">
        <v>0</v>
      </c>
      <c r="BN86" s="9">
        <v>0</v>
      </c>
      <c r="BO86" s="9">
        <v>0</v>
      </c>
    </row>
    <row r="87" spans="1:67">
      <c r="B87" t="s">
        <v>399</v>
      </c>
      <c r="D87" t="s">
        <v>2665</v>
      </c>
      <c r="E87" s="9">
        <v>0</v>
      </c>
      <c r="F87" s="9">
        <v>0</v>
      </c>
      <c r="G87" s="9">
        <v>0</v>
      </c>
      <c r="H87" s="9">
        <v>0</v>
      </c>
      <c r="I87" s="9">
        <v>0</v>
      </c>
      <c r="J87" s="9">
        <v>0</v>
      </c>
      <c r="K87" s="9">
        <v>0</v>
      </c>
      <c r="L87" s="9">
        <v>0</v>
      </c>
      <c r="M87" s="9">
        <v>0</v>
      </c>
      <c r="N87" s="11">
        <v>0</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c r="AI87" s="9">
        <v>0</v>
      </c>
      <c r="AJ87" s="9">
        <v>0</v>
      </c>
      <c r="AK87" s="9">
        <v>0</v>
      </c>
      <c r="AL87" s="9">
        <v>0</v>
      </c>
      <c r="AM87" s="9">
        <v>0</v>
      </c>
      <c r="AN87" s="9">
        <v>0</v>
      </c>
      <c r="AO87" s="9">
        <v>0</v>
      </c>
      <c r="AP87" s="9">
        <v>0</v>
      </c>
      <c r="AQ87" s="9">
        <v>1</v>
      </c>
      <c r="AR87" s="9">
        <v>0</v>
      </c>
      <c r="AS87" s="9">
        <v>0</v>
      </c>
      <c r="AT87" s="9">
        <v>0</v>
      </c>
      <c r="AU87" s="9">
        <v>0</v>
      </c>
      <c r="AV87" s="9">
        <v>0</v>
      </c>
      <c r="AW87" s="9">
        <v>0</v>
      </c>
      <c r="AX87" s="9">
        <v>0</v>
      </c>
      <c r="AY87" s="9">
        <v>0</v>
      </c>
      <c r="AZ87" s="9">
        <v>0</v>
      </c>
      <c r="BA87" s="9">
        <v>0</v>
      </c>
      <c r="BB87" s="9">
        <v>0</v>
      </c>
      <c r="BC87" s="9">
        <v>0</v>
      </c>
      <c r="BD87" s="9">
        <v>0</v>
      </c>
      <c r="BE87" s="9">
        <v>0</v>
      </c>
      <c r="BF87" s="9">
        <v>0</v>
      </c>
      <c r="BG87" s="9">
        <v>0</v>
      </c>
      <c r="BH87" s="9">
        <v>0</v>
      </c>
      <c r="BI87" s="9">
        <v>0</v>
      </c>
      <c r="BJ87" s="9">
        <v>0</v>
      </c>
      <c r="BK87" s="9">
        <v>0</v>
      </c>
      <c r="BL87" s="9">
        <v>0</v>
      </c>
      <c r="BM87" s="9">
        <v>0</v>
      </c>
      <c r="BN87" s="9">
        <v>0</v>
      </c>
      <c r="BO87" s="9">
        <v>0</v>
      </c>
    </row>
    <row r="88" spans="1:67" ht="15" thickBot="1">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row>
    <row r="89" spans="1:67" ht="15" thickBot="1">
      <c r="B89" s="89" t="s">
        <v>5191</v>
      </c>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row>
    <row r="90" spans="1:67">
      <c r="A90" s="84">
        <v>0</v>
      </c>
      <c r="B90">
        <v>39023825.254000001</v>
      </c>
      <c r="C90" s="9">
        <v>39023825.254000001</v>
      </c>
      <c r="D90" t="s">
        <v>2</v>
      </c>
      <c r="E90" s="9">
        <v>0</v>
      </c>
      <c r="F90" s="9">
        <v>120974.3291025712</v>
      </c>
      <c r="G90" s="9">
        <v>1821919.9053489452</v>
      </c>
      <c r="H90" s="9">
        <v>817394.88254848321</v>
      </c>
      <c r="I90" s="9">
        <v>775705.79</v>
      </c>
      <c r="J90" s="9">
        <v>1176977.94</v>
      </c>
      <c r="K90" s="9">
        <v>1066585.3280000002</v>
      </c>
      <c r="L90" s="9">
        <v>1193482.6519999998</v>
      </c>
      <c r="M90" s="9">
        <v>967918.98500000034</v>
      </c>
      <c r="N90" s="9">
        <v>1268945.1459999997</v>
      </c>
      <c r="O90" s="9">
        <v>683459.71542932733</v>
      </c>
      <c r="P90" s="9">
        <v>943353.88077141228</v>
      </c>
      <c r="Q90" s="9">
        <v>903181.39715445007</v>
      </c>
      <c r="R90" s="9">
        <v>635794.3475668428</v>
      </c>
      <c r="S90" s="9">
        <v>554720.44413825555</v>
      </c>
      <c r="T90" s="9">
        <v>945791.03107881965</v>
      </c>
      <c r="U90" s="9">
        <v>1075303.6036584557</v>
      </c>
      <c r="V90" s="9">
        <v>1305397.0994484252</v>
      </c>
      <c r="W90" s="9">
        <v>1305397.099448425</v>
      </c>
      <c r="X90" s="9">
        <v>1302329.1861712253</v>
      </c>
      <c r="Y90" s="9">
        <v>1348347.8853292195</v>
      </c>
      <c r="Z90" s="9">
        <v>1348347.8853292195</v>
      </c>
      <c r="AA90" s="9">
        <v>1348347.8853292195</v>
      </c>
      <c r="AB90" s="9">
        <v>1348347.8853292195</v>
      </c>
      <c r="AC90" s="9">
        <v>1348347.8853292195</v>
      </c>
      <c r="AD90" s="9">
        <v>980198.2920652685</v>
      </c>
      <c r="AE90" s="9">
        <v>796123.49543329317</v>
      </c>
      <c r="AF90" s="9">
        <v>796123.49543329317</v>
      </c>
      <c r="AG90" s="9">
        <v>980198.2920652685</v>
      </c>
      <c r="AH90" s="9">
        <v>1164273.0886972437</v>
      </c>
      <c r="AI90" s="9">
        <v>1256310.4870132315</v>
      </c>
      <c r="AJ90" s="9">
        <v>1256310.4870132315</v>
      </c>
      <c r="AK90" s="9">
        <v>1256310.4870132315</v>
      </c>
      <c r="AL90" s="9">
        <v>1256310.4870132315</v>
      </c>
      <c r="AM90" s="9">
        <v>1210291.7878552377</v>
      </c>
      <c r="AN90" s="9">
        <v>1181080.9583777096</v>
      </c>
      <c r="AO90" s="9">
        <v>427973.90216934256</v>
      </c>
      <c r="AP90" s="9">
        <v>427973.90216934256</v>
      </c>
      <c r="AQ90" s="9">
        <v>427973.90216934256</v>
      </c>
      <c r="AR90" s="9">
        <v>0</v>
      </c>
      <c r="AS90" s="9">
        <v>0</v>
      </c>
      <c r="AT90" s="9">
        <v>0</v>
      </c>
      <c r="AU90" s="9">
        <v>0</v>
      </c>
      <c r="AV90" s="9">
        <v>0</v>
      </c>
      <c r="AW90" s="9">
        <v>0</v>
      </c>
      <c r="AX90" s="9">
        <v>0</v>
      </c>
      <c r="AY90" s="9">
        <v>0</v>
      </c>
      <c r="AZ90" s="9">
        <v>0</v>
      </c>
      <c r="BA90" s="9">
        <v>0</v>
      </c>
      <c r="BB90" s="9">
        <v>0</v>
      </c>
      <c r="BC90" s="9">
        <v>0</v>
      </c>
      <c r="BD90" s="9">
        <v>0</v>
      </c>
      <c r="BE90" s="9">
        <v>0</v>
      </c>
      <c r="BF90" s="9">
        <v>0</v>
      </c>
      <c r="BG90" s="9">
        <v>0</v>
      </c>
      <c r="BH90" s="9">
        <v>0</v>
      </c>
      <c r="BI90" s="9">
        <v>0</v>
      </c>
      <c r="BJ90" s="9">
        <v>0</v>
      </c>
      <c r="BK90" s="9">
        <v>0</v>
      </c>
      <c r="BL90" s="9">
        <v>0</v>
      </c>
      <c r="BM90" s="9">
        <v>0</v>
      </c>
      <c r="BN90" s="9">
        <v>0</v>
      </c>
      <c r="BO90" s="9">
        <v>0</v>
      </c>
    </row>
    <row r="91" spans="1:67">
      <c r="A91" s="84">
        <v>0</v>
      </c>
      <c r="B91">
        <v>185141.09500000006</v>
      </c>
      <c r="C91" s="9">
        <v>185141.09500000003</v>
      </c>
      <c r="D91" t="s">
        <v>5</v>
      </c>
      <c r="E91" s="9">
        <v>0</v>
      </c>
      <c r="F91" s="9">
        <v>0</v>
      </c>
      <c r="G91" s="9">
        <v>891.54</v>
      </c>
      <c r="H91" s="9">
        <v>1631.98</v>
      </c>
      <c r="I91" s="9">
        <v>2506.3146062938099</v>
      </c>
      <c r="J91" s="9">
        <v>2950.4280462416073</v>
      </c>
      <c r="K91" s="9">
        <v>3356.6713474645835</v>
      </c>
      <c r="L91" s="9">
        <v>1.7002108499023054E-2</v>
      </c>
      <c r="M91" s="9">
        <v>2729.7690000000002</v>
      </c>
      <c r="N91" s="9">
        <v>33.423000000000002</v>
      </c>
      <c r="O91" s="9">
        <v>1707.5059566295797</v>
      </c>
      <c r="P91" s="9">
        <v>4013.4317692045643</v>
      </c>
      <c r="Q91" s="9">
        <v>2739.6046713274527</v>
      </c>
      <c r="R91" s="9">
        <v>4268.8697343083604</v>
      </c>
      <c r="S91" s="9">
        <v>2995.0426364312498</v>
      </c>
      <c r="T91" s="9">
        <v>3828.6237352261523</v>
      </c>
      <c r="U91" s="9">
        <v>8250.5619217397962</v>
      </c>
      <c r="V91" s="9">
        <v>7287.5284593788465</v>
      </c>
      <c r="W91" s="9">
        <v>6255.4297446809751</v>
      </c>
      <c r="X91" s="9">
        <v>7032.0904942750503</v>
      </c>
      <c r="Y91" s="9">
        <v>7032.0904942750503</v>
      </c>
      <c r="Z91" s="9">
        <v>5999.9917795771771</v>
      </c>
      <c r="AA91" s="9">
        <v>5999.9917795771771</v>
      </c>
      <c r="AB91" s="9">
        <v>5661.9953345516442</v>
      </c>
      <c r="AC91" s="9">
        <v>5661.9953345516442</v>
      </c>
      <c r="AD91" s="9">
        <v>5349.1646620985784</v>
      </c>
      <c r="AE91" s="9">
        <v>4075.3375642214655</v>
      </c>
      <c r="AF91" s="9">
        <v>4241.632044583188</v>
      </c>
      <c r="AG91" s="9">
        <v>7821.3849550352852</v>
      </c>
      <c r="AH91" s="9">
        <v>8853.4836697331575</v>
      </c>
      <c r="AI91" s="9">
        <v>8853.4836697331575</v>
      </c>
      <c r="AJ91" s="9">
        <v>8853.4836697331575</v>
      </c>
      <c r="AK91" s="9">
        <v>7821.3849550352852</v>
      </c>
      <c r="AL91" s="9">
        <v>6789.2862403374129</v>
      </c>
      <c r="AM91" s="9">
        <v>6789.2862403374129</v>
      </c>
      <c r="AN91" s="9">
        <v>5095.3083915084471</v>
      </c>
      <c r="AO91" s="9">
        <v>6333.8268491458948</v>
      </c>
      <c r="AP91" s="9">
        <v>6333.8268491458948</v>
      </c>
      <c r="AQ91" s="9">
        <v>5095.3083915084471</v>
      </c>
      <c r="AR91" s="9">
        <v>0</v>
      </c>
      <c r="AS91" s="9">
        <v>0</v>
      </c>
      <c r="AT91" s="9">
        <v>0</v>
      </c>
      <c r="AU91" s="9">
        <v>0</v>
      </c>
      <c r="AV91" s="9">
        <v>0</v>
      </c>
      <c r="AW91" s="9">
        <v>0</v>
      </c>
      <c r="AX91" s="9">
        <v>0</v>
      </c>
      <c r="AY91" s="9">
        <v>0</v>
      </c>
      <c r="AZ91" s="9">
        <v>0</v>
      </c>
      <c r="BA91" s="9">
        <v>0</v>
      </c>
      <c r="BB91" s="9">
        <v>0</v>
      </c>
      <c r="BC91" s="9">
        <v>0</v>
      </c>
      <c r="BD91" s="9">
        <v>0</v>
      </c>
      <c r="BE91" s="9">
        <v>0</v>
      </c>
      <c r="BF91" s="9">
        <v>0</v>
      </c>
      <c r="BG91" s="9">
        <v>0</v>
      </c>
      <c r="BH91" s="9">
        <v>0</v>
      </c>
      <c r="BI91" s="9">
        <v>0</v>
      </c>
      <c r="BJ91" s="9">
        <v>0</v>
      </c>
      <c r="BK91" s="9">
        <v>0</v>
      </c>
      <c r="BL91" s="9">
        <v>0</v>
      </c>
      <c r="BM91" s="9">
        <v>0</v>
      </c>
      <c r="BN91" s="9">
        <v>0</v>
      </c>
      <c r="BO91" s="9">
        <v>0</v>
      </c>
    </row>
    <row r="92" spans="1:67">
      <c r="A92" s="84">
        <v>0</v>
      </c>
      <c r="B92">
        <v>16063.234027685952</v>
      </c>
      <c r="C92" s="9">
        <v>16063.234027685952</v>
      </c>
      <c r="D92" t="s">
        <v>6</v>
      </c>
      <c r="E92" s="9">
        <v>0</v>
      </c>
      <c r="F92" s="9">
        <v>0</v>
      </c>
      <c r="G92" s="9">
        <v>0</v>
      </c>
      <c r="H92" s="9">
        <v>0</v>
      </c>
      <c r="I92" s="9">
        <v>80.261431251402939</v>
      </c>
      <c r="J92" s="9">
        <v>94.483580473484935</v>
      </c>
      <c r="K92" s="9">
        <v>107.49298827511211</v>
      </c>
      <c r="L92" s="9">
        <v>0.8800000000000523</v>
      </c>
      <c r="M92" s="9">
        <v>68.738999999999976</v>
      </c>
      <c r="N92" s="9">
        <v>1.4309999999999832</v>
      </c>
      <c r="O92" s="9">
        <v>175.24559851085823</v>
      </c>
      <c r="P92" s="9">
        <v>228.02736428794049</v>
      </c>
      <c r="Q92" s="9">
        <v>416.65668311192292</v>
      </c>
      <c r="R92" s="9">
        <v>481.42074148732866</v>
      </c>
      <c r="S92" s="9">
        <v>442.87291908065151</v>
      </c>
      <c r="T92" s="9">
        <v>620.34184123930572</v>
      </c>
      <c r="U92" s="9">
        <v>924.40227145242386</v>
      </c>
      <c r="V92" s="9">
        <v>598.38660210877572</v>
      </c>
      <c r="W92" s="9">
        <v>584.15265873837086</v>
      </c>
      <c r="X92" s="9">
        <v>789.22586666215</v>
      </c>
      <c r="Y92" s="9">
        <v>1013.8973496587123</v>
      </c>
      <c r="Z92" s="9">
        <v>999.66340628830721</v>
      </c>
      <c r="AA92" s="9">
        <v>999.66340628830721</v>
      </c>
      <c r="AB92" s="9">
        <v>879.36875569728568</v>
      </c>
      <c r="AC92" s="9">
        <v>660.88525846122161</v>
      </c>
      <c r="AD92" s="9">
        <v>497.40296799230401</v>
      </c>
      <c r="AE92" s="9">
        <v>439.81518939947716</v>
      </c>
      <c r="AF92" s="9">
        <v>456.77058149363847</v>
      </c>
      <c r="AG92" s="9">
        <v>548.10016967739807</v>
      </c>
      <c r="AH92" s="9">
        <v>562.33411304780304</v>
      </c>
      <c r="AI92" s="9">
        <v>562.33411304780304</v>
      </c>
      <c r="AJ92" s="9">
        <v>562.33411304780304</v>
      </c>
      <c r="AK92" s="9">
        <v>548.10016967739807</v>
      </c>
      <c r="AL92" s="9">
        <v>533.86622630699298</v>
      </c>
      <c r="AM92" s="9">
        <v>533.86622630699298</v>
      </c>
      <c r="AN92" s="9">
        <v>154.19128962670914</v>
      </c>
      <c r="AO92" s="9">
        <v>171.21442768067899</v>
      </c>
      <c r="AP92" s="9">
        <v>171.21442768067899</v>
      </c>
      <c r="AQ92" s="9">
        <v>154.19128962670914</v>
      </c>
      <c r="AR92" s="9">
        <v>0</v>
      </c>
      <c r="AS92" s="9">
        <v>0</v>
      </c>
      <c r="AT92" s="9">
        <v>0</v>
      </c>
      <c r="AU92" s="9">
        <v>0</v>
      </c>
      <c r="AV92" s="9">
        <v>0</v>
      </c>
      <c r="AW92" s="9">
        <v>0</v>
      </c>
      <c r="AX92" s="9">
        <v>0</v>
      </c>
      <c r="AY92" s="9">
        <v>0</v>
      </c>
      <c r="AZ92" s="9">
        <v>0</v>
      </c>
      <c r="BA92" s="9">
        <v>0</v>
      </c>
      <c r="BB92" s="9">
        <v>0</v>
      </c>
      <c r="BC92" s="9">
        <v>0</v>
      </c>
      <c r="BD92" s="9">
        <v>0</v>
      </c>
      <c r="BE92" s="9">
        <v>0</v>
      </c>
      <c r="BF92" s="9">
        <v>0</v>
      </c>
      <c r="BG92" s="9">
        <v>0</v>
      </c>
      <c r="BH92" s="9">
        <v>0</v>
      </c>
      <c r="BI92" s="9">
        <v>0</v>
      </c>
      <c r="BJ92" s="9">
        <v>0</v>
      </c>
      <c r="BK92" s="9">
        <v>0</v>
      </c>
      <c r="BL92" s="9">
        <v>0</v>
      </c>
      <c r="BM92" s="9">
        <v>0</v>
      </c>
      <c r="BN92" s="9">
        <v>0</v>
      </c>
      <c r="BO92" s="9">
        <v>0</v>
      </c>
    </row>
    <row r="93" spans="1:67">
      <c r="A93" s="84">
        <v>0</v>
      </c>
      <c r="B93">
        <v>12799.668</v>
      </c>
      <c r="C93" s="88">
        <v>12799.667999999996</v>
      </c>
      <c r="D93" t="s">
        <v>7</v>
      </c>
      <c r="E93" s="9">
        <v>0</v>
      </c>
      <c r="F93" s="9">
        <v>0</v>
      </c>
      <c r="G93" s="9">
        <v>323.02</v>
      </c>
      <c r="H93" s="9">
        <v>362.56000000000006</v>
      </c>
      <c r="I93" s="9">
        <v>407.77327500712778</v>
      </c>
      <c r="J93" s="9">
        <v>480.02980314905614</v>
      </c>
      <c r="K93" s="9">
        <v>546.12492184381608</v>
      </c>
      <c r="L93" s="9">
        <v>0.17012089999998467</v>
      </c>
      <c r="M93" s="9">
        <v>599.60800000000029</v>
      </c>
      <c r="N93" s="9">
        <v>183.85899999999992</v>
      </c>
      <c r="O93" s="9">
        <v>20.2818705298181</v>
      </c>
      <c r="P93" s="9">
        <v>47.671812333785205</v>
      </c>
      <c r="Q93" s="9">
        <v>280.23476428648905</v>
      </c>
      <c r="R93" s="9">
        <v>298.39947750036021</v>
      </c>
      <c r="S93" s="9">
        <v>283.26887360629593</v>
      </c>
      <c r="T93" s="9">
        <v>293.17020593033271</v>
      </c>
      <c r="U93" s="9">
        <v>583.90907201308028</v>
      </c>
      <c r="V93" s="9">
        <v>324.77653996616965</v>
      </c>
      <c r="W93" s="9">
        <v>312.5172020562668</v>
      </c>
      <c r="X93" s="9">
        <v>558.40025831852438</v>
      </c>
      <c r="Y93" s="9">
        <v>803.36186941777908</v>
      </c>
      <c r="Z93" s="9">
        <v>791.10253150787594</v>
      </c>
      <c r="AA93" s="9">
        <v>791.10253150787594</v>
      </c>
      <c r="AB93" s="9">
        <v>693.67022345925363</v>
      </c>
      <c r="AC93" s="9">
        <v>455.45543639451222</v>
      </c>
      <c r="AD93" s="9">
        <v>308.49934852156542</v>
      </c>
      <c r="AE93" s="9">
        <v>272.60928605976756</v>
      </c>
      <c r="AF93" s="9">
        <v>274.58454307566552</v>
      </c>
      <c r="AG93" s="9">
        <v>317.10508877369693</v>
      </c>
      <c r="AH93" s="9">
        <v>329.36442668359973</v>
      </c>
      <c r="AI93" s="9">
        <v>329.36442668359973</v>
      </c>
      <c r="AJ93" s="9">
        <v>329.36442668359973</v>
      </c>
      <c r="AK93" s="9">
        <v>317.10508877369693</v>
      </c>
      <c r="AL93" s="9">
        <v>304.84575086379414</v>
      </c>
      <c r="AM93" s="9">
        <v>304.84575086379414</v>
      </c>
      <c r="AN93" s="9">
        <v>60.522415576257167</v>
      </c>
      <c r="AO93" s="9">
        <v>75.23362106814065</v>
      </c>
      <c r="AP93" s="9">
        <v>75.23362106814065</v>
      </c>
      <c r="AQ93" s="9">
        <v>60.522415576257167</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row>
    <row r="94" spans="1:67">
      <c r="A94" s="84">
        <v>0</v>
      </c>
      <c r="B94">
        <v>74752.437368401646</v>
      </c>
      <c r="C94" s="9">
        <v>74752.437368401632</v>
      </c>
      <c r="D94" t="s">
        <v>8</v>
      </c>
      <c r="E94" s="9">
        <v>0</v>
      </c>
      <c r="F94" s="9">
        <v>0</v>
      </c>
      <c r="G94" s="9">
        <v>0</v>
      </c>
      <c r="H94" s="9">
        <v>0</v>
      </c>
      <c r="I94" s="9">
        <v>20.248921875353943</v>
      </c>
      <c r="J94" s="9">
        <v>23.836986329319561</v>
      </c>
      <c r="K94" s="9">
        <v>33.952000000000005</v>
      </c>
      <c r="L94" s="9">
        <v>83.135000000000005</v>
      </c>
      <c r="M94" s="9">
        <v>69.416449624678052</v>
      </c>
      <c r="N94" s="9">
        <v>45.732999999999947</v>
      </c>
      <c r="O94" s="9">
        <v>517.22885766986326</v>
      </c>
      <c r="P94" s="9">
        <v>1086.4550644248811</v>
      </c>
      <c r="Q94" s="9">
        <v>2651.0214844962334</v>
      </c>
      <c r="R94" s="9">
        <v>2705.8542498942916</v>
      </c>
      <c r="S94" s="9">
        <v>2610.9165749404729</v>
      </c>
      <c r="T94" s="9">
        <v>3070.7522271309122</v>
      </c>
      <c r="U94" s="9">
        <v>3743.0381649809265</v>
      </c>
      <c r="V94" s="9">
        <v>2827.9520669965982</v>
      </c>
      <c r="W94" s="9">
        <v>3302.659638341343</v>
      </c>
      <c r="X94" s="9">
        <v>3811.2725168910106</v>
      </c>
      <c r="Y94" s="9">
        <v>4414.269488628398</v>
      </c>
      <c r="Z94" s="9">
        <v>4365.1756291476086</v>
      </c>
      <c r="AA94" s="9">
        <v>4047.508582074352</v>
      </c>
      <c r="AB94" s="9">
        <v>3139.3437255276285</v>
      </c>
      <c r="AC94" s="9">
        <v>2314.8139667120909</v>
      </c>
      <c r="AD94" s="9">
        <v>1744.9081945859609</v>
      </c>
      <c r="AE94" s="9">
        <v>1591.3069611700203</v>
      </c>
      <c r="AF94" s="9">
        <v>1967.2632869905776</v>
      </c>
      <c r="AG94" s="9">
        <v>2233.2786424151464</v>
      </c>
      <c r="AH94" s="9">
        <v>2654.0823008203788</v>
      </c>
      <c r="AI94" s="9">
        <v>3094.0992068720607</v>
      </c>
      <c r="AJ94" s="9">
        <v>3094.0992068720607</v>
      </c>
      <c r="AK94" s="9">
        <v>3017.9592013551287</v>
      </c>
      <c r="AL94" s="9">
        <v>2941.8191958381963</v>
      </c>
      <c r="AM94" s="9">
        <v>2501.8022897865153</v>
      </c>
      <c r="AN94" s="9">
        <v>1207.2050411552789</v>
      </c>
      <c r="AO94" s="9">
        <v>1306.4121018495316</v>
      </c>
      <c r="AP94" s="9">
        <v>1306.4121018495316</v>
      </c>
      <c r="AQ94" s="9">
        <v>1207.2050411552789</v>
      </c>
      <c r="AR94" s="9">
        <v>0</v>
      </c>
      <c r="AS94" s="9">
        <v>0</v>
      </c>
      <c r="AT94" s="9">
        <v>0</v>
      </c>
      <c r="AU94" s="9">
        <v>0</v>
      </c>
      <c r="AV94" s="9">
        <v>0</v>
      </c>
      <c r="AW94" s="9">
        <v>0</v>
      </c>
      <c r="AX94" s="9">
        <v>0</v>
      </c>
      <c r="AY94" s="9">
        <v>0</v>
      </c>
      <c r="AZ94" s="9">
        <v>0</v>
      </c>
      <c r="BA94" s="9">
        <v>0</v>
      </c>
      <c r="BB94" s="9">
        <v>0</v>
      </c>
      <c r="BC94" s="9">
        <v>0</v>
      </c>
      <c r="BD94" s="9">
        <v>0</v>
      </c>
      <c r="BE94" s="9">
        <v>0</v>
      </c>
      <c r="BF94" s="9">
        <v>0</v>
      </c>
      <c r="BG94" s="9">
        <v>0</v>
      </c>
      <c r="BH94" s="9">
        <v>0</v>
      </c>
      <c r="BI94" s="9">
        <v>0</v>
      </c>
      <c r="BJ94" s="9">
        <v>0</v>
      </c>
      <c r="BK94" s="9">
        <v>0</v>
      </c>
      <c r="BL94" s="9">
        <v>0</v>
      </c>
      <c r="BM94" s="9">
        <v>0</v>
      </c>
      <c r="BN94" s="9">
        <v>0</v>
      </c>
      <c r="BO94" s="9">
        <v>0</v>
      </c>
    </row>
    <row r="95" spans="1:67">
      <c r="A95" s="84">
        <v>0</v>
      </c>
      <c r="B95">
        <v>6314.3</v>
      </c>
      <c r="C95" s="9">
        <v>6314.2999999999993</v>
      </c>
      <c r="D95" t="s">
        <v>9</v>
      </c>
      <c r="E95" s="9">
        <v>0</v>
      </c>
      <c r="F95" s="9">
        <v>0</v>
      </c>
      <c r="G95" s="9">
        <v>0</v>
      </c>
      <c r="H95" s="9">
        <v>0</v>
      </c>
      <c r="I95" s="9">
        <v>0</v>
      </c>
      <c r="J95" s="9">
        <v>0</v>
      </c>
      <c r="K95" s="9">
        <v>0</v>
      </c>
      <c r="L95" s="9">
        <v>0</v>
      </c>
      <c r="M95" s="9">
        <v>0</v>
      </c>
      <c r="N95" s="9">
        <v>0</v>
      </c>
      <c r="O95" s="9">
        <v>8.1389799055260035</v>
      </c>
      <c r="P95" s="9">
        <v>19.130381592479491</v>
      </c>
      <c r="Q95" s="9">
        <v>194.48849418918473</v>
      </c>
      <c r="R95" s="9">
        <v>194.25637238662588</v>
      </c>
      <c r="S95" s="9">
        <v>194.66037715192863</v>
      </c>
      <c r="T95" s="9">
        <v>194.66037715192863</v>
      </c>
      <c r="U95" s="9">
        <v>381.87146600995112</v>
      </c>
      <c r="V95" s="9">
        <v>187.21108885802246</v>
      </c>
      <c r="W95" s="9">
        <v>187.21108885802246</v>
      </c>
      <c r="X95" s="9">
        <v>373.19857582808402</v>
      </c>
      <c r="Y95" s="9">
        <v>565.7119395339372</v>
      </c>
      <c r="Z95" s="9">
        <v>565.71193953393708</v>
      </c>
      <c r="AA95" s="9">
        <v>565.71193953393708</v>
      </c>
      <c r="AB95" s="9">
        <v>492.29582625628126</v>
      </c>
      <c r="AC95" s="9">
        <v>305.08473739825877</v>
      </c>
      <c r="AD95" s="9">
        <v>192.51336370585321</v>
      </c>
      <c r="AE95" s="9">
        <v>176.19867186637407</v>
      </c>
      <c r="AF95" s="9">
        <v>176.19867186637413</v>
      </c>
      <c r="AG95" s="9">
        <v>176.19867186637407</v>
      </c>
      <c r="AH95" s="9">
        <v>176.19867186637413</v>
      </c>
      <c r="AI95" s="9">
        <v>176.19867186637413</v>
      </c>
      <c r="AJ95" s="9">
        <v>176.19867186637413</v>
      </c>
      <c r="AK95" s="9">
        <v>176.19867186637407</v>
      </c>
      <c r="AL95" s="9">
        <v>176.19867186637413</v>
      </c>
      <c r="AM95" s="9">
        <v>173.89768589424739</v>
      </c>
      <c r="AN95" s="9">
        <v>24.287243303562732</v>
      </c>
      <c r="AO95" s="9">
        <v>30.190752336838145</v>
      </c>
      <c r="AP95" s="9">
        <v>30.190752336838145</v>
      </c>
      <c r="AQ95" s="9">
        <v>24.287243303562732</v>
      </c>
      <c r="AR95" s="9">
        <v>0</v>
      </c>
      <c r="AS95" s="9">
        <v>0</v>
      </c>
      <c r="AT95" s="9">
        <v>0</v>
      </c>
      <c r="AU95" s="9">
        <v>0</v>
      </c>
      <c r="AV95" s="9">
        <v>0</v>
      </c>
      <c r="AW95" s="9">
        <v>0</v>
      </c>
      <c r="AX95" s="9">
        <v>0</v>
      </c>
      <c r="AY95" s="9">
        <v>0</v>
      </c>
      <c r="AZ95" s="9">
        <v>0</v>
      </c>
      <c r="BA95" s="9">
        <v>0</v>
      </c>
      <c r="BB95" s="9">
        <v>0</v>
      </c>
      <c r="BC95" s="9">
        <v>0</v>
      </c>
      <c r="BD95" s="9">
        <v>0</v>
      </c>
      <c r="BE95" s="9">
        <v>0</v>
      </c>
      <c r="BF95" s="9">
        <v>0</v>
      </c>
      <c r="BG95" s="9">
        <v>0</v>
      </c>
      <c r="BH95" s="9">
        <v>0</v>
      </c>
      <c r="BI95" s="9">
        <v>0</v>
      </c>
      <c r="BJ95" s="9">
        <v>0</v>
      </c>
      <c r="BK95" s="9">
        <v>0</v>
      </c>
      <c r="BL95" s="9">
        <v>0</v>
      </c>
      <c r="BM95" s="9">
        <v>0</v>
      </c>
      <c r="BN95" s="9">
        <v>0</v>
      </c>
      <c r="BO95" s="9">
        <v>0</v>
      </c>
    </row>
    <row r="96" spans="1:67">
      <c r="A96" s="84">
        <v>-1.6370904631912708E-11</v>
      </c>
      <c r="B96">
        <v>10010.299999999994</v>
      </c>
      <c r="C96" s="88">
        <v>10010.30000000001</v>
      </c>
      <c r="D96" t="s">
        <v>10</v>
      </c>
      <c r="E96" s="9">
        <v>0</v>
      </c>
      <c r="F96" s="9">
        <v>0</v>
      </c>
      <c r="G96" s="9">
        <v>0</v>
      </c>
      <c r="H96" s="9">
        <v>0</v>
      </c>
      <c r="I96" s="9">
        <v>0</v>
      </c>
      <c r="J96" s="9">
        <v>0</v>
      </c>
      <c r="K96" s="9">
        <v>0</v>
      </c>
      <c r="L96" s="9">
        <v>0</v>
      </c>
      <c r="M96" s="9">
        <v>0</v>
      </c>
      <c r="N96" s="9">
        <v>0</v>
      </c>
      <c r="O96" s="9">
        <v>0</v>
      </c>
      <c r="P96" s="9">
        <v>46.200000000000038</v>
      </c>
      <c r="Q96" s="9">
        <v>198.8600000000001</v>
      </c>
      <c r="R96" s="9">
        <v>245.06000000000014</v>
      </c>
      <c r="S96" s="9">
        <v>198.8600000000001</v>
      </c>
      <c r="T96" s="9">
        <v>198.8600000000001</v>
      </c>
      <c r="U96" s="9">
        <v>528.71000000000015</v>
      </c>
      <c r="V96" s="9">
        <v>329.85000000000014</v>
      </c>
      <c r="W96" s="9">
        <v>329.85000000000014</v>
      </c>
      <c r="X96" s="9">
        <v>519.85000000000059</v>
      </c>
      <c r="Y96" s="9">
        <v>716.51666666666745</v>
      </c>
      <c r="Z96" s="9">
        <v>716.51666666666745</v>
      </c>
      <c r="AA96" s="9">
        <v>716.51666666666745</v>
      </c>
      <c r="AB96" s="9">
        <v>641.51666666666722</v>
      </c>
      <c r="AC96" s="9">
        <v>450.26666666666722</v>
      </c>
      <c r="AD96" s="9">
        <v>335.26666666666699</v>
      </c>
      <c r="AE96" s="9">
        <v>272.40000000000055</v>
      </c>
      <c r="AF96" s="9">
        <v>272.40000000000055</v>
      </c>
      <c r="AG96" s="9">
        <v>364.80000000000064</v>
      </c>
      <c r="AH96" s="9">
        <v>364.80000000000064</v>
      </c>
      <c r="AI96" s="9">
        <v>364.80000000000064</v>
      </c>
      <c r="AJ96" s="9">
        <v>364.80000000000064</v>
      </c>
      <c r="AK96" s="9">
        <v>364.80000000000064</v>
      </c>
      <c r="AL96" s="9">
        <v>364.80000000000064</v>
      </c>
      <c r="AM96" s="9">
        <v>364.80000000000064</v>
      </c>
      <c r="AN96" s="9">
        <v>184.80000000000015</v>
      </c>
      <c r="AO96" s="9">
        <v>184.80000000000015</v>
      </c>
      <c r="AP96" s="9">
        <v>184.80000000000015</v>
      </c>
      <c r="AQ96" s="9">
        <v>184.80000000000015</v>
      </c>
      <c r="AR96" s="9">
        <v>0</v>
      </c>
      <c r="AS96" s="9">
        <v>0</v>
      </c>
      <c r="AT96" s="9">
        <v>0</v>
      </c>
      <c r="AU96" s="9">
        <v>0</v>
      </c>
      <c r="AV96" s="9">
        <v>0</v>
      </c>
      <c r="AW96" s="9">
        <v>0</v>
      </c>
      <c r="AX96" s="9">
        <v>0</v>
      </c>
      <c r="AY96" s="9">
        <v>0</v>
      </c>
      <c r="AZ96" s="9">
        <v>0</v>
      </c>
      <c r="BA96" s="9">
        <v>0</v>
      </c>
      <c r="BB96" s="9">
        <v>0</v>
      </c>
      <c r="BC96" s="9">
        <v>0</v>
      </c>
      <c r="BD96" s="9">
        <v>0</v>
      </c>
      <c r="BE96" s="9">
        <v>0</v>
      </c>
      <c r="BF96" s="9">
        <v>0</v>
      </c>
      <c r="BG96" s="9">
        <v>0</v>
      </c>
      <c r="BH96" s="9">
        <v>0</v>
      </c>
      <c r="BI96" s="9">
        <v>0</v>
      </c>
      <c r="BJ96" s="9">
        <v>0</v>
      </c>
      <c r="BK96" s="9">
        <v>0</v>
      </c>
      <c r="BL96" s="9">
        <v>0</v>
      </c>
      <c r="BM96" s="9">
        <v>0</v>
      </c>
      <c r="BN96" s="9">
        <v>0</v>
      </c>
      <c r="BO96" s="9">
        <v>0</v>
      </c>
    </row>
    <row r="97" spans="1:67">
      <c r="A97" s="84">
        <v>0</v>
      </c>
      <c r="B97">
        <v>89205.540000000023</v>
      </c>
      <c r="C97" s="9">
        <v>89205.540000000037</v>
      </c>
      <c r="D97" t="s">
        <v>11</v>
      </c>
      <c r="E97" s="9">
        <v>0</v>
      </c>
      <c r="F97" s="9">
        <v>0</v>
      </c>
      <c r="G97" s="9">
        <v>0</v>
      </c>
      <c r="H97" s="9">
        <v>0</v>
      </c>
      <c r="I97" s="9">
        <v>0</v>
      </c>
      <c r="J97" s="9">
        <v>0</v>
      </c>
      <c r="K97" s="9">
        <v>0</v>
      </c>
      <c r="L97" s="9">
        <v>0</v>
      </c>
      <c r="M97" s="9">
        <v>0</v>
      </c>
      <c r="N97" s="9">
        <v>0</v>
      </c>
      <c r="O97" s="9">
        <v>10.18268464609365</v>
      </c>
      <c r="P97" s="9">
        <v>23.934036596329953</v>
      </c>
      <c r="Q97" s="9">
        <v>16.337588934774203</v>
      </c>
      <c r="R97" s="9">
        <v>25.457336843215224</v>
      </c>
      <c r="S97" s="9">
        <v>17.860889181659473</v>
      </c>
      <c r="T97" s="9">
        <v>22.83193682164972</v>
      </c>
      <c r="U97" s="9">
        <v>49.202094947871487</v>
      </c>
      <c r="V97" s="9">
        <v>5552.1358891385089</v>
      </c>
      <c r="W97" s="9">
        <v>5552.8062127473459</v>
      </c>
      <c r="X97" s="9">
        <v>5552.8062127473459</v>
      </c>
      <c r="Y97" s="9">
        <v>5552.8062127473459</v>
      </c>
      <c r="Z97" s="9">
        <v>5552.8062127473459</v>
      </c>
      <c r="AA97" s="9">
        <v>5552.8062127473459</v>
      </c>
      <c r="AB97" s="9">
        <v>5552.8062127473459</v>
      </c>
      <c r="AC97" s="9">
        <v>5552.8062127473459</v>
      </c>
      <c r="AD97" s="9">
        <v>31.899658483003638</v>
      </c>
      <c r="AE97" s="9">
        <v>24.303210821447784</v>
      </c>
      <c r="AF97" s="9">
        <v>25.294905313250329</v>
      </c>
      <c r="AG97" s="9">
        <v>46.642704925042395</v>
      </c>
      <c r="AH97" s="9">
        <v>5552.2881657861426</v>
      </c>
      <c r="AI97" s="9">
        <v>5552.8062127473459</v>
      </c>
      <c r="AJ97" s="9">
        <v>5552.8062127473459</v>
      </c>
      <c r="AK97" s="9">
        <v>5552.8062127473459</v>
      </c>
      <c r="AL97" s="9">
        <v>5552.8062127473459</v>
      </c>
      <c r="AM97" s="9">
        <v>5552.8062127473459</v>
      </c>
      <c r="AN97" s="9">
        <v>5552.8062127473459</v>
      </c>
      <c r="AO97" s="9">
        <v>5552.5306654066626</v>
      </c>
      <c r="AP97" s="9">
        <v>37.771675792639734</v>
      </c>
      <c r="AQ97" s="9">
        <v>30.385790646223011</v>
      </c>
      <c r="AR97" s="9">
        <v>0</v>
      </c>
      <c r="AS97" s="9">
        <v>0</v>
      </c>
      <c r="AT97" s="9">
        <v>0</v>
      </c>
      <c r="AU97" s="9">
        <v>0</v>
      </c>
      <c r="AV97" s="9">
        <v>0</v>
      </c>
      <c r="AW97" s="9">
        <v>0</v>
      </c>
      <c r="AX97" s="9">
        <v>0</v>
      </c>
      <c r="AY97" s="9">
        <v>0</v>
      </c>
      <c r="AZ97" s="9">
        <v>0</v>
      </c>
      <c r="BA97" s="9">
        <v>0</v>
      </c>
      <c r="BB97" s="9">
        <v>0</v>
      </c>
      <c r="BC97" s="9">
        <v>0</v>
      </c>
      <c r="BD97" s="9">
        <v>0</v>
      </c>
      <c r="BE97" s="9">
        <v>0</v>
      </c>
      <c r="BF97" s="9">
        <v>0</v>
      </c>
      <c r="BG97" s="9">
        <v>0</v>
      </c>
      <c r="BH97" s="9">
        <v>0</v>
      </c>
      <c r="BI97" s="9">
        <v>0</v>
      </c>
      <c r="BJ97" s="9">
        <v>0</v>
      </c>
      <c r="BK97" s="9">
        <v>0</v>
      </c>
      <c r="BL97" s="9">
        <v>0</v>
      </c>
      <c r="BM97" s="9">
        <v>0</v>
      </c>
      <c r="BN97" s="9">
        <v>0</v>
      </c>
      <c r="BO97" s="9">
        <v>0</v>
      </c>
    </row>
    <row r="98" spans="1:67">
      <c r="A98" s="84">
        <v>0</v>
      </c>
      <c r="B98">
        <v>138654.56926146132</v>
      </c>
      <c r="C98" s="9">
        <v>138654.56926146135</v>
      </c>
      <c r="D98" t="s">
        <v>12</v>
      </c>
      <c r="E98" s="9">
        <v>0</v>
      </c>
      <c r="F98" s="9">
        <v>0</v>
      </c>
      <c r="G98" s="9">
        <v>3130.2159996912669</v>
      </c>
      <c r="H98" s="9">
        <v>7683.1060003087314</v>
      </c>
      <c r="I98" s="9">
        <v>3228.8100000000004</v>
      </c>
      <c r="J98" s="9">
        <v>3703.96</v>
      </c>
      <c r="K98" s="9">
        <v>4405.6789999999992</v>
      </c>
      <c r="L98" s="9">
        <v>5330.574775</v>
      </c>
      <c r="M98" s="9">
        <v>4034.2663249999996</v>
      </c>
      <c r="N98" s="9">
        <v>3635.510000000002</v>
      </c>
      <c r="O98" s="9">
        <v>4328.1926363617349</v>
      </c>
      <c r="P98" s="9">
        <v>4328.1926363617349</v>
      </c>
      <c r="Q98" s="9">
        <v>7264.6158164174349</v>
      </c>
      <c r="R98" s="9">
        <v>5385.3853187876675</v>
      </c>
      <c r="S98" s="9">
        <v>5259.8578095943722</v>
      </c>
      <c r="T98" s="9">
        <v>3358.1903157588849</v>
      </c>
      <c r="U98" s="9">
        <v>5496.490763237236</v>
      </c>
      <c r="V98" s="9">
        <v>10157.057295439543</v>
      </c>
      <c r="W98" s="9">
        <v>8102.4418540900588</v>
      </c>
      <c r="X98" s="9">
        <v>6991.4491272864516</v>
      </c>
      <c r="Y98" s="9">
        <v>6991.4491272864516</v>
      </c>
      <c r="Z98" s="9">
        <v>2330.882595084141</v>
      </c>
      <c r="AA98" s="9">
        <v>2330.882595084141</v>
      </c>
      <c r="AB98" s="9">
        <v>2330.8825950841415</v>
      </c>
      <c r="AC98" s="9">
        <v>2330.8825950841415</v>
      </c>
      <c r="AD98" s="9">
        <v>2330.8825950841415</v>
      </c>
      <c r="AE98" s="9">
        <v>2330.882595084141</v>
      </c>
      <c r="AF98" s="9">
        <v>2330.8825950841415</v>
      </c>
      <c r="AG98" s="9">
        <v>2330.8825950841415</v>
      </c>
      <c r="AH98" s="9">
        <v>2330.8825950841415</v>
      </c>
      <c r="AI98" s="9">
        <v>2330.8825950841415</v>
      </c>
      <c r="AJ98" s="9">
        <v>2330.8825950841415</v>
      </c>
      <c r="AK98" s="9">
        <v>2330.8825950841415</v>
      </c>
      <c r="AL98" s="9">
        <v>2330.8825950841415</v>
      </c>
      <c r="AM98" s="9">
        <v>2330.8825950841415</v>
      </c>
      <c r="AN98" s="9">
        <v>2264.399882153336</v>
      </c>
      <c r="AO98" s="9">
        <v>336.02488580882545</v>
      </c>
      <c r="AP98" s="9">
        <v>336.02488580882545</v>
      </c>
      <c r="AQ98" s="9">
        <v>270.31847589080439</v>
      </c>
      <c r="AR98" s="9">
        <v>0</v>
      </c>
      <c r="AS98" s="9">
        <v>0</v>
      </c>
      <c r="AT98" s="9">
        <v>0</v>
      </c>
      <c r="AU98" s="9">
        <v>0</v>
      </c>
      <c r="AV98" s="9">
        <v>0</v>
      </c>
      <c r="AW98" s="9">
        <v>0</v>
      </c>
      <c r="AX98" s="9">
        <v>0</v>
      </c>
      <c r="AY98" s="9">
        <v>0</v>
      </c>
      <c r="AZ98" s="9">
        <v>0</v>
      </c>
      <c r="BA98" s="9">
        <v>0</v>
      </c>
      <c r="BB98" s="9">
        <v>0</v>
      </c>
      <c r="BC98" s="9">
        <v>0</v>
      </c>
      <c r="BD98" s="9">
        <v>0</v>
      </c>
      <c r="BE98" s="9">
        <v>0</v>
      </c>
      <c r="BF98" s="9">
        <v>0</v>
      </c>
      <c r="BG98" s="9">
        <v>0</v>
      </c>
      <c r="BH98" s="9">
        <v>0</v>
      </c>
      <c r="BI98" s="9">
        <v>0</v>
      </c>
      <c r="BJ98" s="9">
        <v>0</v>
      </c>
      <c r="BK98" s="9">
        <v>0</v>
      </c>
      <c r="BL98" s="9">
        <v>0</v>
      </c>
      <c r="BM98" s="9">
        <v>0</v>
      </c>
      <c r="BN98" s="9">
        <v>0</v>
      </c>
      <c r="BO98" s="9">
        <v>0</v>
      </c>
    </row>
    <row r="99" spans="1:67">
      <c r="A99" s="84">
        <v>0</v>
      </c>
      <c r="B99">
        <v>5148.8728132011965</v>
      </c>
      <c r="C99" s="9">
        <v>5148.8728132011984</v>
      </c>
      <c r="D99" t="s">
        <v>13</v>
      </c>
      <c r="E99" s="9">
        <v>0</v>
      </c>
      <c r="F99" s="9">
        <v>0</v>
      </c>
      <c r="G99" s="9">
        <v>134.66012289140957</v>
      </c>
      <c r="H99" s="9">
        <v>330.52287710859042</v>
      </c>
      <c r="I99" s="9">
        <v>155.6567584</v>
      </c>
      <c r="J99" s="9">
        <v>148.39913899999999</v>
      </c>
      <c r="K99" s="9">
        <v>200.38778737759998</v>
      </c>
      <c r="L99" s="9">
        <v>197.48399999999992</v>
      </c>
      <c r="M99" s="9">
        <v>146.29188399999995</v>
      </c>
      <c r="N99" s="9">
        <v>122.28700000000026</v>
      </c>
      <c r="O99" s="9">
        <v>139.003778729011</v>
      </c>
      <c r="P99" s="9">
        <v>139.00377872901097</v>
      </c>
      <c r="Q99" s="9">
        <v>254.46113628452946</v>
      </c>
      <c r="R99" s="9">
        <v>180.57158624700435</v>
      </c>
      <c r="S99" s="9">
        <v>175.63596436170474</v>
      </c>
      <c r="T99" s="9">
        <v>100.86421304236454</v>
      </c>
      <c r="U99" s="9">
        <v>184.94014630786518</v>
      </c>
      <c r="V99" s="9">
        <v>146.79857724942133</v>
      </c>
      <c r="W99" s="9">
        <v>287.40365664668491</v>
      </c>
      <c r="X99" s="9">
        <v>243.72048271883472</v>
      </c>
      <c r="Y99" s="9">
        <v>163.64020801924732</v>
      </c>
      <c r="Z99" s="9">
        <v>88.028422402079968</v>
      </c>
      <c r="AA99" s="9">
        <v>88.028422402079968</v>
      </c>
      <c r="AB99" s="9">
        <v>83.069533302534424</v>
      </c>
      <c r="AC99" s="9">
        <v>83.069533302534424</v>
      </c>
      <c r="AD99" s="9">
        <v>78.479861918523738</v>
      </c>
      <c r="AE99" s="9">
        <v>60.471453704713866</v>
      </c>
      <c r="AF99" s="9">
        <v>62.230781476350749</v>
      </c>
      <c r="AG99" s="9">
        <v>114.75085364860946</v>
      </c>
      <c r="AH99" s="9">
        <v>129.89321133105128</v>
      </c>
      <c r="AI99" s="9">
        <v>129.89321133105128</v>
      </c>
      <c r="AJ99" s="9">
        <v>129.89321133105128</v>
      </c>
      <c r="AK99" s="9">
        <v>114.75085364860946</v>
      </c>
      <c r="AL99" s="9">
        <v>99.608495966167666</v>
      </c>
      <c r="AM99" s="9">
        <v>99.608495966167666</v>
      </c>
      <c r="AN99" s="9">
        <v>74.755428979633805</v>
      </c>
      <c r="AO99" s="9">
        <v>92.926258198564099</v>
      </c>
      <c r="AP99" s="9">
        <v>92.926258198564099</v>
      </c>
      <c r="AQ99" s="9">
        <v>74.755428979633805</v>
      </c>
      <c r="AR99" s="9">
        <v>0</v>
      </c>
      <c r="AS99" s="9">
        <v>0</v>
      </c>
      <c r="AT99" s="9">
        <v>0</v>
      </c>
      <c r="AU99" s="9">
        <v>0</v>
      </c>
      <c r="AV99" s="9">
        <v>0</v>
      </c>
      <c r="AW99" s="9">
        <v>0</v>
      </c>
      <c r="AX99" s="9">
        <v>0</v>
      </c>
      <c r="AY99" s="9">
        <v>0</v>
      </c>
      <c r="AZ99" s="9">
        <v>0</v>
      </c>
      <c r="BA99" s="9">
        <v>0</v>
      </c>
      <c r="BB99" s="9">
        <v>0</v>
      </c>
      <c r="BC99" s="9">
        <v>0</v>
      </c>
      <c r="BD99" s="9">
        <v>0</v>
      </c>
      <c r="BE99" s="9">
        <v>0</v>
      </c>
      <c r="BF99" s="9">
        <v>0</v>
      </c>
      <c r="BG99" s="9">
        <v>0</v>
      </c>
      <c r="BH99" s="9">
        <v>0</v>
      </c>
      <c r="BI99" s="9">
        <v>0</v>
      </c>
      <c r="BJ99" s="9">
        <v>0</v>
      </c>
      <c r="BK99" s="9">
        <v>0</v>
      </c>
      <c r="BL99" s="9">
        <v>0</v>
      </c>
      <c r="BM99" s="9">
        <v>0</v>
      </c>
      <c r="BN99" s="9">
        <v>0</v>
      </c>
      <c r="BO99" s="9">
        <v>0</v>
      </c>
    </row>
    <row r="100" spans="1:67">
      <c r="A100" s="84">
        <v>0</v>
      </c>
      <c r="B100">
        <v>320068.84130219778</v>
      </c>
      <c r="C100" s="9">
        <v>320068.84130219778</v>
      </c>
      <c r="D100" t="s">
        <v>14</v>
      </c>
      <c r="E100" s="9">
        <v>0</v>
      </c>
      <c r="F100" s="9">
        <v>0</v>
      </c>
      <c r="G100" s="9">
        <v>9522</v>
      </c>
      <c r="H100" s="9">
        <v>11805</v>
      </c>
      <c r="I100" s="9">
        <v>9743</v>
      </c>
      <c r="J100" s="9">
        <v>3583</v>
      </c>
      <c r="K100" s="9">
        <v>0</v>
      </c>
      <c r="L100" s="9">
        <v>1180</v>
      </c>
      <c r="M100" s="9">
        <v>4504</v>
      </c>
      <c r="N100" s="9">
        <v>2196</v>
      </c>
      <c r="O100" s="9">
        <v>11330.392253395146</v>
      </c>
      <c r="P100" s="9">
        <v>11330.392253395146</v>
      </c>
      <c r="Q100" s="9">
        <v>24688.720971211635</v>
      </c>
      <c r="R100" s="9">
        <v>16139.756062343144</v>
      </c>
      <c r="S100" s="9">
        <v>15568.708352897876</v>
      </c>
      <c r="T100" s="9">
        <v>8039.8043242845024</v>
      </c>
      <c r="U100" s="9">
        <v>17767.326048291579</v>
      </c>
      <c r="V100" s="9">
        <v>38969.099747418724</v>
      </c>
      <c r="W100" s="9">
        <v>29622.276496375154</v>
      </c>
      <c r="X100" s="9">
        <v>24568.166397889861</v>
      </c>
      <c r="Y100" s="9">
        <v>24568.166397889861</v>
      </c>
      <c r="Z100" s="9">
        <v>3366.3926987627146</v>
      </c>
      <c r="AA100" s="9">
        <v>3366.3926987627146</v>
      </c>
      <c r="AB100" s="9">
        <v>3366.392698762716</v>
      </c>
      <c r="AC100" s="9">
        <v>3366.392698762716</v>
      </c>
      <c r="AD100" s="9">
        <v>3366.3926987627169</v>
      </c>
      <c r="AE100" s="9">
        <v>3366.3926987627146</v>
      </c>
      <c r="AF100" s="9">
        <v>3366.3926987627174</v>
      </c>
      <c r="AG100" s="9">
        <v>3366.3926987627165</v>
      </c>
      <c r="AH100" s="9">
        <v>3366.3926987627165</v>
      </c>
      <c r="AI100" s="9">
        <v>3366.3926987627165</v>
      </c>
      <c r="AJ100" s="9">
        <v>3366.3926987627165</v>
      </c>
      <c r="AK100" s="9">
        <v>3366.3926987627165</v>
      </c>
      <c r="AL100" s="9">
        <v>3366.3926987627169</v>
      </c>
      <c r="AM100" s="9">
        <v>3366.3926987627169</v>
      </c>
      <c r="AN100" s="9">
        <v>2729.6623517167295</v>
      </c>
      <c r="AO100" s="9">
        <v>1812.7812206638164</v>
      </c>
      <c r="AP100" s="9">
        <v>1812.7812206638164</v>
      </c>
      <c r="AQ100" s="9">
        <v>1458.3094210828972</v>
      </c>
      <c r="AR100" s="9">
        <v>0</v>
      </c>
      <c r="AS100" s="9">
        <v>0</v>
      </c>
      <c r="AT100" s="9">
        <v>0</v>
      </c>
      <c r="AU100" s="9">
        <v>0</v>
      </c>
      <c r="AV100" s="9">
        <v>0</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s="9">
        <v>0</v>
      </c>
      <c r="BN100" s="9">
        <v>0</v>
      </c>
      <c r="BO100" s="9">
        <v>0</v>
      </c>
    </row>
    <row r="101" spans="1:67">
      <c r="A101" s="84">
        <v>0</v>
      </c>
      <c r="B101">
        <v>164083.76978177985</v>
      </c>
      <c r="C101" s="9">
        <v>164083.76978177988</v>
      </c>
      <c r="D101" t="s">
        <v>15</v>
      </c>
      <c r="E101" s="9">
        <v>0</v>
      </c>
      <c r="F101" s="9">
        <v>0</v>
      </c>
      <c r="G101" s="9">
        <v>3337.1407663000214</v>
      </c>
      <c r="H101" s="9">
        <v>8191.0022336999782</v>
      </c>
      <c r="I101" s="9">
        <v>1615</v>
      </c>
      <c r="J101" s="9">
        <v>1398</v>
      </c>
      <c r="K101" s="9">
        <v>806</v>
      </c>
      <c r="L101" s="9">
        <v>0</v>
      </c>
      <c r="M101" s="9">
        <v>184</v>
      </c>
      <c r="N101" s="9">
        <v>24</v>
      </c>
      <c r="O101" s="9">
        <v>5120.2829500005555</v>
      </c>
      <c r="P101" s="9">
        <v>5120.2829500005555</v>
      </c>
      <c r="Q101" s="9">
        <v>8911.6259746241431</v>
      </c>
      <c r="R101" s="9">
        <v>6485.2701662241489</v>
      </c>
      <c r="S101" s="9">
        <v>6323.1961676224419</v>
      </c>
      <c r="T101" s="9">
        <v>5138.6057493803282</v>
      </c>
      <c r="U101" s="9">
        <v>7899.4579797944589</v>
      </c>
      <c r="V101" s="9">
        <v>13916.917088778942</v>
      </c>
      <c r="W101" s="9">
        <v>11264.114190765951</v>
      </c>
      <c r="X101" s="9">
        <v>9829.6634093583179</v>
      </c>
      <c r="Y101" s="9">
        <v>9829.6634093583179</v>
      </c>
      <c r="Z101" s="9">
        <v>3812.2043003738322</v>
      </c>
      <c r="AA101" s="9">
        <v>3812.2043003738322</v>
      </c>
      <c r="AB101" s="9">
        <v>3812.2043003738322</v>
      </c>
      <c r="AC101" s="9">
        <v>3812.2043003738322</v>
      </c>
      <c r="AD101" s="9">
        <v>3812.2043003738327</v>
      </c>
      <c r="AE101" s="9">
        <v>3812.2043003738318</v>
      </c>
      <c r="AF101" s="9">
        <v>3812.2043003738327</v>
      </c>
      <c r="AG101" s="9">
        <v>3812.2043003738327</v>
      </c>
      <c r="AH101" s="9">
        <v>3812.2043003738322</v>
      </c>
      <c r="AI101" s="9">
        <v>3812.2043003738322</v>
      </c>
      <c r="AJ101" s="9">
        <v>3812.2043003738322</v>
      </c>
      <c r="AK101" s="9">
        <v>3812.2043003738327</v>
      </c>
      <c r="AL101" s="9">
        <v>3812.2043003738327</v>
      </c>
      <c r="AM101" s="9">
        <v>3812.2043003738327</v>
      </c>
      <c r="AN101" s="9">
        <v>3755.5047280218464</v>
      </c>
      <c r="AO101" s="9">
        <v>557.39143532432672</v>
      </c>
      <c r="AP101" s="9">
        <v>557.39143532432672</v>
      </c>
      <c r="AQ101" s="9">
        <v>448.39894196759678</v>
      </c>
      <c r="AR101" s="9">
        <v>0</v>
      </c>
      <c r="AS101" s="9">
        <v>0</v>
      </c>
      <c r="AT101" s="9">
        <v>0</v>
      </c>
      <c r="AU101" s="9">
        <v>0</v>
      </c>
      <c r="AV101" s="9">
        <v>0</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s="9">
        <v>0</v>
      </c>
      <c r="BN101" s="9">
        <v>0</v>
      </c>
      <c r="BO101" s="9">
        <v>0</v>
      </c>
    </row>
    <row r="102" spans="1:67">
      <c r="A102" s="84">
        <v>0</v>
      </c>
      <c r="B102">
        <v>2029116.0732</v>
      </c>
      <c r="C102" s="9">
        <v>2029116.0732000002</v>
      </c>
      <c r="D102" t="s">
        <v>16</v>
      </c>
      <c r="E102" s="9">
        <v>0</v>
      </c>
      <c r="F102" s="9">
        <v>0</v>
      </c>
      <c r="G102" s="9">
        <v>4394.0691485833531</v>
      </c>
      <c r="H102" s="9">
        <v>10785.229851416645</v>
      </c>
      <c r="I102" s="9">
        <v>1124.54</v>
      </c>
      <c r="J102" s="9">
        <v>6547.55</v>
      </c>
      <c r="K102" s="9">
        <v>6493.8630000000003</v>
      </c>
      <c r="L102" s="9">
        <v>17431.624000000003</v>
      </c>
      <c r="M102" s="9">
        <v>25013.711000000003</v>
      </c>
      <c r="N102" s="9">
        <v>20784.770999999997</v>
      </c>
      <c r="O102" s="9">
        <v>42482.404615392523</v>
      </c>
      <c r="P102" s="9">
        <v>59337.893931749575</v>
      </c>
      <c r="Q102" s="9">
        <v>52043.768302505676</v>
      </c>
      <c r="R102" s="9">
        <v>49459.981879919804</v>
      </c>
      <c r="S102" s="9">
        <v>69635.23634105816</v>
      </c>
      <c r="T102" s="9">
        <v>59003.772155307553</v>
      </c>
      <c r="U102" s="9">
        <v>57272.835591268245</v>
      </c>
      <c r="V102" s="9">
        <v>59615.467254690382</v>
      </c>
      <c r="W102" s="9">
        <v>51164.68280095479</v>
      </c>
      <c r="X102" s="9">
        <v>51198.828828755817</v>
      </c>
      <c r="Y102" s="9">
        <v>59448.325383005213</v>
      </c>
      <c r="Z102" s="9">
        <v>67644.953732291935</v>
      </c>
      <c r="AA102" s="9">
        <v>73175.918377326845</v>
      </c>
      <c r="AB102" s="9">
        <v>73175.918377326845</v>
      </c>
      <c r="AC102" s="9">
        <v>63002.582647379284</v>
      </c>
      <c r="AD102" s="9">
        <v>67045.326168866668</v>
      </c>
      <c r="AE102" s="9">
        <v>67045.326168866668</v>
      </c>
      <c r="AF102" s="9">
        <v>65530.385501121469</v>
      </c>
      <c r="AG102" s="9">
        <v>65692.162468254188</v>
      </c>
      <c r="AH102" s="9">
        <v>62385.913563622853</v>
      </c>
      <c r="AI102" s="9">
        <v>62316.053828121789</v>
      </c>
      <c r="AJ102" s="9">
        <v>75245.049886117267</v>
      </c>
      <c r="AK102" s="9">
        <v>77133.110367384899</v>
      </c>
      <c r="AL102" s="9">
        <v>74412.445893613869</v>
      </c>
      <c r="AM102" s="9">
        <v>74412.445893613869</v>
      </c>
      <c r="AN102" s="9">
        <v>74216.63587561161</v>
      </c>
      <c r="AO102" s="9">
        <v>71511.368257991897</v>
      </c>
      <c r="AP102" s="9">
        <v>69268.846153428894</v>
      </c>
      <c r="AQ102" s="9">
        <v>48666.68786080322</v>
      </c>
      <c r="AR102" s="9">
        <v>34577.739650772972</v>
      </c>
      <c r="AS102" s="9">
        <v>24120.529884412772</v>
      </c>
      <c r="AT102" s="9">
        <v>12725.501609059571</v>
      </c>
      <c r="AU102" s="9">
        <v>12725.501609059571</v>
      </c>
      <c r="AV102" s="9">
        <v>9847.1143403437145</v>
      </c>
      <c r="AW102" s="9">
        <v>0</v>
      </c>
      <c r="AX102" s="9">
        <v>0</v>
      </c>
      <c r="AY102" s="9">
        <v>0</v>
      </c>
      <c r="AZ102" s="9">
        <v>0</v>
      </c>
      <c r="BA102" s="9">
        <v>0</v>
      </c>
      <c r="BB102" s="9">
        <v>0</v>
      </c>
      <c r="BC102" s="9">
        <v>0</v>
      </c>
      <c r="BD102" s="9">
        <v>0</v>
      </c>
      <c r="BE102" s="9">
        <v>0</v>
      </c>
      <c r="BF102" s="9">
        <v>0</v>
      </c>
      <c r="BG102" s="9">
        <v>0</v>
      </c>
      <c r="BH102" s="9">
        <v>0</v>
      </c>
      <c r="BI102" s="9">
        <v>0</v>
      </c>
      <c r="BJ102" s="9">
        <v>0</v>
      </c>
      <c r="BK102" s="9">
        <v>0</v>
      </c>
      <c r="BL102" s="9">
        <v>0</v>
      </c>
      <c r="BM102" s="9">
        <v>0</v>
      </c>
      <c r="BN102" s="9">
        <v>0</v>
      </c>
      <c r="BO102" s="9">
        <v>0</v>
      </c>
    </row>
    <row r="103" spans="1:67">
      <c r="A103" s="84">
        <v>0</v>
      </c>
      <c r="B103">
        <v>29954.494999999999</v>
      </c>
      <c r="C103" s="9">
        <v>29954.494999999988</v>
      </c>
      <c r="D103" t="s">
        <v>17</v>
      </c>
      <c r="E103" s="9">
        <v>0</v>
      </c>
      <c r="F103" s="9">
        <v>0</v>
      </c>
      <c r="G103" s="9">
        <v>35.462369054262766</v>
      </c>
      <c r="H103" s="9">
        <v>87.042280945737232</v>
      </c>
      <c r="I103" s="9">
        <v>9.6999999999999993</v>
      </c>
      <c r="J103" s="9">
        <v>56.86</v>
      </c>
      <c r="K103" s="9">
        <v>45.959000000000003</v>
      </c>
      <c r="L103" s="9">
        <v>207.60600000000002</v>
      </c>
      <c r="M103" s="9">
        <v>268.28899999999999</v>
      </c>
      <c r="N103" s="9">
        <v>243.09700000000004</v>
      </c>
      <c r="O103" s="9">
        <v>329.51616120441082</v>
      </c>
      <c r="P103" s="9">
        <v>294.28425921281485</v>
      </c>
      <c r="Q103" s="9">
        <v>296.29920822062275</v>
      </c>
      <c r="R103" s="9">
        <v>408.10924221910381</v>
      </c>
      <c r="S103" s="9">
        <v>832.99462160466419</v>
      </c>
      <c r="T103" s="9">
        <v>754.9845768096219</v>
      </c>
      <c r="U103" s="9">
        <v>762.44220417185363</v>
      </c>
      <c r="V103" s="9">
        <v>766.01090946104455</v>
      </c>
      <c r="W103" s="9">
        <v>738.91533329807828</v>
      </c>
      <c r="X103" s="9">
        <v>851.72126163375151</v>
      </c>
      <c r="Y103" s="9">
        <v>995.11494162418455</v>
      </c>
      <c r="Z103" s="9">
        <v>1140.5698912892717</v>
      </c>
      <c r="AA103" s="9">
        <v>1277.9146963722071</v>
      </c>
      <c r="AB103" s="9">
        <v>1277.9146963722071</v>
      </c>
      <c r="AC103" s="9">
        <v>955.89241348668997</v>
      </c>
      <c r="AD103" s="9">
        <v>958.76932968624396</v>
      </c>
      <c r="AE103" s="9">
        <v>958.76932968624396</v>
      </c>
      <c r="AF103" s="9">
        <v>925.66012260142406</v>
      </c>
      <c r="AG103" s="9">
        <v>1002.4114536234731</v>
      </c>
      <c r="AH103" s="9">
        <v>1054.0106625480573</v>
      </c>
      <c r="AI103" s="9">
        <v>1047.7050100308697</v>
      </c>
      <c r="AJ103" s="9">
        <v>1204.2165014779312</v>
      </c>
      <c r="AK103" s="9">
        <v>1287.1123696542252</v>
      </c>
      <c r="AL103" s="9">
        <v>1196.3701833025989</v>
      </c>
      <c r="AM103" s="9">
        <v>1196.3701833025989</v>
      </c>
      <c r="AN103" s="9">
        <v>1167.4902544950373</v>
      </c>
      <c r="AO103" s="9">
        <v>1297.2042332005774</v>
      </c>
      <c r="AP103" s="9">
        <v>1290.0144601292386</v>
      </c>
      <c r="AQ103" s="9">
        <v>916.01334024520247</v>
      </c>
      <c r="AR103" s="9">
        <v>608.09771435637765</v>
      </c>
      <c r="AS103" s="9">
        <v>436.13525960306686</v>
      </c>
      <c r="AT103" s="9">
        <v>278.11733951248681</v>
      </c>
      <c r="AU103" s="9">
        <v>278.11733951248681</v>
      </c>
      <c r="AV103" s="9">
        <v>215.20984605132909</v>
      </c>
      <c r="AW103" s="9">
        <v>0</v>
      </c>
      <c r="AX103" s="9">
        <v>0</v>
      </c>
      <c r="AY103" s="9">
        <v>0</v>
      </c>
      <c r="AZ103" s="9">
        <v>0</v>
      </c>
      <c r="BA103" s="9">
        <v>0</v>
      </c>
      <c r="BB103" s="9">
        <v>0</v>
      </c>
      <c r="BC103" s="9">
        <v>0</v>
      </c>
      <c r="BD103" s="9">
        <v>0</v>
      </c>
      <c r="BE103" s="9">
        <v>0</v>
      </c>
      <c r="BF103" s="9">
        <v>0</v>
      </c>
      <c r="BG103" s="9">
        <v>0</v>
      </c>
      <c r="BH103" s="9">
        <v>0</v>
      </c>
      <c r="BI103" s="9">
        <v>0</v>
      </c>
      <c r="BJ103" s="9">
        <v>0</v>
      </c>
      <c r="BK103" s="9">
        <v>0</v>
      </c>
      <c r="BL103" s="9">
        <v>0</v>
      </c>
      <c r="BM103" s="9">
        <v>0</v>
      </c>
      <c r="BN103" s="9">
        <v>0</v>
      </c>
      <c r="BO103" s="9">
        <v>0</v>
      </c>
    </row>
    <row r="104" spans="1:67">
      <c r="A104" s="84">
        <v>0</v>
      </c>
      <c r="B104">
        <v>2599958.0000000009</v>
      </c>
      <c r="C104" s="9">
        <v>2599957.9999999991</v>
      </c>
      <c r="D104" t="s">
        <v>18</v>
      </c>
      <c r="E104" s="9">
        <v>0</v>
      </c>
      <c r="F104" s="9">
        <v>0</v>
      </c>
      <c r="G104" s="9">
        <v>0</v>
      </c>
      <c r="H104" s="9">
        <v>0</v>
      </c>
      <c r="I104" s="9">
        <v>2177.1750000380562</v>
      </c>
      <c r="J104" s="9">
        <v>2562.96562512844</v>
      </c>
      <c r="K104" s="9">
        <v>3726</v>
      </c>
      <c r="L104" s="9">
        <v>14862</v>
      </c>
      <c r="M104" s="9">
        <v>26925</v>
      </c>
      <c r="N104" s="9">
        <v>29088</v>
      </c>
      <c r="O104" s="9">
        <v>21475.245368529231</v>
      </c>
      <c r="P104" s="9">
        <v>13782.620161891895</v>
      </c>
      <c r="Q104" s="9">
        <v>13782.620161891897</v>
      </c>
      <c r="R104" s="9">
        <v>27244.714273507234</v>
      </c>
      <c r="S104" s="9">
        <v>67630.996608353234</v>
      </c>
      <c r="T104" s="9">
        <v>60899.949552545571</v>
      </c>
      <c r="U104" s="9">
        <v>60899.949552545571</v>
      </c>
      <c r="V104" s="9">
        <v>60899.949552545571</v>
      </c>
      <c r="W104" s="9">
        <v>60899.949552545571</v>
      </c>
      <c r="X104" s="9">
        <v>74362.043664160912</v>
      </c>
      <c r="Y104" s="9">
        <v>87824.137775776224</v>
      </c>
      <c r="Z104" s="9">
        <v>101286.23188739158</v>
      </c>
      <c r="AA104" s="9">
        <v>114107.27389845382</v>
      </c>
      <c r="AB104" s="9">
        <v>114107.27389845382</v>
      </c>
      <c r="AC104" s="9">
        <v>82054.668870798239</v>
      </c>
      <c r="AD104" s="9">
        <v>80772.564669692016</v>
      </c>
      <c r="AE104" s="9">
        <v>80772.564669692016</v>
      </c>
      <c r="AF104" s="9">
        <v>77567.304166926464</v>
      </c>
      <c r="AG104" s="9">
        <v>87183.085675223134</v>
      </c>
      <c r="AH104" s="9">
        <v>94234.658781307371</v>
      </c>
      <c r="AI104" s="9">
        <v>94234.658781307371</v>
      </c>
      <c r="AJ104" s="9">
        <v>107696.75289292268</v>
      </c>
      <c r="AK104" s="9">
        <v>116671.48230066623</v>
      </c>
      <c r="AL104" s="9">
        <v>107696.75289292268</v>
      </c>
      <c r="AM104" s="9">
        <v>107696.75289292268</v>
      </c>
      <c r="AN104" s="9">
        <v>104491.49239015715</v>
      </c>
      <c r="AO104" s="9">
        <v>121158.84700453802</v>
      </c>
      <c r="AP104" s="9">
        <v>121158.84700453802</v>
      </c>
      <c r="AQ104" s="9">
        <v>86221.507524393455</v>
      </c>
      <c r="AR104" s="9">
        <v>56412.584848673789</v>
      </c>
      <c r="AS104" s="9">
        <v>40706.80838512256</v>
      </c>
      <c r="AT104" s="9">
        <v>26924.188223230671</v>
      </c>
      <c r="AU104" s="9">
        <v>26924.188223230671</v>
      </c>
      <c r="AV104" s="9">
        <v>20834.193267976119</v>
      </c>
      <c r="AW104" s="9">
        <v>0</v>
      </c>
      <c r="AX104" s="9">
        <v>0</v>
      </c>
      <c r="AY104" s="9">
        <v>0</v>
      </c>
      <c r="AZ104" s="9">
        <v>0</v>
      </c>
      <c r="BA104" s="9">
        <v>0</v>
      </c>
      <c r="BB104" s="9">
        <v>0</v>
      </c>
      <c r="BC104" s="9">
        <v>0</v>
      </c>
      <c r="BD104" s="9">
        <v>0</v>
      </c>
      <c r="BE104" s="9">
        <v>0</v>
      </c>
      <c r="BF104" s="9">
        <v>0</v>
      </c>
      <c r="BG104" s="9">
        <v>0</v>
      </c>
      <c r="BH104" s="9">
        <v>0</v>
      </c>
      <c r="BI104" s="9">
        <v>0</v>
      </c>
      <c r="BJ104" s="9">
        <v>0</v>
      </c>
      <c r="BK104" s="9">
        <v>0</v>
      </c>
      <c r="BL104" s="9">
        <v>0</v>
      </c>
      <c r="BM104" s="9">
        <v>0</v>
      </c>
      <c r="BN104" s="9">
        <v>0</v>
      </c>
      <c r="BO104" s="9">
        <v>0</v>
      </c>
    </row>
    <row r="105" spans="1:67">
      <c r="A105" s="84">
        <v>0</v>
      </c>
      <c r="B105">
        <v>303361.93500000017</v>
      </c>
      <c r="C105" s="9">
        <v>303361.93500000017</v>
      </c>
      <c r="D105" t="s">
        <v>19</v>
      </c>
      <c r="E105" s="9">
        <v>0</v>
      </c>
      <c r="F105" s="9">
        <v>0</v>
      </c>
      <c r="G105" s="9">
        <v>2754.6701608499307</v>
      </c>
      <c r="H105" s="9">
        <v>6761.3298391500684</v>
      </c>
      <c r="I105" s="9">
        <v>1852</v>
      </c>
      <c r="J105" s="9">
        <v>5608</v>
      </c>
      <c r="K105" s="9">
        <v>4276</v>
      </c>
      <c r="L105" s="9">
        <v>3316</v>
      </c>
      <c r="M105" s="9">
        <v>4984</v>
      </c>
      <c r="N105" s="9">
        <v>5576</v>
      </c>
      <c r="O105" s="9">
        <v>17698.88668663269</v>
      </c>
      <c r="P105" s="9">
        <v>21674.573719674216</v>
      </c>
      <c r="Q105" s="9">
        <v>16576.55219062791</v>
      </c>
      <c r="R105" s="9">
        <v>13375.14197429237</v>
      </c>
      <c r="S105" s="9">
        <v>14112.691863628448</v>
      </c>
      <c r="T105" s="9">
        <v>13791.966996143246</v>
      </c>
      <c r="U105" s="9">
        <v>12652.117167169408</v>
      </c>
      <c r="V105" s="9">
        <v>13484.796572689576</v>
      </c>
      <c r="W105" s="9">
        <v>8912.3265110926186</v>
      </c>
      <c r="X105" s="9">
        <v>6545.702604541797</v>
      </c>
      <c r="Y105" s="9">
        <v>7420.1198778886101</v>
      </c>
      <c r="Z105" s="9">
        <v>8023.7638819834056</v>
      </c>
      <c r="AA105" s="9">
        <v>8023.7638819834046</v>
      </c>
      <c r="AB105" s="9">
        <v>8023.7638819834046</v>
      </c>
      <c r="AC105" s="9">
        <v>5574.0395319818663</v>
      </c>
      <c r="AD105" s="9">
        <v>4180.055843339177</v>
      </c>
      <c r="AE105" s="9">
        <v>9021.7626169876348</v>
      </c>
      <c r="AF105" s="9">
        <v>10388.650747228305</v>
      </c>
      <c r="AG105" s="9">
        <v>8694.4696090067082</v>
      </c>
      <c r="AH105" s="9">
        <v>6804.0489282345407</v>
      </c>
      <c r="AI105" s="9">
        <v>6364.3511762287235</v>
      </c>
      <c r="AJ105" s="9">
        <v>7631.2475346766823</v>
      </c>
      <c r="AK105" s="9">
        <v>6319.6216246564672</v>
      </c>
      <c r="AL105" s="9">
        <v>6736.9546008761554</v>
      </c>
      <c r="AM105" s="9">
        <v>6736.9546008761554</v>
      </c>
      <c r="AN105" s="9">
        <v>7084.73208105923</v>
      </c>
      <c r="AO105" s="9">
        <v>3755.9967859771905</v>
      </c>
      <c r="AP105" s="9">
        <v>3164.7750696659659</v>
      </c>
      <c r="AQ105" s="9">
        <v>2086.6648810984393</v>
      </c>
      <c r="AR105" s="9">
        <v>2086.6648810984393</v>
      </c>
      <c r="AS105" s="9">
        <v>1286.7766766773707</v>
      </c>
      <c r="AT105" s="9">
        <v>0</v>
      </c>
      <c r="AU105" s="9">
        <v>0</v>
      </c>
      <c r="AV105" s="9">
        <v>0</v>
      </c>
      <c r="AW105" s="9">
        <v>0</v>
      </c>
      <c r="AX105" s="9">
        <v>0</v>
      </c>
      <c r="AY105" s="9">
        <v>0</v>
      </c>
      <c r="AZ105" s="9">
        <v>0</v>
      </c>
      <c r="BA105" s="9">
        <v>0</v>
      </c>
      <c r="BB105" s="9">
        <v>0</v>
      </c>
      <c r="BC105" s="9">
        <v>0</v>
      </c>
      <c r="BD105" s="9">
        <v>0</v>
      </c>
      <c r="BE105" s="9">
        <v>0</v>
      </c>
      <c r="BF105" s="9">
        <v>0</v>
      </c>
      <c r="BG105" s="9">
        <v>0</v>
      </c>
      <c r="BH105" s="9">
        <v>0</v>
      </c>
      <c r="BI105" s="9">
        <v>0</v>
      </c>
      <c r="BJ105" s="9">
        <v>0</v>
      </c>
      <c r="BK105" s="9">
        <v>0</v>
      </c>
      <c r="BL105" s="9">
        <v>0</v>
      </c>
      <c r="BM105" s="9">
        <v>0</v>
      </c>
      <c r="BN105" s="9">
        <v>0</v>
      </c>
      <c r="BO105" s="9">
        <v>0</v>
      </c>
    </row>
    <row r="106" spans="1:67">
      <c r="A106" s="84">
        <v>0</v>
      </c>
      <c r="B106">
        <v>14998.575999999999</v>
      </c>
      <c r="C106" s="9">
        <v>14998.576000000001</v>
      </c>
      <c r="D106" t="s">
        <v>20</v>
      </c>
      <c r="E106" s="9">
        <v>0</v>
      </c>
      <c r="F106" s="9">
        <v>0</v>
      </c>
      <c r="G106" s="9">
        <v>15.707639059422386</v>
      </c>
      <c r="H106" s="9">
        <v>38.554354050977615</v>
      </c>
      <c r="I106" s="9">
        <v>9.2771675843921617</v>
      </c>
      <c r="J106" s="9">
        <v>41.09</v>
      </c>
      <c r="K106" s="9">
        <v>27.872999999999998</v>
      </c>
      <c r="L106" s="9">
        <v>130.31400000000002</v>
      </c>
      <c r="M106" s="9">
        <v>295.76399999999995</v>
      </c>
      <c r="N106" s="9">
        <v>151.755</v>
      </c>
      <c r="O106" s="9">
        <v>326.71633409241741</v>
      </c>
      <c r="P106" s="9">
        <v>398.94841636022312</v>
      </c>
      <c r="Q106" s="9">
        <v>310.68845520518585</v>
      </c>
      <c r="R106" s="9">
        <v>251.08379821180836</v>
      </c>
      <c r="S106" s="9">
        <v>375.31096879975252</v>
      </c>
      <c r="T106" s="9">
        <v>375.49549803913641</v>
      </c>
      <c r="U106" s="9">
        <v>373.36578473460884</v>
      </c>
      <c r="V106" s="9">
        <v>378.97059733540823</v>
      </c>
      <c r="W106" s="9">
        <v>361.13797757359259</v>
      </c>
      <c r="X106" s="9">
        <v>401.17620275279256</v>
      </c>
      <c r="Y106" s="9">
        <v>469.14129209109268</v>
      </c>
      <c r="Z106" s="9">
        <v>535.64069983752847</v>
      </c>
      <c r="AA106" s="9">
        <v>586.94244264718122</v>
      </c>
      <c r="AB106" s="9">
        <v>586.94244264718122</v>
      </c>
      <c r="AC106" s="9">
        <v>463.87715662983373</v>
      </c>
      <c r="AD106" s="9">
        <v>474.44584687399225</v>
      </c>
      <c r="AE106" s="9">
        <v>474.44584687399225</v>
      </c>
      <c r="AF106" s="9">
        <v>460.14510593170525</v>
      </c>
      <c r="AG106" s="9">
        <v>484.06372069480096</v>
      </c>
      <c r="AH106" s="9">
        <v>494.1935725897211</v>
      </c>
      <c r="AI106" s="9">
        <v>487.60714789194094</v>
      </c>
      <c r="AJ106" s="9">
        <v>564.48277292234297</v>
      </c>
      <c r="AK106" s="9">
        <v>596.19076838442072</v>
      </c>
      <c r="AL106" s="9">
        <v>561.16646381822989</v>
      </c>
      <c r="AM106" s="9">
        <v>561.16646381822989</v>
      </c>
      <c r="AN106" s="9">
        <v>551.11937529619229</v>
      </c>
      <c r="AO106" s="9">
        <v>586.50745375714666</v>
      </c>
      <c r="AP106" s="9">
        <v>579.2762446427223</v>
      </c>
      <c r="AQ106" s="9">
        <v>410.21184586901961</v>
      </c>
      <c r="AR106" s="9">
        <v>277.21495510574988</v>
      </c>
      <c r="AS106" s="9">
        <v>197.35792392196927</v>
      </c>
      <c r="AT106" s="9">
        <v>120.12622391521137</v>
      </c>
      <c r="AU106" s="9">
        <v>120.12622391521137</v>
      </c>
      <c r="AV106" s="9">
        <v>92.954816124865943</v>
      </c>
      <c r="AW106" s="9">
        <v>0</v>
      </c>
      <c r="AX106" s="9">
        <v>0</v>
      </c>
      <c r="AY106" s="9">
        <v>0</v>
      </c>
      <c r="AZ106" s="9">
        <v>0</v>
      </c>
      <c r="BA106" s="9">
        <v>0</v>
      </c>
      <c r="BB106" s="9">
        <v>0</v>
      </c>
      <c r="BC106" s="9">
        <v>0</v>
      </c>
      <c r="BD106" s="9">
        <v>0</v>
      </c>
      <c r="BE106" s="9">
        <v>0</v>
      </c>
      <c r="BF106" s="9">
        <v>0</v>
      </c>
      <c r="BG106" s="9">
        <v>0</v>
      </c>
      <c r="BH106" s="9">
        <v>0</v>
      </c>
      <c r="BI106" s="9">
        <v>0</v>
      </c>
      <c r="BJ106" s="9">
        <v>0</v>
      </c>
      <c r="BK106" s="9">
        <v>0</v>
      </c>
      <c r="BL106" s="9">
        <v>0</v>
      </c>
      <c r="BM106" s="9">
        <v>0</v>
      </c>
      <c r="BN106" s="9">
        <v>0</v>
      </c>
      <c r="BO106" s="9">
        <v>0</v>
      </c>
    </row>
    <row r="107" spans="1:67">
      <c r="A107" s="84">
        <v>0</v>
      </c>
      <c r="B107">
        <v>308588.38300000003</v>
      </c>
      <c r="C107" s="9">
        <v>308588.38299999997</v>
      </c>
      <c r="D107" t="s">
        <v>21</v>
      </c>
      <c r="E107" s="9">
        <v>0</v>
      </c>
      <c r="F107" s="9">
        <v>0</v>
      </c>
      <c r="G107" s="9">
        <v>483.00342020770944</v>
      </c>
      <c r="H107" s="9">
        <v>1185.5304797922906</v>
      </c>
      <c r="I107" s="9">
        <v>179.56776906563883</v>
      </c>
      <c r="J107" s="9">
        <v>746.83</v>
      </c>
      <c r="K107" s="9">
        <v>871.33900000000006</v>
      </c>
      <c r="L107" s="9">
        <v>2667.8799999999997</v>
      </c>
      <c r="M107" s="9">
        <v>3322.8309999999992</v>
      </c>
      <c r="N107" s="9">
        <v>3702.8410000000008</v>
      </c>
      <c r="O107" s="9">
        <v>4602.7548347835827</v>
      </c>
      <c r="P107" s="9">
        <v>5178.9140813997783</v>
      </c>
      <c r="Q107" s="9">
        <v>5072.1758350395667</v>
      </c>
      <c r="R107" s="9">
        <v>5562.8203295790981</v>
      </c>
      <c r="S107" s="9">
        <v>9294.2824888419582</v>
      </c>
      <c r="T107" s="9">
        <v>8417.6861925626363</v>
      </c>
      <c r="U107" s="9">
        <v>8501.1143398326367</v>
      </c>
      <c r="V107" s="9">
        <v>8611.383994615644</v>
      </c>
      <c r="W107" s="9">
        <v>7806.345026706208</v>
      </c>
      <c r="X107" s="9">
        <v>8578.9755376184366</v>
      </c>
      <c r="Y107" s="9">
        <v>9923.658168027403</v>
      </c>
      <c r="Z107" s="9">
        <v>11276.875452645594</v>
      </c>
      <c r="AA107" s="9">
        <v>12257.309374303881</v>
      </c>
      <c r="AB107" s="9">
        <v>12257.309374303881</v>
      </c>
      <c r="AC107" s="9">
        <v>9959.0493484982471</v>
      </c>
      <c r="AD107" s="9">
        <v>10272.587753197471</v>
      </c>
      <c r="AE107" s="9">
        <v>10272.587753197471</v>
      </c>
      <c r="AF107" s="9">
        <v>9991.1564292733819</v>
      </c>
      <c r="AG107" s="9">
        <v>10281.330667387399</v>
      </c>
      <c r="AH107" s="9">
        <v>10335.259989890601</v>
      </c>
      <c r="AI107" s="9">
        <v>10164.03624325527</v>
      </c>
      <c r="AJ107" s="9">
        <v>11799.209506748943</v>
      </c>
      <c r="AK107" s="9">
        <v>12351.897453039857</v>
      </c>
      <c r="AL107" s="9">
        <v>11635.661341902431</v>
      </c>
      <c r="AM107" s="9">
        <v>11635.661341902431</v>
      </c>
      <c r="AN107" s="9">
        <v>11466.329957591764</v>
      </c>
      <c r="AO107" s="9">
        <v>11848.783392155694</v>
      </c>
      <c r="AP107" s="9">
        <v>11658.213494812871</v>
      </c>
      <c r="AQ107" s="9">
        <v>8243.1022512386426</v>
      </c>
      <c r="AR107" s="9">
        <v>5625.7909387445789</v>
      </c>
      <c r="AS107" s="9">
        <v>3988.947590405649</v>
      </c>
      <c r="AT107" s="9">
        <v>2364.0231209623789</v>
      </c>
      <c r="AU107" s="9">
        <v>2364.0231209623789</v>
      </c>
      <c r="AV107" s="9">
        <v>1829.3036055066027</v>
      </c>
      <c r="AW107" s="9">
        <v>0</v>
      </c>
      <c r="AX107" s="9">
        <v>0</v>
      </c>
      <c r="AY107" s="9">
        <v>0</v>
      </c>
      <c r="AZ107" s="9">
        <v>0</v>
      </c>
      <c r="BA107" s="9">
        <v>0</v>
      </c>
      <c r="BB107" s="9">
        <v>0</v>
      </c>
      <c r="BC107" s="9">
        <v>0</v>
      </c>
      <c r="BD107" s="9">
        <v>0</v>
      </c>
      <c r="BE107" s="9">
        <v>0</v>
      </c>
      <c r="BF107" s="9">
        <v>0</v>
      </c>
      <c r="BG107" s="9">
        <v>0</v>
      </c>
      <c r="BH107" s="9">
        <v>0</v>
      </c>
      <c r="BI107" s="9">
        <v>0</v>
      </c>
      <c r="BJ107" s="9">
        <v>0</v>
      </c>
      <c r="BK107" s="9">
        <v>0</v>
      </c>
      <c r="BL107" s="9">
        <v>0</v>
      </c>
      <c r="BM107" s="9">
        <v>0</v>
      </c>
      <c r="BN107" s="9">
        <v>0</v>
      </c>
      <c r="BO107" s="9">
        <v>0</v>
      </c>
    </row>
    <row r="108" spans="1:67">
      <c r="A108" s="84">
        <v>0</v>
      </c>
      <c r="B108">
        <v>495848.61009422655</v>
      </c>
      <c r="C108" s="9">
        <v>495848.61009422655</v>
      </c>
      <c r="D108" t="s">
        <v>22</v>
      </c>
      <c r="E108" s="9">
        <v>0</v>
      </c>
      <c r="F108" s="9">
        <v>0</v>
      </c>
      <c r="G108" s="9">
        <v>2735.5646301000261</v>
      </c>
      <c r="H108" s="9">
        <v>6714.4353698999739</v>
      </c>
      <c r="I108" s="9">
        <v>17119.090625299235</v>
      </c>
      <c r="J108" s="9">
        <v>20152.55586038492</v>
      </c>
      <c r="K108" s="9">
        <v>22927.353514315841</v>
      </c>
      <c r="L108" s="9">
        <v>1298</v>
      </c>
      <c r="M108" s="9">
        <v>33436</v>
      </c>
      <c r="N108" s="9">
        <v>4314</v>
      </c>
      <c r="O108" s="9">
        <v>25841.859797419624</v>
      </c>
      <c r="P108" s="9">
        <v>31812.730108953281</v>
      </c>
      <c r="Q108" s="9">
        <v>24935.678909734408</v>
      </c>
      <c r="R108" s="9">
        <v>20624.544599136865</v>
      </c>
      <c r="S108" s="9">
        <v>21830.926968356609</v>
      </c>
      <c r="T108" s="9">
        <v>19237.432773397413</v>
      </c>
      <c r="U108" s="9">
        <v>18821.763202104037</v>
      </c>
      <c r="V108" s="9">
        <v>20185.821842496745</v>
      </c>
      <c r="W108" s="9">
        <v>8319.0957436749213</v>
      </c>
      <c r="X108" s="9">
        <v>6078.0489959031347</v>
      </c>
      <c r="Y108" s="9">
        <v>6751.5519971970189</v>
      </c>
      <c r="Z108" s="9">
        <v>7761.5921501756329</v>
      </c>
      <c r="AA108" s="9">
        <v>7674.6455341461951</v>
      </c>
      <c r="AB108" s="9">
        <v>7831.4834004719723</v>
      </c>
      <c r="AC108" s="9">
        <v>8489.8754745924634</v>
      </c>
      <c r="AD108" s="9">
        <v>9362.4653251762575</v>
      </c>
      <c r="AE108" s="9">
        <v>15637.899882712692</v>
      </c>
      <c r="AF108" s="9">
        <v>15637.899882712692</v>
      </c>
      <c r="AG108" s="9">
        <v>12896.783858747198</v>
      </c>
      <c r="AH108" s="9">
        <v>9886.6551653354472</v>
      </c>
      <c r="AI108" s="9">
        <v>9814.5668029348144</v>
      </c>
      <c r="AJ108" s="9">
        <v>12560.957585124743</v>
      </c>
      <c r="AK108" s="9">
        <v>10458.087306316067</v>
      </c>
      <c r="AL108" s="9">
        <v>11154.355391941683</v>
      </c>
      <c r="AM108" s="9">
        <v>11154.355391941683</v>
      </c>
      <c r="AN108" s="9">
        <v>11734.578796629696</v>
      </c>
      <c r="AO108" s="9">
        <v>6266.4127706305408</v>
      </c>
      <c r="AP108" s="9">
        <v>5280.0329826609186</v>
      </c>
      <c r="AQ108" s="9">
        <v>3481.3404281280791</v>
      </c>
      <c r="AR108" s="9">
        <v>3481.3404281280791</v>
      </c>
      <c r="AS108" s="9">
        <v>2146.8265973456482</v>
      </c>
      <c r="AT108" s="9">
        <v>0</v>
      </c>
      <c r="AU108" s="9">
        <v>0</v>
      </c>
      <c r="AV108" s="9">
        <v>0</v>
      </c>
      <c r="AW108" s="9">
        <v>0</v>
      </c>
      <c r="AX108" s="9">
        <v>0</v>
      </c>
      <c r="AY108" s="9">
        <v>0</v>
      </c>
      <c r="AZ108" s="9">
        <v>0</v>
      </c>
      <c r="BA108" s="9">
        <v>0</v>
      </c>
      <c r="BB108" s="9">
        <v>0</v>
      </c>
      <c r="BC108" s="9">
        <v>0</v>
      </c>
      <c r="BD108" s="9">
        <v>0</v>
      </c>
      <c r="BE108" s="9">
        <v>0</v>
      </c>
      <c r="BF108" s="9">
        <v>0</v>
      </c>
      <c r="BG108" s="9">
        <v>0</v>
      </c>
      <c r="BH108" s="9">
        <v>0</v>
      </c>
      <c r="BI108" s="9">
        <v>0</v>
      </c>
      <c r="BJ108" s="9">
        <v>0</v>
      </c>
      <c r="BK108" s="9">
        <v>0</v>
      </c>
      <c r="BL108" s="9">
        <v>0</v>
      </c>
      <c r="BM108" s="9">
        <v>0</v>
      </c>
      <c r="BN108" s="9">
        <v>0</v>
      </c>
      <c r="BO108" s="9">
        <v>0</v>
      </c>
    </row>
    <row r="109" spans="1:67">
      <c r="A109" s="84">
        <v>0</v>
      </c>
      <c r="B109">
        <v>2897550.600000001</v>
      </c>
      <c r="C109" s="9">
        <v>2897550.6</v>
      </c>
      <c r="D109" t="s">
        <v>23</v>
      </c>
      <c r="E109" s="9">
        <v>0</v>
      </c>
      <c r="F109" s="9">
        <v>0</v>
      </c>
      <c r="G109" s="9">
        <v>498.48066592933804</v>
      </c>
      <c r="H109" s="9">
        <v>1223.5193340706619</v>
      </c>
      <c r="I109" s="9">
        <v>8011.1281251400324</v>
      </c>
      <c r="J109" s="9">
        <v>9430.6824223476069</v>
      </c>
      <c r="K109" s="9">
        <v>16563</v>
      </c>
      <c r="L109" s="9">
        <v>32256</v>
      </c>
      <c r="M109" s="9">
        <v>47553</v>
      </c>
      <c r="N109" s="9">
        <v>48014</v>
      </c>
      <c r="O109" s="9">
        <v>27065.875828648022</v>
      </c>
      <c r="P109" s="9">
        <v>16079.631804823293</v>
      </c>
      <c r="Q109" s="9">
        <v>19801.028548104769</v>
      </c>
      <c r="R109" s="9">
        <v>35506.715427234492</v>
      </c>
      <c r="S109" s="9">
        <v>82623.776064623671</v>
      </c>
      <c r="T109" s="9">
        <v>75877.293819007347</v>
      </c>
      <c r="U109" s="9">
        <v>79196.377400852987</v>
      </c>
      <c r="V109" s="9">
        <v>79196.377400852987</v>
      </c>
      <c r="W109" s="9">
        <v>74783.827277668912</v>
      </c>
      <c r="X109" s="9">
        <v>86755.222760907054</v>
      </c>
      <c r="Y109" s="9">
        <v>102460.90964003679</v>
      </c>
      <c r="Z109" s="9">
        <v>118166.5965191665</v>
      </c>
      <c r="AA109" s="9">
        <v>133941.05487888353</v>
      </c>
      <c r="AB109" s="9">
        <v>133941.05487888353</v>
      </c>
      <c r="AC109" s="9">
        <v>95729.900977552606</v>
      </c>
      <c r="AD109" s="9">
        <v>94234.121274778328</v>
      </c>
      <c r="AE109" s="9">
        <v>94234.121274778328</v>
      </c>
      <c r="AF109" s="9">
        <v>90494.672017842706</v>
      </c>
      <c r="AG109" s="9">
        <v>101713.01978864965</v>
      </c>
      <c r="AH109" s="9">
        <v>109939.80815390807</v>
      </c>
      <c r="AI109" s="9">
        <v>109939.80815390807</v>
      </c>
      <c r="AJ109" s="9">
        <v>125645.49503303781</v>
      </c>
      <c r="AK109" s="9">
        <v>136115.95295245762</v>
      </c>
      <c r="AL109" s="9">
        <v>125645.49503303781</v>
      </c>
      <c r="AM109" s="9">
        <v>592.31176760632229</v>
      </c>
      <c r="AN109" s="9">
        <v>592.31176760632229</v>
      </c>
      <c r="AO109" s="9">
        <v>141351.18191216749</v>
      </c>
      <c r="AP109" s="9">
        <v>141351.18191216749</v>
      </c>
      <c r="AQ109" s="9">
        <v>100591.18501156896</v>
      </c>
      <c r="AR109" s="9">
        <v>65814.306922067408</v>
      </c>
      <c r="AS109" s="9">
        <v>47491.005563082748</v>
      </c>
      <c r="AT109" s="9">
        <v>31411.373758259448</v>
      </c>
      <c r="AU109" s="9">
        <v>31411.373758259448</v>
      </c>
      <c r="AV109" s="9">
        <v>24306.420170081714</v>
      </c>
      <c r="AW109" s="9">
        <v>0</v>
      </c>
      <c r="AX109" s="9">
        <v>0</v>
      </c>
      <c r="AY109" s="9">
        <v>0</v>
      </c>
      <c r="AZ109" s="9">
        <v>0</v>
      </c>
      <c r="BA109" s="9">
        <v>0</v>
      </c>
      <c r="BB109" s="9">
        <v>0</v>
      </c>
      <c r="BC109" s="9">
        <v>0</v>
      </c>
      <c r="BD109" s="9">
        <v>0</v>
      </c>
      <c r="BE109" s="9">
        <v>0</v>
      </c>
      <c r="BF109" s="9">
        <v>0</v>
      </c>
      <c r="BG109" s="9">
        <v>0</v>
      </c>
      <c r="BH109" s="9">
        <v>0</v>
      </c>
      <c r="BI109" s="9">
        <v>0</v>
      </c>
      <c r="BJ109" s="9">
        <v>0</v>
      </c>
      <c r="BK109" s="9">
        <v>0</v>
      </c>
      <c r="BL109" s="9">
        <v>0</v>
      </c>
      <c r="BM109" s="9">
        <v>0</v>
      </c>
      <c r="BN109" s="9">
        <v>0</v>
      </c>
      <c r="BO109" s="9">
        <v>0</v>
      </c>
    </row>
    <row r="110" spans="1:67">
      <c r="A110" s="84">
        <v>0</v>
      </c>
      <c r="B110">
        <v>548056.45730000001</v>
      </c>
      <c r="C110" s="9">
        <v>548056.45729999989</v>
      </c>
      <c r="D110" t="s">
        <v>24</v>
      </c>
      <c r="E110" s="9">
        <v>0</v>
      </c>
      <c r="F110" s="9">
        <v>0</v>
      </c>
      <c r="G110" s="9">
        <v>0</v>
      </c>
      <c r="H110" s="9">
        <v>0</v>
      </c>
      <c r="I110" s="9">
        <v>0</v>
      </c>
      <c r="J110" s="9">
        <v>0</v>
      </c>
      <c r="K110" s="9">
        <v>0</v>
      </c>
      <c r="L110" s="9">
        <v>0</v>
      </c>
      <c r="M110" s="9">
        <v>0</v>
      </c>
      <c r="N110" s="9">
        <v>0</v>
      </c>
      <c r="O110" s="9">
        <v>0</v>
      </c>
      <c r="P110" s="9">
        <v>0</v>
      </c>
      <c r="Q110" s="9">
        <v>2906.9758036510311</v>
      </c>
      <c r="R110" s="9">
        <v>5869.3175920047606</v>
      </c>
      <c r="S110" s="9">
        <v>7729.9060682353675</v>
      </c>
      <c r="T110" s="9">
        <v>16229.872540019001</v>
      </c>
      <c r="U110" s="9">
        <v>17389.726927705706</v>
      </c>
      <c r="V110" s="9">
        <v>8422.483255888772</v>
      </c>
      <c r="W110" s="9">
        <v>9156.0113051015396</v>
      </c>
      <c r="X110" s="9">
        <v>12599.791588917489</v>
      </c>
      <c r="Y110" s="9">
        <v>14877.125746750071</v>
      </c>
      <c r="Z110" s="9">
        <v>9664.6602919150409</v>
      </c>
      <c r="AA110" s="9">
        <v>8448.1030198464177</v>
      </c>
      <c r="AB110" s="9">
        <v>7351.7378117913677</v>
      </c>
      <c r="AC110" s="9">
        <v>15050.67531784028</v>
      </c>
      <c r="AD110" s="9">
        <v>13049.864221860767</v>
      </c>
      <c r="AE110" s="9">
        <v>10669.493606972694</v>
      </c>
      <c r="AF110" s="9">
        <v>2631.2764993321216</v>
      </c>
      <c r="AG110" s="9">
        <v>7726.5043753005375</v>
      </c>
      <c r="AH110" s="9">
        <v>9740.8967913810739</v>
      </c>
      <c r="AI110" s="9">
        <v>9740.8967913810739</v>
      </c>
      <c r="AJ110" s="9">
        <v>13215.453770440945</v>
      </c>
      <c r="AK110" s="9">
        <v>6721.4624389317696</v>
      </c>
      <c r="AL110" s="9">
        <v>10355.493719026446</v>
      </c>
      <c r="AM110" s="9">
        <v>10343.706817021901</v>
      </c>
      <c r="AN110" s="9">
        <v>15911.010492647007</v>
      </c>
      <c r="AO110" s="9">
        <v>15911.010492647007</v>
      </c>
      <c r="AP110" s="9">
        <v>18415.288461788223</v>
      </c>
      <c r="AQ110" s="9">
        <v>17039.281137577997</v>
      </c>
      <c r="AR110" s="9">
        <v>13597.925743081609</v>
      </c>
      <c r="AS110" s="9">
        <v>15386.330114047394</v>
      </c>
      <c r="AT110" s="9">
        <v>27408.121447419329</v>
      </c>
      <c r="AU110" s="9">
        <v>27369.69859117295</v>
      </c>
      <c r="AV110" s="9">
        <v>27713.247210411682</v>
      </c>
      <c r="AW110" s="9">
        <v>24905.669618078431</v>
      </c>
      <c r="AX110" s="9">
        <v>24905.669618078427</v>
      </c>
      <c r="AY110" s="9">
        <v>24220.114609208213</v>
      </c>
      <c r="AZ110" s="9">
        <v>24011.467432595538</v>
      </c>
      <c r="BA110" s="9">
        <v>20402.910099780758</v>
      </c>
      <c r="BB110" s="9">
        <v>15635.060711112485</v>
      </c>
      <c r="BC110" s="9">
        <v>5332.2152190367142</v>
      </c>
      <c r="BD110" s="9">
        <v>0</v>
      </c>
      <c r="BE110" s="9">
        <v>0</v>
      </c>
      <c r="BF110" s="9">
        <v>0</v>
      </c>
      <c r="BG110" s="9">
        <v>0</v>
      </c>
      <c r="BH110" s="9">
        <v>0</v>
      </c>
      <c r="BI110" s="9">
        <v>0</v>
      </c>
      <c r="BJ110" s="9">
        <v>0</v>
      </c>
      <c r="BK110" s="9">
        <v>0</v>
      </c>
      <c r="BL110" s="9">
        <v>0</v>
      </c>
      <c r="BM110" s="9">
        <v>0</v>
      </c>
      <c r="BN110" s="9">
        <v>0</v>
      </c>
      <c r="BO110" s="9">
        <v>0</v>
      </c>
    </row>
    <row r="111" spans="1:67">
      <c r="A111" s="84">
        <v>0</v>
      </c>
      <c r="B111">
        <v>446502.00200000009</v>
      </c>
      <c r="C111" s="9">
        <v>446502.00200000009</v>
      </c>
      <c r="D111" t="s">
        <v>25</v>
      </c>
      <c r="E111" s="9">
        <v>0</v>
      </c>
      <c r="F111" s="9">
        <v>0</v>
      </c>
      <c r="G111" s="9">
        <v>0</v>
      </c>
      <c r="H111" s="9">
        <v>0</v>
      </c>
      <c r="I111" s="9">
        <v>0</v>
      </c>
      <c r="J111" s="9">
        <v>0</v>
      </c>
      <c r="K111" s="9">
        <v>0</v>
      </c>
      <c r="L111" s="9">
        <v>0</v>
      </c>
      <c r="M111" s="9">
        <v>0</v>
      </c>
      <c r="N111" s="9">
        <v>0</v>
      </c>
      <c r="O111" s="9">
        <v>0</v>
      </c>
      <c r="P111" s="9">
        <v>0</v>
      </c>
      <c r="Q111" s="9">
        <v>0</v>
      </c>
      <c r="R111" s="9">
        <v>3512.4</v>
      </c>
      <c r="S111" s="9">
        <v>4433.58</v>
      </c>
      <c r="T111" s="9">
        <v>11618.014999999999</v>
      </c>
      <c r="U111" s="9">
        <v>10717.955999999998</v>
      </c>
      <c r="V111" s="9">
        <v>5172.51</v>
      </c>
      <c r="W111" s="9">
        <v>5256.5910000000003</v>
      </c>
      <c r="X111" s="9">
        <v>5744.2310000000007</v>
      </c>
      <c r="Y111" s="9">
        <v>5046.183</v>
      </c>
      <c r="Z111" s="9">
        <v>969.56999999999994</v>
      </c>
      <c r="AA111" s="9">
        <v>0</v>
      </c>
      <c r="AB111" s="9">
        <v>0</v>
      </c>
      <c r="AC111" s="9">
        <v>12015.059999999994</v>
      </c>
      <c r="AD111" s="9">
        <v>10829.350999999993</v>
      </c>
      <c r="AE111" s="9">
        <v>7389.3000000000102</v>
      </c>
      <c r="AF111" s="9">
        <v>0</v>
      </c>
      <c r="AG111" s="9">
        <v>6041.3280000000004</v>
      </c>
      <c r="AH111" s="9">
        <v>8429.76</v>
      </c>
      <c r="AI111" s="9">
        <v>8429.76</v>
      </c>
      <c r="AJ111" s="9">
        <v>12286.559000000001</v>
      </c>
      <c r="AK111" s="9">
        <v>3430.7309999999998</v>
      </c>
      <c r="AL111" s="9">
        <v>6075.9059999999999</v>
      </c>
      <c r="AM111" s="9">
        <v>6127.7480000000005</v>
      </c>
      <c r="AN111" s="9">
        <v>6361.9219999999996</v>
      </c>
      <c r="AO111" s="9">
        <v>6455.1620000000003</v>
      </c>
      <c r="AP111" s="9">
        <v>18313.71</v>
      </c>
      <c r="AQ111" s="9">
        <v>16988.519</v>
      </c>
      <c r="AR111" s="9">
        <v>14087.28</v>
      </c>
      <c r="AS111" s="9">
        <v>15181.320000000003</v>
      </c>
      <c r="AT111" s="9">
        <v>24871.775000000001</v>
      </c>
      <c r="AU111" s="9">
        <v>27569.348000000002</v>
      </c>
      <c r="AV111" s="9">
        <v>27380.817999999999</v>
      </c>
      <c r="AW111" s="9">
        <v>27663.840000000004</v>
      </c>
      <c r="AX111" s="9">
        <v>27726.000000000004</v>
      </c>
      <c r="AY111" s="9">
        <v>27258.962000000003</v>
      </c>
      <c r="AZ111" s="9">
        <v>26930.340000000004</v>
      </c>
      <c r="BA111" s="9">
        <v>22138.512000000002</v>
      </c>
      <c r="BB111" s="9">
        <v>17725.635000000002</v>
      </c>
      <c r="BC111" s="9">
        <v>6322.3200000000006</v>
      </c>
      <c r="BD111" s="9">
        <v>0</v>
      </c>
      <c r="BE111" s="9">
        <v>0</v>
      </c>
      <c r="BF111" s="9">
        <v>0</v>
      </c>
      <c r="BG111" s="9">
        <v>0</v>
      </c>
      <c r="BH111" s="9">
        <v>0</v>
      </c>
      <c r="BI111" s="9">
        <v>0</v>
      </c>
      <c r="BJ111" s="9">
        <v>0</v>
      </c>
      <c r="BK111" s="9">
        <v>0</v>
      </c>
      <c r="BL111" s="9">
        <v>0</v>
      </c>
      <c r="BM111" s="9">
        <v>0</v>
      </c>
      <c r="BN111" s="9">
        <v>0</v>
      </c>
      <c r="BO111" s="9">
        <v>0</v>
      </c>
    </row>
    <row r="112" spans="1:67">
      <c r="A112" s="84">
        <v>0</v>
      </c>
      <c r="B112">
        <v>26816</v>
      </c>
      <c r="C112" s="9">
        <v>26815.999999999993</v>
      </c>
      <c r="D112" t="s">
        <v>26</v>
      </c>
      <c r="E112" s="9">
        <v>0</v>
      </c>
      <c r="F112" s="9">
        <v>0</v>
      </c>
      <c r="G112" s="9">
        <v>0</v>
      </c>
      <c r="H112" s="9">
        <v>0</v>
      </c>
      <c r="I112" s="9">
        <v>0</v>
      </c>
      <c r="J112" s="9">
        <v>0</v>
      </c>
      <c r="K112" s="9">
        <v>0</v>
      </c>
      <c r="L112" s="9">
        <v>0</v>
      </c>
      <c r="M112" s="9">
        <v>0</v>
      </c>
      <c r="N112" s="9">
        <v>0</v>
      </c>
      <c r="O112" s="9">
        <v>1320.9435133002835</v>
      </c>
      <c r="P112" s="9">
        <v>945.54441769871869</v>
      </c>
      <c r="Q112" s="9">
        <v>796.78419681077366</v>
      </c>
      <c r="R112" s="9">
        <v>731.57423696948285</v>
      </c>
      <c r="S112" s="9">
        <v>990.37626508960625</v>
      </c>
      <c r="T112" s="9">
        <v>806.9732530359754</v>
      </c>
      <c r="U112" s="9">
        <v>772.3304618702897</v>
      </c>
      <c r="V112" s="9">
        <v>813.08668677109631</v>
      </c>
      <c r="W112" s="9">
        <v>678.59114459843386</v>
      </c>
      <c r="X112" s="9">
        <v>635.79710845258671</v>
      </c>
      <c r="Y112" s="9">
        <v>737.68767070460399</v>
      </c>
      <c r="Z112" s="9">
        <v>847.72947793678247</v>
      </c>
      <c r="AA112" s="9">
        <v>929.24192773839593</v>
      </c>
      <c r="AB112" s="9">
        <v>929.24192773839593</v>
      </c>
      <c r="AC112" s="9">
        <v>794.74638556573348</v>
      </c>
      <c r="AD112" s="9">
        <v>855.88072291694368</v>
      </c>
      <c r="AE112" s="9">
        <v>855.88072291694368</v>
      </c>
      <c r="AF112" s="9">
        <v>835.50261046654032</v>
      </c>
      <c r="AG112" s="9">
        <v>849.76728918182255</v>
      </c>
      <c r="AH112" s="9">
        <v>794.74638556573336</v>
      </c>
      <c r="AI112" s="9">
        <v>819.20012050621767</v>
      </c>
      <c r="AJ112" s="9">
        <v>1027.0568675003324</v>
      </c>
      <c r="AK112" s="9">
        <v>1059.6618474209779</v>
      </c>
      <c r="AL112" s="9">
        <v>1027.0568675003324</v>
      </c>
      <c r="AM112" s="9">
        <v>1027.0568675003324</v>
      </c>
      <c r="AN112" s="9">
        <v>1027.0568675003324</v>
      </c>
      <c r="AO112" s="9">
        <v>990.37626508960625</v>
      </c>
      <c r="AP112" s="9">
        <v>955.73347392392043</v>
      </c>
      <c r="AQ112" s="9">
        <v>670.43989961827253</v>
      </c>
      <c r="AR112" s="9">
        <v>480.92345382952078</v>
      </c>
      <c r="AS112" s="9">
        <v>334.20104418661612</v>
      </c>
      <c r="AT112" s="9">
        <v>171.17614458338878</v>
      </c>
      <c r="AU112" s="9">
        <v>171.17614458338878</v>
      </c>
      <c r="AV112" s="9">
        <v>132.45773092762224</v>
      </c>
      <c r="AW112" s="9">
        <v>0</v>
      </c>
      <c r="AX112" s="9">
        <v>0</v>
      </c>
      <c r="AY112" s="9">
        <v>0</v>
      </c>
      <c r="AZ112" s="9">
        <v>0</v>
      </c>
      <c r="BA112" s="9">
        <v>0</v>
      </c>
      <c r="BB112" s="9">
        <v>0</v>
      </c>
      <c r="BC112" s="9">
        <v>0</v>
      </c>
      <c r="BD112" s="9">
        <v>0</v>
      </c>
      <c r="BE112" s="9">
        <v>0</v>
      </c>
      <c r="BF112" s="9">
        <v>0</v>
      </c>
      <c r="BG112" s="9">
        <v>0</v>
      </c>
      <c r="BH112" s="9">
        <v>0</v>
      </c>
      <c r="BI112" s="9">
        <v>0</v>
      </c>
      <c r="BJ112" s="9">
        <v>0</v>
      </c>
      <c r="BK112" s="9">
        <v>0</v>
      </c>
      <c r="BL112" s="9">
        <v>0</v>
      </c>
      <c r="BM112" s="9">
        <v>0</v>
      </c>
      <c r="BN112" s="9">
        <v>0</v>
      </c>
      <c r="BO112" s="9">
        <v>0</v>
      </c>
    </row>
    <row r="113" spans="1:67">
      <c r="A113" s="84">
        <v>0</v>
      </c>
      <c r="B113">
        <v>424</v>
      </c>
      <c r="C113" s="9">
        <v>424.00000000000006</v>
      </c>
      <c r="D113" t="s">
        <v>27</v>
      </c>
      <c r="E113" s="9">
        <v>0</v>
      </c>
      <c r="F113" s="9">
        <v>0</v>
      </c>
      <c r="G113" s="9">
        <v>0</v>
      </c>
      <c r="H113" s="9">
        <v>0</v>
      </c>
      <c r="I113" s="9">
        <v>0</v>
      </c>
      <c r="J113" s="9">
        <v>0</v>
      </c>
      <c r="K113" s="9">
        <v>0</v>
      </c>
      <c r="L113" s="9">
        <v>0</v>
      </c>
      <c r="M113" s="9">
        <v>0</v>
      </c>
      <c r="N113" s="9">
        <v>0</v>
      </c>
      <c r="O113" s="9">
        <v>45.6741490887933</v>
      </c>
      <c r="P113" s="9">
        <v>55.503470269742166</v>
      </c>
      <c r="Q113" s="9">
        <v>39.903356563220278</v>
      </c>
      <c r="R113" s="9">
        <v>32.97708724754699</v>
      </c>
      <c r="S113" s="9">
        <v>35.323163706299702</v>
      </c>
      <c r="T113" s="9">
        <v>29.138053042315686</v>
      </c>
      <c r="U113" s="9">
        <v>25.512298515152729</v>
      </c>
      <c r="V113" s="9">
        <v>25.512298515152729</v>
      </c>
      <c r="W113" s="9">
        <v>11.936034751555685</v>
      </c>
      <c r="X113" s="9">
        <v>8.2366445916114728</v>
      </c>
      <c r="Y113" s="9">
        <v>6.1774834437086055</v>
      </c>
      <c r="Z113" s="9">
        <v>8.2366445916114728</v>
      </c>
      <c r="AA113" s="9">
        <v>8.2366445916114728</v>
      </c>
      <c r="AB113" s="9">
        <v>8.2366445916114728</v>
      </c>
      <c r="AC113" s="9">
        <v>8.2366445916114728</v>
      </c>
      <c r="AD113" s="9">
        <v>8.2366445916114728</v>
      </c>
      <c r="AE113" s="9">
        <v>8.2366445916114728</v>
      </c>
      <c r="AF113" s="9">
        <v>8.2366445916114728</v>
      </c>
      <c r="AG113" s="9">
        <v>8.2366445916114728</v>
      </c>
      <c r="AH113" s="9">
        <v>6.1774834437086055</v>
      </c>
      <c r="AI113" s="9">
        <v>7.3006622516556225</v>
      </c>
      <c r="AJ113" s="9">
        <v>4.4927152317880896</v>
      </c>
      <c r="AK113" s="9">
        <v>3.3695364238410517</v>
      </c>
      <c r="AL113" s="9">
        <v>4.4927152317880896</v>
      </c>
      <c r="AM113" s="9">
        <v>4.4927152317880896</v>
      </c>
      <c r="AN113" s="9">
        <v>4.4927152317880896</v>
      </c>
      <c r="AO113" s="9">
        <v>4.4927152317880896</v>
      </c>
      <c r="AP113" s="9">
        <v>2.9015452538631261</v>
      </c>
      <c r="AQ113" s="9">
        <v>0</v>
      </c>
      <c r="AR113" s="9">
        <v>0</v>
      </c>
      <c r="AS113" s="9">
        <v>0</v>
      </c>
      <c r="AT113" s="9">
        <v>0</v>
      </c>
      <c r="AU113" s="9">
        <v>0</v>
      </c>
      <c r="AV113" s="9">
        <v>0</v>
      </c>
      <c r="AW113" s="9">
        <v>0</v>
      </c>
      <c r="AX113" s="9">
        <v>0</v>
      </c>
      <c r="AY113" s="9">
        <v>0</v>
      </c>
      <c r="AZ113" s="9">
        <v>0</v>
      </c>
      <c r="BA113" s="9">
        <v>0</v>
      </c>
      <c r="BB113" s="9">
        <v>0</v>
      </c>
      <c r="BC113" s="9">
        <v>0</v>
      </c>
      <c r="BD113" s="9">
        <v>0</v>
      </c>
      <c r="BE113" s="9">
        <v>0</v>
      </c>
      <c r="BF113" s="9">
        <v>0</v>
      </c>
      <c r="BG113" s="9">
        <v>0</v>
      </c>
      <c r="BH113" s="9">
        <v>0</v>
      </c>
      <c r="BI113" s="9">
        <v>0</v>
      </c>
      <c r="BJ113" s="9">
        <v>0</v>
      </c>
      <c r="BK113" s="9">
        <v>0</v>
      </c>
      <c r="BL113" s="9">
        <v>0</v>
      </c>
      <c r="BM113" s="9">
        <v>0</v>
      </c>
      <c r="BN113" s="9">
        <v>0</v>
      </c>
      <c r="BO113" s="9">
        <v>0</v>
      </c>
    </row>
    <row r="114" spans="1:67">
      <c r="A114" s="84">
        <v>0</v>
      </c>
      <c r="B114">
        <v>2120</v>
      </c>
      <c r="C114" s="88">
        <v>2120</v>
      </c>
      <c r="D114" t="s">
        <v>28</v>
      </c>
      <c r="E114" s="9">
        <v>0</v>
      </c>
      <c r="F114" s="9">
        <v>0</v>
      </c>
      <c r="G114" s="9">
        <v>0</v>
      </c>
      <c r="H114" s="9">
        <v>0</v>
      </c>
      <c r="I114" s="9">
        <v>0</v>
      </c>
      <c r="J114" s="9">
        <v>0</v>
      </c>
      <c r="K114" s="9">
        <v>0</v>
      </c>
      <c r="L114" s="9">
        <v>0</v>
      </c>
      <c r="M114" s="9">
        <v>0</v>
      </c>
      <c r="N114" s="9">
        <v>0</v>
      </c>
      <c r="O114" s="9">
        <v>228.37074544396651</v>
      </c>
      <c r="P114" s="9">
        <v>277.51735134871086</v>
      </c>
      <c r="Q114" s="9">
        <v>199.5167828161014</v>
      </c>
      <c r="R114" s="9">
        <v>164.88543623773495</v>
      </c>
      <c r="S114" s="9">
        <v>176.61581853149852</v>
      </c>
      <c r="T114" s="9">
        <v>145.69026521157843</v>
      </c>
      <c r="U114" s="9">
        <v>127.56149257576365</v>
      </c>
      <c r="V114" s="9">
        <v>127.56149257576365</v>
      </c>
      <c r="W114" s="9">
        <v>59.680173757778419</v>
      </c>
      <c r="X114" s="9">
        <v>41.183222958057364</v>
      </c>
      <c r="Y114" s="9">
        <v>30.887417218543025</v>
      </c>
      <c r="Z114" s="9">
        <v>41.183222958057364</v>
      </c>
      <c r="AA114" s="9">
        <v>41.183222958057364</v>
      </c>
      <c r="AB114" s="9">
        <v>41.183222958057364</v>
      </c>
      <c r="AC114" s="9">
        <v>41.183222958057364</v>
      </c>
      <c r="AD114" s="9">
        <v>41.183222958057364</v>
      </c>
      <c r="AE114" s="9">
        <v>41.183222958057364</v>
      </c>
      <c r="AF114" s="9">
        <v>41.183222958057364</v>
      </c>
      <c r="AG114" s="9">
        <v>41.183222958057364</v>
      </c>
      <c r="AH114" s="9">
        <v>30.887417218543025</v>
      </c>
      <c r="AI114" s="9">
        <v>36.503311258278117</v>
      </c>
      <c r="AJ114" s="9">
        <v>22.463576158940448</v>
      </c>
      <c r="AK114" s="9">
        <v>16.847682119205256</v>
      </c>
      <c r="AL114" s="9">
        <v>22.463576158940448</v>
      </c>
      <c r="AM114" s="9">
        <v>22.463576158940448</v>
      </c>
      <c r="AN114" s="9">
        <v>22.463576158940448</v>
      </c>
      <c r="AO114" s="9">
        <v>22.463576158940448</v>
      </c>
      <c r="AP114" s="9">
        <v>14.507726269315629</v>
      </c>
      <c r="AQ114" s="9">
        <v>0</v>
      </c>
      <c r="AR114" s="9">
        <v>0</v>
      </c>
      <c r="AS114" s="9">
        <v>0</v>
      </c>
      <c r="AT114" s="9">
        <v>0</v>
      </c>
      <c r="AU114" s="9">
        <v>0</v>
      </c>
      <c r="AV114" s="9">
        <v>0</v>
      </c>
      <c r="AW114" s="9">
        <v>0</v>
      </c>
      <c r="AX114" s="9">
        <v>0</v>
      </c>
      <c r="AY114" s="9">
        <v>0</v>
      </c>
      <c r="AZ114" s="9">
        <v>0</v>
      </c>
      <c r="BA114" s="9">
        <v>0</v>
      </c>
      <c r="BB114" s="9">
        <v>0</v>
      </c>
      <c r="BC114" s="9">
        <v>0</v>
      </c>
      <c r="BD114" s="9">
        <v>0</v>
      </c>
      <c r="BE114" s="9">
        <v>0</v>
      </c>
      <c r="BF114" s="9">
        <v>0</v>
      </c>
      <c r="BG114" s="9">
        <v>0</v>
      </c>
      <c r="BH114" s="9">
        <v>0</v>
      </c>
      <c r="BI114" s="9">
        <v>0</v>
      </c>
      <c r="BJ114" s="9">
        <v>0</v>
      </c>
      <c r="BK114" s="9">
        <v>0</v>
      </c>
      <c r="BL114" s="9">
        <v>0</v>
      </c>
      <c r="BM114" s="9">
        <v>0</v>
      </c>
      <c r="BN114" s="9">
        <v>0</v>
      </c>
      <c r="BO114" s="9">
        <v>0</v>
      </c>
    </row>
    <row r="115" spans="1:67">
      <c r="A115" s="84">
        <v>0</v>
      </c>
      <c r="B115">
        <v>5501.3510000000015</v>
      </c>
      <c r="C115" s="9">
        <v>5501.3510000000015</v>
      </c>
      <c r="D115" t="s">
        <v>29</v>
      </c>
      <c r="E115" s="9">
        <v>0</v>
      </c>
      <c r="F115" s="9">
        <v>0</v>
      </c>
      <c r="G115" s="9">
        <v>0</v>
      </c>
      <c r="H115" s="9">
        <v>0</v>
      </c>
      <c r="I115" s="9">
        <v>0</v>
      </c>
      <c r="J115" s="9">
        <v>0</v>
      </c>
      <c r="K115" s="9">
        <v>0</v>
      </c>
      <c r="L115" s="9">
        <v>0</v>
      </c>
      <c r="M115" s="9">
        <v>0</v>
      </c>
      <c r="N115" s="9">
        <v>0</v>
      </c>
      <c r="O115" s="9">
        <v>92.236484059699237</v>
      </c>
      <c r="P115" s="9">
        <v>114.32654613282499</v>
      </c>
      <c r="Q115" s="9">
        <v>101.28138160950506</v>
      </c>
      <c r="R115" s="9">
        <v>108.95047082032227</v>
      </c>
      <c r="S115" s="9">
        <v>177.36149819748957</v>
      </c>
      <c r="T115" s="9">
        <v>154.71798595163423</v>
      </c>
      <c r="U115" s="9">
        <v>152.33742061356597</v>
      </c>
      <c r="V115" s="9">
        <v>156.3814633069569</v>
      </c>
      <c r="W115" s="9">
        <v>137.77469780117974</v>
      </c>
      <c r="X115" s="9">
        <v>146.91756958118629</v>
      </c>
      <c r="Y115" s="9">
        <v>170.55645831471904</v>
      </c>
      <c r="Z115" s="9">
        <v>196.20694560450039</v>
      </c>
      <c r="AA115" s="9">
        <v>214.34677009825714</v>
      </c>
      <c r="AB115" s="9">
        <v>214.34677009825714</v>
      </c>
      <c r="AC115" s="9">
        <v>173.27055294708762</v>
      </c>
      <c r="AD115" s="9">
        <v>181.81098743926427</v>
      </c>
      <c r="AE115" s="9">
        <v>181.81098743926427</v>
      </c>
      <c r="AF115" s="9">
        <v>176.42240477822531</v>
      </c>
      <c r="AG115" s="9">
        <v>185.65074343989633</v>
      </c>
      <c r="AH115" s="9">
        <v>184.48547546793475</v>
      </c>
      <c r="AI115" s="9">
        <v>186.43245272341261</v>
      </c>
      <c r="AJ115" s="9">
        <v>226.10367772234224</v>
      </c>
      <c r="AK115" s="9">
        <v>240.78730490391229</v>
      </c>
      <c r="AL115" s="9">
        <v>229.10127225486602</v>
      </c>
      <c r="AM115" s="9">
        <v>229.10127225486602</v>
      </c>
      <c r="AN115" s="9">
        <v>226.54768859537947</v>
      </c>
      <c r="AO115" s="9">
        <v>234.30641380403986</v>
      </c>
      <c r="AP115" s="9">
        <v>229.48691550140074</v>
      </c>
      <c r="AQ115" s="9">
        <v>161.96286759126323</v>
      </c>
      <c r="AR115" s="9">
        <v>111.84904884360068</v>
      </c>
      <c r="AS115" s="9">
        <v>78.924496100939095</v>
      </c>
      <c r="AT115" s="9">
        <v>45.264094352727476</v>
      </c>
      <c r="AU115" s="9">
        <v>45.264094352727476</v>
      </c>
      <c r="AV115" s="9">
        <v>35.0257872967534</v>
      </c>
      <c r="AW115" s="9">
        <v>0</v>
      </c>
      <c r="AX115" s="9">
        <v>0</v>
      </c>
      <c r="AY115" s="9">
        <v>0</v>
      </c>
      <c r="AZ115" s="9">
        <v>0</v>
      </c>
      <c r="BA115" s="9">
        <v>0</v>
      </c>
      <c r="BB115" s="9">
        <v>0</v>
      </c>
      <c r="BC115" s="9">
        <v>0</v>
      </c>
      <c r="BD115" s="9">
        <v>0</v>
      </c>
      <c r="BE115" s="9">
        <v>0</v>
      </c>
      <c r="BF115" s="9">
        <v>0</v>
      </c>
      <c r="BG115" s="9">
        <v>0</v>
      </c>
      <c r="BH115" s="9">
        <v>0</v>
      </c>
      <c r="BI115" s="9">
        <v>0</v>
      </c>
      <c r="BJ115" s="9">
        <v>0</v>
      </c>
      <c r="BK115" s="9">
        <v>0</v>
      </c>
      <c r="BL115" s="9">
        <v>0</v>
      </c>
      <c r="BM115" s="9">
        <v>0</v>
      </c>
      <c r="BN115" s="9">
        <v>0</v>
      </c>
      <c r="BO115" s="9">
        <v>0</v>
      </c>
    </row>
    <row r="116" spans="1:67" ht="15" thickBot="1">
      <c r="A116" s="84"/>
      <c r="C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row>
    <row r="117" spans="1:67" ht="15" thickBot="1">
      <c r="B117" s="89" t="s">
        <v>5192</v>
      </c>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row>
    <row r="118" spans="1:67">
      <c r="D118" t="s">
        <v>2</v>
      </c>
      <c r="E118" s="9"/>
      <c r="F118" s="9"/>
      <c r="G118" s="9"/>
      <c r="H118" s="9"/>
      <c r="I118" s="9"/>
      <c r="J118" s="9"/>
      <c r="K118" s="9"/>
      <c r="L118" s="9"/>
      <c r="M118" s="9"/>
      <c r="N118" s="9"/>
      <c r="O118" s="9">
        <v>-37148.285975534163</v>
      </c>
      <c r="P118" s="9">
        <v>-51274.389620773603</v>
      </c>
      <c r="Q118" s="9">
        <v>-49090.882859423473</v>
      </c>
      <c r="R118" s="9">
        <v>-34557.516283464865</v>
      </c>
      <c r="S118" s="9">
        <v>-30150.882678401376</v>
      </c>
      <c r="T118" s="9">
        <v>-51406.856764836455</v>
      </c>
      <c r="U118" s="9">
        <v>-58446.29153326786</v>
      </c>
      <c r="V118" s="9">
        <v>-70952.630663068427</v>
      </c>
      <c r="W118" s="9">
        <v>-70952.630663068412</v>
      </c>
      <c r="X118" s="9">
        <v>-70785.879474671063</v>
      </c>
      <c r="Y118" s="9">
        <v>-73287.147300631201</v>
      </c>
      <c r="Z118" s="9">
        <v>-73287.147300631201</v>
      </c>
      <c r="AA118" s="9">
        <v>-73287.147300631201</v>
      </c>
      <c r="AB118" s="9">
        <v>-73287.147300631201</v>
      </c>
      <c r="AC118" s="9">
        <v>-73287.147300631201</v>
      </c>
      <c r="AD118" s="9">
        <v>-53277.004692950308</v>
      </c>
      <c r="AE118" s="9">
        <v>-43271.933389109872</v>
      </c>
      <c r="AF118" s="9">
        <v>-43271.933389109872</v>
      </c>
      <c r="AG118" s="9">
        <v>-53277.004692950308</v>
      </c>
      <c r="AH118" s="9">
        <v>-63282.075996790736</v>
      </c>
      <c r="AI118" s="9">
        <v>-68284.611648710968</v>
      </c>
      <c r="AJ118" s="9">
        <v>-68284.611648710968</v>
      </c>
      <c r="AK118" s="9">
        <v>-68284.611648710968</v>
      </c>
      <c r="AL118" s="9">
        <v>-68284.611648710968</v>
      </c>
      <c r="AM118" s="9">
        <v>-65783.343822750845</v>
      </c>
      <c r="AN118" s="9">
        <v>-64195.639057544417</v>
      </c>
      <c r="AO118" s="9">
        <v>-23261.790781429005</v>
      </c>
      <c r="AP118" s="9">
        <v>-23261.790781429005</v>
      </c>
      <c r="AQ118" s="9">
        <v>-23261.790781429005</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9">
        <v>0</v>
      </c>
      <c r="BK118" s="9"/>
      <c r="BL118" s="9"/>
      <c r="BM118" s="9"/>
      <c r="BN118" s="9"/>
      <c r="BO118" s="9"/>
    </row>
    <row r="119" spans="1:67">
      <c r="D119" t="s">
        <v>5</v>
      </c>
      <c r="E119" s="9"/>
      <c r="F119" s="9"/>
      <c r="G119" s="9"/>
      <c r="H119" s="9"/>
      <c r="I119" s="9"/>
      <c r="J119" s="9"/>
      <c r="K119" s="9"/>
      <c r="L119" s="9"/>
      <c r="M119" s="9"/>
      <c r="N119" s="9"/>
      <c r="O119" s="9">
        <v>-26.351709718530149</v>
      </c>
      <c r="P119" s="9">
        <v>-61.938752568667574</v>
      </c>
      <c r="Q119" s="9">
        <v>-42.279950334610504</v>
      </c>
      <c r="R119" s="9">
        <v>-65.880892320141086</v>
      </c>
      <c r="S119" s="9">
        <v>-46.22209008608403</v>
      </c>
      <c r="T119" s="9">
        <v>-59.086635042434054</v>
      </c>
      <c r="U119" s="9">
        <v>-127.32981219321798</v>
      </c>
      <c r="V119" s="9">
        <v>-112.46744632513094</v>
      </c>
      <c r="W119" s="9">
        <v>-96.539205709050592</v>
      </c>
      <c r="X119" s="9">
        <v>-108.52530657365742</v>
      </c>
      <c r="Y119" s="9">
        <v>-108.52530657365742</v>
      </c>
      <c r="Z119" s="9">
        <v>-92.597065957577058</v>
      </c>
      <c r="AA119" s="9">
        <v>-92.597065957577058</v>
      </c>
      <c r="AB119" s="9">
        <v>-87.380812292032644</v>
      </c>
      <c r="AC119" s="9">
        <v>-87.380812292032644</v>
      </c>
      <c r="AD119" s="9">
        <v>-82.552938609057193</v>
      </c>
      <c r="AE119" s="9">
        <v>-62.894136375000095</v>
      </c>
      <c r="AF119" s="9">
        <v>-65.460536718888662</v>
      </c>
      <c r="AG119" s="9">
        <v>-120.70638180308316</v>
      </c>
      <c r="AH119" s="9">
        <v>-136.63462241916352</v>
      </c>
      <c r="AI119" s="9">
        <v>-136.63462241916352</v>
      </c>
      <c r="AJ119" s="9">
        <v>-136.63462241916352</v>
      </c>
      <c r="AK119" s="9">
        <v>-120.70638180308316</v>
      </c>
      <c r="AL119" s="9">
        <v>-104.77814118700283</v>
      </c>
      <c r="AM119" s="9">
        <v>-104.77814118700283</v>
      </c>
      <c r="AN119" s="9">
        <v>-78.635208936228295</v>
      </c>
      <c r="AO119" s="9">
        <v>-97.749097675524723</v>
      </c>
      <c r="AP119" s="9">
        <v>-97.749097675524723</v>
      </c>
      <c r="AQ119" s="9">
        <v>-78.635208936228295</v>
      </c>
      <c r="AR119" s="9">
        <v>0</v>
      </c>
      <c r="AS119" s="9">
        <v>0</v>
      </c>
      <c r="AT119" s="9">
        <v>0</v>
      </c>
      <c r="AU119" s="9">
        <v>0</v>
      </c>
      <c r="AV119" s="9">
        <v>0</v>
      </c>
      <c r="AW119" s="9">
        <v>0</v>
      </c>
      <c r="AX119" s="9">
        <v>0</v>
      </c>
      <c r="AY119" s="9">
        <v>0</v>
      </c>
      <c r="AZ119" s="9">
        <v>0</v>
      </c>
      <c r="BA119" s="9">
        <v>0</v>
      </c>
      <c r="BB119" s="9">
        <v>0</v>
      </c>
      <c r="BC119" s="9">
        <v>0</v>
      </c>
      <c r="BD119" s="9">
        <v>0</v>
      </c>
      <c r="BE119" s="9">
        <v>0</v>
      </c>
      <c r="BF119" s="9">
        <v>0</v>
      </c>
      <c r="BG119" s="9">
        <v>0</v>
      </c>
      <c r="BH119" s="9">
        <v>0</v>
      </c>
      <c r="BI119" s="9">
        <v>0</v>
      </c>
      <c r="BJ119" s="9">
        <v>0</v>
      </c>
      <c r="BK119" s="9"/>
      <c r="BL119" s="9"/>
      <c r="BM119" s="9"/>
      <c r="BN119" s="9"/>
      <c r="BO119" s="9"/>
    </row>
    <row r="120" spans="1:67">
      <c r="D120" t="s">
        <v>6</v>
      </c>
      <c r="E120" s="9"/>
      <c r="F120" s="9"/>
      <c r="G120" s="9"/>
      <c r="H120" s="9"/>
      <c r="I120" s="9"/>
      <c r="J120" s="9"/>
      <c r="K120" s="9"/>
      <c r="L120" s="9"/>
      <c r="M120" s="9"/>
      <c r="N120" s="9"/>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9">
        <v>0</v>
      </c>
      <c r="BD120" s="9">
        <v>0</v>
      </c>
      <c r="BE120" s="9">
        <v>0</v>
      </c>
      <c r="BF120" s="9">
        <v>0</v>
      </c>
      <c r="BG120" s="9">
        <v>0</v>
      </c>
      <c r="BH120" s="9">
        <v>0</v>
      </c>
      <c r="BI120" s="9">
        <v>0</v>
      </c>
      <c r="BJ120" s="9">
        <v>0</v>
      </c>
      <c r="BK120" s="9"/>
      <c r="BL120" s="9"/>
      <c r="BM120" s="9"/>
      <c r="BN120" s="9"/>
      <c r="BO120" s="9"/>
    </row>
    <row r="121" spans="1:67">
      <c r="D121" t="s">
        <v>7</v>
      </c>
      <c r="E121" s="9"/>
      <c r="F121" s="9"/>
      <c r="G121" s="9"/>
      <c r="H121" s="9"/>
      <c r="I121" s="9"/>
      <c r="J121" s="9"/>
      <c r="K121" s="9"/>
      <c r="L121" s="9"/>
      <c r="M121" s="9"/>
      <c r="N121" s="9"/>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c r="AU121" s="9">
        <v>0</v>
      </c>
      <c r="AV121" s="9">
        <v>0</v>
      </c>
      <c r="AW121" s="9">
        <v>0</v>
      </c>
      <c r="AX121" s="9">
        <v>0</v>
      </c>
      <c r="AY121" s="9">
        <v>0</v>
      </c>
      <c r="AZ121" s="9">
        <v>0</v>
      </c>
      <c r="BA121" s="9">
        <v>0</v>
      </c>
      <c r="BB121" s="9">
        <v>0</v>
      </c>
      <c r="BC121" s="9">
        <v>0</v>
      </c>
      <c r="BD121" s="9">
        <v>0</v>
      </c>
      <c r="BE121" s="9">
        <v>0</v>
      </c>
      <c r="BF121" s="9">
        <v>0</v>
      </c>
      <c r="BG121" s="9">
        <v>0</v>
      </c>
      <c r="BH121" s="9">
        <v>0</v>
      </c>
      <c r="BI121" s="9">
        <v>0</v>
      </c>
      <c r="BJ121" s="9">
        <v>0</v>
      </c>
      <c r="BK121" s="9"/>
      <c r="BL121" s="9"/>
      <c r="BM121" s="9"/>
      <c r="BN121" s="9"/>
      <c r="BO121" s="9"/>
    </row>
    <row r="122" spans="1:67">
      <c r="D122" t="s">
        <v>8</v>
      </c>
      <c r="E122" s="9"/>
      <c r="F122" s="9"/>
      <c r="G122" s="9"/>
      <c r="H122" s="9"/>
      <c r="I122" s="9"/>
      <c r="J122" s="9"/>
      <c r="K122" s="9"/>
      <c r="L122" s="9"/>
      <c r="M122" s="9"/>
      <c r="N122" s="9"/>
      <c r="O122" s="9">
        <v>-0.52573804136503088</v>
      </c>
      <c r="P122" s="9">
        <v>-1.1043288655143735</v>
      </c>
      <c r="Q122" s="9">
        <v>-2.6946347293044202</v>
      </c>
      <c r="R122" s="9">
        <v>-2.7503695752155184</v>
      </c>
      <c r="S122" s="9">
        <v>-2.6538700343607649</v>
      </c>
      <c r="T122" s="9">
        <v>-3.121270666687276</v>
      </c>
      <c r="U122" s="9">
        <v>-3.8046167077314843</v>
      </c>
      <c r="V122" s="9">
        <v>-2.8744760829372598</v>
      </c>
      <c r="W122" s="9">
        <v>-3.3569932995988903</v>
      </c>
      <c r="X122" s="9">
        <v>-3.8739736161774498</v>
      </c>
      <c r="Y122" s="9">
        <v>-4.4868907846015782</v>
      </c>
      <c r="Z122" s="9">
        <v>-4.4369892581423667</v>
      </c>
      <c r="AA122" s="9">
        <v>-4.1140961158554257</v>
      </c>
      <c r="AB122" s="9">
        <v>-3.1909905972105639</v>
      </c>
      <c r="AC122" s="9">
        <v>-2.3528960979984799</v>
      </c>
      <c r="AD122" s="9">
        <v>-1.7736145286173315</v>
      </c>
      <c r="AE122" s="9">
        <v>-1.6174863265461059</v>
      </c>
      <c r="AF122" s="9">
        <v>-1.9996276928769305</v>
      </c>
      <c r="AG122" s="9">
        <v>-2.2700193963947601</v>
      </c>
      <c r="AH122" s="9">
        <v>-2.6977459006077451</v>
      </c>
      <c r="AI122" s="9">
        <v>-3.1450017389561302</v>
      </c>
      <c r="AJ122" s="9">
        <v>-3.1450017389561302</v>
      </c>
      <c r="AK122" s="9">
        <v>-3.0676091171478075</v>
      </c>
      <c r="AL122" s="9">
        <v>-2.9902164953394847</v>
      </c>
      <c r="AM122" s="9">
        <v>-2.542960656991101</v>
      </c>
      <c r="AN122" s="9">
        <v>-1.2270653588861959</v>
      </c>
      <c r="AO122" s="9">
        <v>-1.3279045232242941</v>
      </c>
      <c r="AP122" s="9">
        <v>-1.3279045232242941</v>
      </c>
      <c r="AQ122" s="9">
        <v>-1.2270653588861959</v>
      </c>
      <c r="AR122" s="9">
        <v>0</v>
      </c>
      <c r="AS122" s="9">
        <v>0</v>
      </c>
      <c r="AT122" s="9">
        <v>0</v>
      </c>
      <c r="AU122" s="9">
        <v>0</v>
      </c>
      <c r="AV122" s="9">
        <v>0</v>
      </c>
      <c r="AW122" s="9">
        <v>0</v>
      </c>
      <c r="AX122" s="9">
        <v>0</v>
      </c>
      <c r="AY122" s="9">
        <v>0</v>
      </c>
      <c r="AZ122" s="9">
        <v>0</v>
      </c>
      <c r="BA122" s="9">
        <v>0</v>
      </c>
      <c r="BB122" s="9">
        <v>0</v>
      </c>
      <c r="BC122" s="9">
        <v>0</v>
      </c>
      <c r="BD122" s="9">
        <v>0</v>
      </c>
      <c r="BE122" s="9">
        <v>0</v>
      </c>
      <c r="BF122" s="9">
        <v>0</v>
      </c>
      <c r="BG122" s="9">
        <v>0</v>
      </c>
      <c r="BH122" s="9">
        <v>0</v>
      </c>
      <c r="BI122" s="9">
        <v>0</v>
      </c>
      <c r="BJ122" s="9">
        <v>0</v>
      </c>
      <c r="BK122" s="9"/>
      <c r="BL122" s="9"/>
      <c r="BM122" s="9"/>
      <c r="BN122" s="9"/>
      <c r="BO122" s="9"/>
    </row>
    <row r="123" spans="1:67">
      <c r="D123" t="s">
        <v>9</v>
      </c>
      <c r="E123" s="9"/>
      <c r="F123" s="9"/>
      <c r="G123" s="9"/>
      <c r="H123" s="9"/>
      <c r="I123" s="9"/>
      <c r="J123" s="9"/>
      <c r="K123" s="9"/>
      <c r="L123" s="9"/>
      <c r="M123" s="9"/>
      <c r="N123" s="9"/>
      <c r="O123" s="9">
        <v>-0.1755911833283027</v>
      </c>
      <c r="P123" s="9">
        <v>-0.41272080535114197</v>
      </c>
      <c r="Q123" s="9">
        <v>-4.1959146274869203</v>
      </c>
      <c r="R123" s="9">
        <v>-4.1909068080229686</v>
      </c>
      <c r="S123" s="9">
        <v>-4.19962284807138</v>
      </c>
      <c r="T123" s="9">
        <v>-4.19962284807138</v>
      </c>
      <c r="U123" s="9">
        <v>-8.238533990048909</v>
      </c>
      <c r="V123" s="9">
        <v>-4.038911141977529</v>
      </c>
      <c r="W123" s="9">
        <v>-4.038911141977529</v>
      </c>
      <c r="X123" s="9">
        <v>-8.0514241719159898</v>
      </c>
      <c r="Y123" s="9">
        <v>-12.204727132729483</v>
      </c>
      <c r="Z123" s="9">
        <v>-12.204727132729481</v>
      </c>
      <c r="AA123" s="9">
        <v>-12.204727132729481</v>
      </c>
      <c r="AB123" s="9">
        <v>-10.620840410385352</v>
      </c>
      <c r="AC123" s="9">
        <v>-6.5819292684078228</v>
      </c>
      <c r="AD123" s="9">
        <v>-4.1533029608134946</v>
      </c>
      <c r="AE123" s="9">
        <v>-3.8013281336259093</v>
      </c>
      <c r="AF123" s="9">
        <v>-3.8013281336259106</v>
      </c>
      <c r="AG123" s="9">
        <v>-3.8013281336259093</v>
      </c>
      <c r="AH123" s="9">
        <v>-3.8013281336259106</v>
      </c>
      <c r="AI123" s="9">
        <v>-3.8013281336259106</v>
      </c>
      <c r="AJ123" s="9">
        <v>-3.8013281336259106</v>
      </c>
      <c r="AK123" s="9">
        <v>-3.8013281336259093</v>
      </c>
      <c r="AL123" s="9">
        <v>-3.8013281336259106</v>
      </c>
      <c r="AM123" s="9">
        <v>-3.751686427373111</v>
      </c>
      <c r="AN123" s="9">
        <v>-0.52397546633079728</v>
      </c>
      <c r="AO123" s="9">
        <v>-0.65133837285896623</v>
      </c>
      <c r="AP123" s="9">
        <v>-0.65133837285896623</v>
      </c>
      <c r="AQ123" s="9">
        <v>-0.52397546633079728</v>
      </c>
      <c r="AR123" s="9">
        <v>0</v>
      </c>
      <c r="AS123" s="9">
        <v>0</v>
      </c>
      <c r="AT123" s="9">
        <v>0</v>
      </c>
      <c r="AU123" s="9">
        <v>0</v>
      </c>
      <c r="AV123" s="9">
        <v>0</v>
      </c>
      <c r="AW123" s="9">
        <v>0</v>
      </c>
      <c r="AX123" s="9">
        <v>0</v>
      </c>
      <c r="AY123" s="9">
        <v>0</v>
      </c>
      <c r="AZ123" s="9">
        <v>0</v>
      </c>
      <c r="BA123" s="9">
        <v>0</v>
      </c>
      <c r="BB123" s="9">
        <v>0</v>
      </c>
      <c r="BC123" s="9">
        <v>0</v>
      </c>
      <c r="BD123" s="9">
        <v>0</v>
      </c>
      <c r="BE123" s="9">
        <v>0</v>
      </c>
      <c r="BF123" s="9">
        <v>0</v>
      </c>
      <c r="BG123" s="9">
        <v>0</v>
      </c>
      <c r="BH123" s="9">
        <v>0</v>
      </c>
      <c r="BI123" s="9">
        <v>0</v>
      </c>
      <c r="BJ123" s="9">
        <v>0</v>
      </c>
      <c r="BK123" s="9"/>
      <c r="BL123" s="9"/>
      <c r="BM123" s="9"/>
      <c r="BN123" s="9"/>
      <c r="BO123" s="9"/>
    </row>
    <row r="124" spans="1:67">
      <c r="D124" t="s">
        <v>10</v>
      </c>
      <c r="E124" s="9"/>
      <c r="F124" s="9"/>
      <c r="G124" s="9"/>
      <c r="H124" s="9"/>
      <c r="I124" s="9"/>
      <c r="J124" s="9"/>
      <c r="K124" s="9"/>
      <c r="L124" s="9"/>
      <c r="M124" s="9"/>
      <c r="N124" s="9"/>
      <c r="O124" s="9">
        <v>0</v>
      </c>
      <c r="P124" s="9">
        <v>-7.5555756969757846E-14</v>
      </c>
      <c r="Q124" s="9">
        <v>-3.2521683616896193E-13</v>
      </c>
      <c r="R124" s="9">
        <v>-4.0077259313871979E-13</v>
      </c>
      <c r="S124" s="9">
        <v>-3.2521683616896193E-13</v>
      </c>
      <c r="T124" s="9">
        <v>-3.2521683616896193E-13</v>
      </c>
      <c r="U124" s="9">
        <v>-8.6465550362512227E-13</v>
      </c>
      <c r="V124" s="9">
        <v>-5.3943866745616049E-13</v>
      </c>
      <c r="W124" s="9">
        <v>-5.3943866745616049E-13</v>
      </c>
      <c r="X124" s="9">
        <v>-8.5016580650927761E-13</v>
      </c>
      <c r="Y124" s="9">
        <v>-1.171795652195837E-12</v>
      </c>
      <c r="Z124" s="9">
        <v>-1.171795652195837E-12</v>
      </c>
      <c r="AA124" s="9">
        <v>-1.171795652195837E-12</v>
      </c>
      <c r="AB124" s="9">
        <v>-1.0491402025696065E-12</v>
      </c>
      <c r="AC124" s="9">
        <v>-7.3636880602271965E-13</v>
      </c>
      <c r="AD124" s="9">
        <v>-5.4829711659583301E-13</v>
      </c>
      <c r="AE124" s="9">
        <v>-4.4548459304246887E-13</v>
      </c>
      <c r="AF124" s="9">
        <v>-4.4548459304246887E-13</v>
      </c>
      <c r="AG124" s="9">
        <v>-5.9659610698198454E-13</v>
      </c>
      <c r="AH124" s="9">
        <v>-5.9659610698198454E-13</v>
      </c>
      <c r="AI124" s="9">
        <v>-5.9659610698198454E-13</v>
      </c>
      <c r="AJ124" s="9">
        <v>-5.9659610698198454E-13</v>
      </c>
      <c r="AK124" s="9">
        <v>-5.9659610698198454E-13</v>
      </c>
      <c r="AL124" s="9">
        <v>-5.9659610698198454E-13</v>
      </c>
      <c r="AM124" s="9">
        <v>-5.9659610698198454E-13</v>
      </c>
      <c r="AN124" s="9">
        <v>-3.0222302787903138E-13</v>
      </c>
      <c r="AO124" s="9">
        <v>-3.0222302787903138E-13</v>
      </c>
      <c r="AP124" s="9">
        <v>-3.0222302787903138E-13</v>
      </c>
      <c r="AQ124" s="9">
        <v>-3.0222302787903138E-13</v>
      </c>
      <c r="AR124" s="9">
        <v>0</v>
      </c>
      <c r="AS124" s="9">
        <v>0</v>
      </c>
      <c r="AT124" s="9">
        <v>0</v>
      </c>
      <c r="AU124" s="9">
        <v>0</v>
      </c>
      <c r="AV124" s="9">
        <v>0</v>
      </c>
      <c r="AW124" s="9">
        <v>0</v>
      </c>
      <c r="AX124" s="9">
        <v>0</v>
      </c>
      <c r="AY124" s="9">
        <v>0</v>
      </c>
      <c r="AZ124" s="9">
        <v>0</v>
      </c>
      <c r="BA124" s="9">
        <v>0</v>
      </c>
      <c r="BB124" s="9">
        <v>0</v>
      </c>
      <c r="BC124" s="9">
        <v>0</v>
      </c>
      <c r="BD124" s="9">
        <v>0</v>
      </c>
      <c r="BE124" s="9">
        <v>0</v>
      </c>
      <c r="BF124" s="9">
        <v>0</v>
      </c>
      <c r="BG124" s="9">
        <v>0</v>
      </c>
      <c r="BH124" s="9">
        <v>0</v>
      </c>
      <c r="BI124" s="9">
        <v>0</v>
      </c>
      <c r="BJ124" s="9">
        <v>0</v>
      </c>
      <c r="BK124" s="9"/>
      <c r="BL124" s="9"/>
      <c r="BM124" s="9"/>
      <c r="BN124" s="9"/>
      <c r="BO124" s="9"/>
    </row>
    <row r="125" spans="1:67">
      <c r="D125" t="s">
        <v>11</v>
      </c>
      <c r="E125" s="9"/>
      <c r="F125" s="9"/>
      <c r="G125" s="9"/>
      <c r="H125" s="9"/>
      <c r="I125" s="9"/>
      <c r="J125" s="9"/>
      <c r="K125" s="9"/>
      <c r="L125" s="9"/>
      <c r="M125" s="9"/>
      <c r="N125" s="9"/>
      <c r="O125" s="9">
        <v>-4.1333711723646617E-2</v>
      </c>
      <c r="P125" s="9">
        <v>-9.7153413214601109E-2</v>
      </c>
      <c r="Q125" s="9">
        <v>-6.6317794840917155E-2</v>
      </c>
      <c r="R125" s="9">
        <v>-0.10333681724425157</v>
      </c>
      <c r="S125" s="9">
        <v>-7.2501198870567635E-2</v>
      </c>
      <c r="T125" s="9">
        <v>-9.2679752685910929E-2</v>
      </c>
      <c r="U125" s="9">
        <v>-0.19972190826463368</v>
      </c>
      <c r="V125" s="9">
        <v>-22.537316264645611</v>
      </c>
      <c r="W125" s="9">
        <v>-22.540037252653409</v>
      </c>
      <c r="X125" s="9">
        <v>-22.540037252653409</v>
      </c>
      <c r="Y125" s="9">
        <v>-22.540037252653409</v>
      </c>
      <c r="Z125" s="9">
        <v>-22.540037252653409</v>
      </c>
      <c r="AA125" s="9">
        <v>-22.540037252653409</v>
      </c>
      <c r="AB125" s="9">
        <v>-22.540037252653409</v>
      </c>
      <c r="AC125" s="9">
        <v>-22.540037252653409</v>
      </c>
      <c r="AD125" s="9">
        <v>-0.12948758933873836</v>
      </c>
      <c r="AE125" s="9">
        <v>-9.8651970965053973E-2</v>
      </c>
      <c r="AF125" s="9">
        <v>-0.10267747265412178</v>
      </c>
      <c r="AG125" s="9">
        <v>-0.18933279251876026</v>
      </c>
      <c r="AH125" s="9">
        <v>-22.537934388379604</v>
      </c>
      <c r="AI125" s="9">
        <v>-22.540037252653409</v>
      </c>
      <c r="AJ125" s="9">
        <v>-22.540037252653409</v>
      </c>
      <c r="AK125" s="9">
        <v>-22.540037252653409</v>
      </c>
      <c r="AL125" s="9">
        <v>-22.540037252653409</v>
      </c>
      <c r="AM125" s="9">
        <v>-22.540037252653409</v>
      </c>
      <c r="AN125" s="9">
        <v>-22.540037252653409</v>
      </c>
      <c r="AO125" s="9">
        <v>-22.538918746606932</v>
      </c>
      <c r="AP125" s="9">
        <v>-0.15332337323546075</v>
      </c>
      <c r="AQ125" s="9">
        <v>-0.12334247349473587</v>
      </c>
      <c r="AR125" s="9">
        <v>0</v>
      </c>
      <c r="AS125" s="9">
        <v>0</v>
      </c>
      <c r="AT125" s="9">
        <v>0</v>
      </c>
      <c r="AU125" s="9">
        <v>0</v>
      </c>
      <c r="AV125" s="9">
        <v>0</v>
      </c>
      <c r="AW125" s="9">
        <v>0</v>
      </c>
      <c r="AX125" s="9">
        <v>0</v>
      </c>
      <c r="AY125" s="9">
        <v>0</v>
      </c>
      <c r="AZ125" s="9">
        <v>0</v>
      </c>
      <c r="BA125" s="9">
        <v>0</v>
      </c>
      <c r="BB125" s="9">
        <v>0</v>
      </c>
      <c r="BC125" s="9">
        <v>0</v>
      </c>
      <c r="BD125" s="9">
        <v>0</v>
      </c>
      <c r="BE125" s="9">
        <v>0</v>
      </c>
      <c r="BF125" s="9">
        <v>0</v>
      </c>
      <c r="BG125" s="9">
        <v>0</v>
      </c>
      <c r="BH125" s="9">
        <v>0</v>
      </c>
      <c r="BI125" s="9">
        <v>0</v>
      </c>
      <c r="BJ125" s="9">
        <v>0</v>
      </c>
      <c r="BK125" s="9"/>
      <c r="BL125" s="9"/>
      <c r="BM125" s="9"/>
      <c r="BN125" s="9"/>
      <c r="BO125" s="9"/>
    </row>
    <row r="126" spans="1:67">
      <c r="D126" t="s">
        <v>12</v>
      </c>
      <c r="E126" s="9"/>
      <c r="F126" s="9"/>
      <c r="G126" s="9"/>
      <c r="H126" s="9"/>
      <c r="I126" s="9"/>
      <c r="J126" s="9"/>
      <c r="K126" s="9"/>
      <c r="L126" s="9"/>
      <c r="M126" s="9"/>
      <c r="N126" s="9"/>
      <c r="O126" s="9">
        <v>-328.52464984618445</v>
      </c>
      <c r="P126" s="9">
        <v>-328.52464984618445</v>
      </c>
      <c r="Q126" s="9">
        <v>-551.40922964135063</v>
      </c>
      <c r="R126" s="9">
        <v>-408.76919647197388</v>
      </c>
      <c r="S126" s="9">
        <v>-399.24122845656308</v>
      </c>
      <c r="T126" s="9">
        <v>-254.89815040416551</v>
      </c>
      <c r="U126" s="9">
        <v>-417.20248036214787</v>
      </c>
      <c r="V126" s="9">
        <v>-770.95544764311808</v>
      </c>
      <c r="W126" s="9">
        <v>-615.00309636207646</v>
      </c>
      <c r="X126" s="9">
        <v>-530.67494204461502</v>
      </c>
      <c r="Y126" s="9">
        <v>-530.67494204461502</v>
      </c>
      <c r="Z126" s="9">
        <v>-176.92197476364456</v>
      </c>
      <c r="AA126" s="9">
        <v>-176.92197476364456</v>
      </c>
      <c r="AB126" s="9">
        <v>-176.92197476364458</v>
      </c>
      <c r="AC126" s="9">
        <v>-176.92197476364458</v>
      </c>
      <c r="AD126" s="9">
        <v>-176.92197476364458</v>
      </c>
      <c r="AE126" s="9">
        <v>-176.92197476364456</v>
      </c>
      <c r="AF126" s="9">
        <v>-176.92197476364458</v>
      </c>
      <c r="AG126" s="9">
        <v>-176.92197476364458</v>
      </c>
      <c r="AH126" s="9">
        <v>-176.92197476364458</v>
      </c>
      <c r="AI126" s="9">
        <v>-176.92197476364458</v>
      </c>
      <c r="AJ126" s="9">
        <v>-176.92197476364458</v>
      </c>
      <c r="AK126" s="9">
        <v>-176.92197476364458</v>
      </c>
      <c r="AL126" s="9">
        <v>-176.92197476364458</v>
      </c>
      <c r="AM126" s="9">
        <v>-176.92197476364458</v>
      </c>
      <c r="AN126" s="9">
        <v>-171.87570907691745</v>
      </c>
      <c r="AO126" s="9">
        <v>-25.505440081970111</v>
      </c>
      <c r="AP126" s="9">
        <v>-25.505440081970111</v>
      </c>
      <c r="AQ126" s="9">
        <v>-20.518098453591712</v>
      </c>
      <c r="AR126" s="9">
        <v>0</v>
      </c>
      <c r="AS126" s="9">
        <v>0</v>
      </c>
      <c r="AT126" s="9">
        <v>0</v>
      </c>
      <c r="AU126" s="9">
        <v>0</v>
      </c>
      <c r="AV126" s="9">
        <v>0</v>
      </c>
      <c r="AW126" s="9">
        <v>0</v>
      </c>
      <c r="AX126" s="9">
        <v>0</v>
      </c>
      <c r="AY126" s="9">
        <v>0</v>
      </c>
      <c r="AZ126" s="9">
        <v>0</v>
      </c>
      <c r="BA126" s="9">
        <v>0</v>
      </c>
      <c r="BB126" s="9">
        <v>0</v>
      </c>
      <c r="BC126" s="9">
        <v>0</v>
      </c>
      <c r="BD126" s="9">
        <v>0</v>
      </c>
      <c r="BE126" s="9">
        <v>0</v>
      </c>
      <c r="BF126" s="9">
        <v>0</v>
      </c>
      <c r="BG126" s="9">
        <v>0</v>
      </c>
      <c r="BH126" s="9">
        <v>0</v>
      </c>
      <c r="BI126" s="9">
        <v>0</v>
      </c>
      <c r="BJ126" s="9">
        <v>0</v>
      </c>
      <c r="BK126" s="9"/>
      <c r="BL126" s="9"/>
      <c r="BM126" s="9"/>
      <c r="BN126" s="9"/>
      <c r="BO126" s="9"/>
    </row>
    <row r="127" spans="1:67">
      <c r="D127" t="s">
        <v>13</v>
      </c>
      <c r="E127" s="9"/>
      <c r="F127" s="9"/>
      <c r="G127" s="9"/>
      <c r="H127" s="9"/>
      <c r="I127" s="9"/>
      <c r="J127" s="9"/>
      <c r="K127" s="9"/>
      <c r="L127" s="9"/>
      <c r="M127" s="9"/>
      <c r="N127" s="9"/>
      <c r="O127" s="9">
        <v>-32.68234850353172</v>
      </c>
      <c r="P127" s="9">
        <v>-32.682348503531713</v>
      </c>
      <c r="Q127" s="9">
        <v>-59.828499719194944</v>
      </c>
      <c r="R127" s="9">
        <v>-42.455705632759525</v>
      </c>
      <c r="S127" s="9">
        <v>-41.295250024919604</v>
      </c>
      <c r="T127" s="9">
        <v>-23.715034169046156</v>
      </c>
      <c r="U127" s="9">
        <v>-43.48283456172198</v>
      </c>
      <c r="V127" s="9">
        <v>-34.51504919762943</v>
      </c>
      <c r="W127" s="9">
        <v>-67.573892980478675</v>
      </c>
      <c r="X127" s="9">
        <v>-57.303174248194111</v>
      </c>
      <c r="Y127" s="9">
        <v>-38.474826775045599</v>
      </c>
      <c r="Z127" s="9">
        <v>-20.697103384286866</v>
      </c>
      <c r="AA127" s="9">
        <v>-20.697103384286866</v>
      </c>
      <c r="AB127" s="9">
        <v>-19.531177225850083</v>
      </c>
      <c r="AC127" s="9">
        <v>-19.531177225850083</v>
      </c>
      <c r="AD127" s="9">
        <v>-18.452060952461917</v>
      </c>
      <c r="AE127" s="9">
        <v>-14.217952508654829</v>
      </c>
      <c r="AF127" s="9">
        <v>-14.631602870467463</v>
      </c>
      <c r="AG127" s="9">
        <v>-26.980039135000155</v>
      </c>
      <c r="AH127" s="9">
        <v>-30.540286312938257</v>
      </c>
      <c r="AI127" s="9">
        <v>-30.540286312938257</v>
      </c>
      <c r="AJ127" s="9">
        <v>-30.540286312938257</v>
      </c>
      <c r="AK127" s="9">
        <v>-26.980039135000155</v>
      </c>
      <c r="AL127" s="9">
        <v>-23.419791957062049</v>
      </c>
      <c r="AM127" s="9">
        <v>-23.419791957062049</v>
      </c>
      <c r="AN127" s="9">
        <v>-17.576378173189173</v>
      </c>
      <c r="AO127" s="9">
        <v>-21.848674786714927</v>
      </c>
      <c r="AP127" s="9">
        <v>-21.848674786714927</v>
      </c>
      <c r="AQ127" s="9">
        <v>-17.576378173189173</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s="9">
        <v>0</v>
      </c>
      <c r="BI127" s="9">
        <v>0</v>
      </c>
      <c r="BJ127" s="9">
        <v>0</v>
      </c>
      <c r="BK127" s="9"/>
      <c r="BL127" s="9"/>
      <c r="BM127" s="9"/>
      <c r="BN127" s="9"/>
      <c r="BO127" s="9"/>
    </row>
    <row r="128" spans="1:67">
      <c r="D128" t="s">
        <v>14</v>
      </c>
      <c r="E128" s="9"/>
      <c r="F128" s="9"/>
      <c r="G128" s="9"/>
      <c r="H128" s="9"/>
      <c r="I128" s="9"/>
      <c r="J128" s="9"/>
      <c r="K128" s="9"/>
      <c r="L128" s="9"/>
      <c r="M128" s="9"/>
      <c r="N128" s="9"/>
      <c r="O128" s="9">
        <v>-1622.2565813896806</v>
      </c>
      <c r="P128" s="9">
        <v>-1622.2565813896806</v>
      </c>
      <c r="Q128" s="9">
        <v>-3534.8679185965611</v>
      </c>
      <c r="R128" s="9">
        <v>-2310.8489899204051</v>
      </c>
      <c r="S128" s="9">
        <v>-2229.087839536799</v>
      </c>
      <c r="T128" s="9">
        <v>-1151.1186185321633</v>
      </c>
      <c r="U128" s="9">
        <v>-2543.8802974275204</v>
      </c>
      <c r="V128" s="9">
        <v>-5579.496024697446</v>
      </c>
      <c r="W128" s="9">
        <v>-4241.2417793911591</v>
      </c>
      <c r="X128" s="9">
        <v>-3517.6072231489456</v>
      </c>
      <c r="Y128" s="9">
        <v>-3517.6072231489456</v>
      </c>
      <c r="Z128" s="9">
        <v>-481.99149587901957</v>
      </c>
      <c r="AA128" s="9">
        <v>-481.99149587901957</v>
      </c>
      <c r="AB128" s="9">
        <v>-481.99149587901979</v>
      </c>
      <c r="AC128" s="9">
        <v>-481.99149587901979</v>
      </c>
      <c r="AD128" s="9">
        <v>-481.99149587901991</v>
      </c>
      <c r="AE128" s="9">
        <v>-481.99149587901957</v>
      </c>
      <c r="AF128" s="9">
        <v>-481.99149587901996</v>
      </c>
      <c r="AG128" s="9">
        <v>-481.99149587901985</v>
      </c>
      <c r="AH128" s="9">
        <v>-481.99149587901985</v>
      </c>
      <c r="AI128" s="9">
        <v>-481.99149587901985</v>
      </c>
      <c r="AJ128" s="9">
        <v>-481.99149587901985</v>
      </c>
      <c r="AK128" s="9">
        <v>-481.99149587901985</v>
      </c>
      <c r="AL128" s="9">
        <v>-481.99149587901991</v>
      </c>
      <c r="AM128" s="9">
        <v>-481.99149587901991</v>
      </c>
      <c r="AN128" s="9">
        <v>-390.82607345012133</v>
      </c>
      <c r="AO128" s="9">
        <v>-259.54937835098224</v>
      </c>
      <c r="AP128" s="9">
        <v>-259.54937835098224</v>
      </c>
      <c r="AQ128" s="9">
        <v>-208.79701277291687</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s="9">
        <v>0</v>
      </c>
      <c r="BI128" s="9">
        <v>0</v>
      </c>
      <c r="BJ128" s="9">
        <v>0</v>
      </c>
      <c r="BK128" s="9"/>
      <c r="BL128" s="9"/>
      <c r="BM128" s="9"/>
      <c r="BN128" s="9"/>
      <c r="BO128" s="9"/>
    </row>
    <row r="129" spans="4:67">
      <c r="D129" t="s">
        <v>15</v>
      </c>
      <c r="E129" s="9"/>
      <c r="F129" s="9"/>
      <c r="G129" s="9"/>
      <c r="H129" s="9"/>
      <c r="I129" s="9"/>
      <c r="J129" s="9"/>
      <c r="K129" s="9"/>
      <c r="L129" s="9"/>
      <c r="M129" s="9"/>
      <c r="N129" s="9"/>
      <c r="O129" s="9">
        <v>-192.71243020778746</v>
      </c>
      <c r="P129" s="9">
        <v>-192.71243020778746</v>
      </c>
      <c r="Q129" s="9">
        <v>-335.4074599866546</v>
      </c>
      <c r="R129" s="9">
        <v>-244.0865449216985</v>
      </c>
      <c r="S129" s="9">
        <v>-237.98655504828241</v>
      </c>
      <c r="T129" s="9">
        <v>-193.40204662765453</v>
      </c>
      <c r="U129" s="9">
        <v>-297.31242579286061</v>
      </c>
      <c r="V129" s="9">
        <v>-523.79193481457617</v>
      </c>
      <c r="W129" s="9">
        <v>-423.94821556498084</v>
      </c>
      <c r="X129" s="9">
        <v>-369.95969602457251</v>
      </c>
      <c r="Y129" s="9">
        <v>-369.95969602457251</v>
      </c>
      <c r="Z129" s="9">
        <v>-143.48018700285689</v>
      </c>
      <c r="AA129" s="9">
        <v>-143.48018700285689</v>
      </c>
      <c r="AB129" s="9">
        <v>-143.48018700285689</v>
      </c>
      <c r="AC129" s="9">
        <v>-143.48018700285689</v>
      </c>
      <c r="AD129" s="9">
        <v>-143.48018700285689</v>
      </c>
      <c r="AE129" s="9">
        <v>-143.48018700285687</v>
      </c>
      <c r="AF129" s="9">
        <v>-143.48018700285689</v>
      </c>
      <c r="AG129" s="9">
        <v>-143.48018700285689</v>
      </c>
      <c r="AH129" s="9">
        <v>-143.48018700285689</v>
      </c>
      <c r="AI129" s="9">
        <v>-143.48018700285689</v>
      </c>
      <c r="AJ129" s="9">
        <v>-143.48018700285689</v>
      </c>
      <c r="AK129" s="9">
        <v>-143.48018700285689</v>
      </c>
      <c r="AL129" s="9">
        <v>-143.48018700285689</v>
      </c>
      <c r="AM129" s="9">
        <v>-143.48018700285689</v>
      </c>
      <c r="AN129" s="9">
        <v>-141.34618142418233</v>
      </c>
      <c r="AO129" s="9">
        <v>-20.978578552645445</v>
      </c>
      <c r="AP129" s="9">
        <v>-20.978578552645445</v>
      </c>
      <c r="AQ129" s="9">
        <v>-16.876420825369983</v>
      </c>
      <c r="AR129" s="9">
        <v>0</v>
      </c>
      <c r="AS129" s="9">
        <v>0</v>
      </c>
      <c r="AT129" s="9">
        <v>0</v>
      </c>
      <c r="AU129" s="9">
        <v>0</v>
      </c>
      <c r="AV129" s="9">
        <v>0</v>
      </c>
      <c r="AW129" s="9">
        <v>0</v>
      </c>
      <c r="AX129" s="9">
        <v>0</v>
      </c>
      <c r="AY129" s="9">
        <v>0</v>
      </c>
      <c r="AZ129" s="9">
        <v>0</v>
      </c>
      <c r="BA129" s="9">
        <v>0</v>
      </c>
      <c r="BB129" s="9">
        <v>0</v>
      </c>
      <c r="BC129" s="9">
        <v>0</v>
      </c>
      <c r="BD129" s="9">
        <v>0</v>
      </c>
      <c r="BE129" s="9">
        <v>0</v>
      </c>
      <c r="BF129" s="9">
        <v>0</v>
      </c>
      <c r="BG129" s="9">
        <v>0</v>
      </c>
      <c r="BH129" s="9">
        <v>0</v>
      </c>
      <c r="BI129" s="9">
        <v>0</v>
      </c>
      <c r="BJ129" s="9">
        <v>0</v>
      </c>
      <c r="BK129" s="9"/>
      <c r="BL129" s="9"/>
      <c r="BM129" s="9"/>
      <c r="BN129" s="9"/>
      <c r="BO129" s="9"/>
    </row>
    <row r="130" spans="4:67">
      <c r="D130" t="s">
        <v>16</v>
      </c>
      <c r="E130" s="9"/>
      <c r="F130" s="9"/>
      <c r="G130" s="9"/>
      <c r="H130" s="9"/>
      <c r="I130" s="9"/>
      <c r="J130" s="9"/>
      <c r="K130" s="9"/>
      <c r="L130" s="9"/>
      <c r="M130" s="9"/>
      <c r="N130" s="9"/>
      <c r="O130" s="9">
        <v>-449.06950169139901</v>
      </c>
      <c r="P130" s="9">
        <v>-627.24411907919648</v>
      </c>
      <c r="Q130" s="9">
        <v>-550.13997699369429</v>
      </c>
      <c r="R130" s="9">
        <v>-522.8275004102187</v>
      </c>
      <c r="S130" s="9">
        <v>-736.09441760534048</v>
      </c>
      <c r="T130" s="9">
        <v>-623.71221214008926</v>
      </c>
      <c r="U130" s="9">
        <v>-605.41497055713717</v>
      </c>
      <c r="V130" s="9">
        <v>-630.17826828624698</v>
      </c>
      <c r="W130" s="9">
        <v>-540.84741242020596</v>
      </c>
      <c r="X130" s="9">
        <v>-541.20836043687711</v>
      </c>
      <c r="Y130" s="9">
        <v>-628.41145876336441</v>
      </c>
      <c r="Z130" s="9">
        <v>-715.05570222575329</v>
      </c>
      <c r="AA130" s="9">
        <v>-773.52196748322012</v>
      </c>
      <c r="AB130" s="9">
        <v>-773.52196748322012</v>
      </c>
      <c r="AC130" s="9">
        <v>-665.98250854375249</v>
      </c>
      <c r="AD130" s="9">
        <v>-708.71720859419815</v>
      </c>
      <c r="AE130" s="9">
        <v>-708.71720859419815</v>
      </c>
      <c r="AF130" s="9">
        <v>-692.70319863135637</v>
      </c>
      <c r="AG130" s="9">
        <v>-694.4132972633231</v>
      </c>
      <c r="AH130" s="9">
        <v>-659.46387381348916</v>
      </c>
      <c r="AI130" s="9">
        <v>-658.72540627866442</v>
      </c>
      <c r="AJ130" s="9">
        <v>-795.3941723171672</v>
      </c>
      <c r="AK130" s="9">
        <v>-815.35232645561894</v>
      </c>
      <c r="AL130" s="9">
        <v>-786.59295064893104</v>
      </c>
      <c r="AM130" s="9">
        <v>-786.59295064893104</v>
      </c>
      <c r="AN130" s="9">
        <v>-784.52309824753002</v>
      </c>
      <c r="AO130" s="9">
        <v>-755.92647825897632</v>
      </c>
      <c r="AP130" s="9">
        <v>-732.22141040452686</v>
      </c>
      <c r="AQ130" s="9">
        <v>-514.44181336908605</v>
      </c>
      <c r="AR130" s="9">
        <v>-365.51152071465856</v>
      </c>
      <c r="AS130" s="9">
        <v>-254.97130950542027</v>
      </c>
      <c r="AT130" s="9">
        <v>-134.51768368786995</v>
      </c>
      <c r="AU130" s="9">
        <v>-134.51768368786995</v>
      </c>
      <c r="AV130" s="9">
        <v>-104.09106475847078</v>
      </c>
      <c r="AW130" s="9">
        <v>0</v>
      </c>
      <c r="AX130" s="9">
        <v>0</v>
      </c>
      <c r="AY130" s="9">
        <v>0</v>
      </c>
      <c r="AZ130" s="9">
        <v>0</v>
      </c>
      <c r="BA130" s="9">
        <v>0</v>
      </c>
      <c r="BB130" s="9">
        <v>0</v>
      </c>
      <c r="BC130" s="9">
        <v>0</v>
      </c>
      <c r="BD130" s="9">
        <v>0</v>
      </c>
      <c r="BE130" s="9">
        <v>0</v>
      </c>
      <c r="BF130" s="9">
        <v>0</v>
      </c>
      <c r="BG130" s="9">
        <v>0</v>
      </c>
      <c r="BH130" s="9">
        <v>0</v>
      </c>
      <c r="BI130" s="9">
        <v>0</v>
      </c>
      <c r="BJ130" s="9">
        <v>0</v>
      </c>
      <c r="BK130" s="9"/>
      <c r="BL130" s="9"/>
      <c r="BM130" s="9"/>
      <c r="BN130" s="9"/>
      <c r="BO130" s="9"/>
    </row>
    <row r="131" spans="4:67">
      <c r="D131" t="s">
        <v>17</v>
      </c>
      <c r="E131" s="9"/>
      <c r="F131" s="9"/>
      <c r="G131" s="9"/>
      <c r="H131" s="9"/>
      <c r="I131" s="9"/>
      <c r="J131" s="9"/>
      <c r="K131" s="9"/>
      <c r="L131" s="9"/>
      <c r="M131" s="9"/>
      <c r="N131" s="9"/>
      <c r="O131" s="9">
        <v>-2.0813334083832782</v>
      </c>
      <c r="P131" s="9">
        <v>-1.8587970253786665</v>
      </c>
      <c r="Q131" s="9">
        <v>-1.8715241118766721</v>
      </c>
      <c r="R131" s="9">
        <v>-2.5777533854361803</v>
      </c>
      <c r="S131" s="9">
        <v>-5.2614704195763959</v>
      </c>
      <c r="T131" s="9">
        <v>-4.7687330927395593</v>
      </c>
      <c r="U131" s="9">
        <v>-4.8158379416172368</v>
      </c>
      <c r="V131" s="9">
        <v>-4.8383790683283463</v>
      </c>
      <c r="W131" s="9">
        <v>-4.6672344189088859</v>
      </c>
      <c r="X131" s="9">
        <v>-5.3797540915421189</v>
      </c>
      <c r="Y131" s="9">
        <v>-6.2854761527127998</v>
      </c>
      <c r="Z131" s="9">
        <v>-7.2042178770825887</v>
      </c>
      <c r="AA131" s="9">
        <v>-8.0717332373069794</v>
      </c>
      <c r="AB131" s="9">
        <v>-8.0717332373069794</v>
      </c>
      <c r="AC131" s="9">
        <v>-6.0377336508718065</v>
      </c>
      <c r="AD131" s="9">
        <v>-6.0559052081555667</v>
      </c>
      <c r="AE131" s="9">
        <v>-6.0559052081555667</v>
      </c>
      <c r="AF131" s="9">
        <v>-5.8467764704971792</v>
      </c>
      <c r="AG131" s="9">
        <v>-6.3315633434996821</v>
      </c>
      <c r="AH131" s="9">
        <v>-6.6574810678029355</v>
      </c>
      <c r="AI131" s="9">
        <v>-6.6176524742744469</v>
      </c>
      <c r="AJ131" s="9">
        <v>-7.6062309851250456</v>
      </c>
      <c r="AK131" s="9">
        <v>-8.1298287935652453</v>
      </c>
      <c r="AL131" s="9">
        <v>-7.5566710361033236</v>
      </c>
      <c r="AM131" s="9">
        <v>-7.5566710361033236</v>
      </c>
      <c r="AN131" s="9">
        <v>-7.3742558233283093</v>
      </c>
      <c r="AO131" s="9">
        <v>-8.1935723522274202</v>
      </c>
      <c r="AP131" s="9">
        <v>-8.148159359925689</v>
      </c>
      <c r="AQ131" s="9">
        <v>-5.7858441923108268</v>
      </c>
      <c r="AR131" s="9">
        <v>-3.8409469320878293</v>
      </c>
      <c r="AS131" s="9">
        <v>-2.7547750103299822</v>
      </c>
      <c r="AT131" s="9">
        <v>-1.7566813963304482</v>
      </c>
      <c r="AU131" s="9">
        <v>-1.7566813963304482</v>
      </c>
      <c r="AV131" s="9">
        <v>-1.3593367947795136</v>
      </c>
      <c r="AW131" s="9">
        <v>0</v>
      </c>
      <c r="AX131" s="9">
        <v>0</v>
      </c>
      <c r="AY131" s="9">
        <v>0</v>
      </c>
      <c r="AZ131" s="9">
        <v>0</v>
      </c>
      <c r="BA131" s="9">
        <v>0</v>
      </c>
      <c r="BB131" s="9">
        <v>0</v>
      </c>
      <c r="BC131" s="9">
        <v>0</v>
      </c>
      <c r="BD131" s="9">
        <v>0</v>
      </c>
      <c r="BE131" s="9">
        <v>0</v>
      </c>
      <c r="BF131" s="9">
        <v>0</v>
      </c>
      <c r="BG131" s="9">
        <v>0</v>
      </c>
      <c r="BH131" s="9">
        <v>0</v>
      </c>
      <c r="BI131" s="9">
        <v>0</v>
      </c>
      <c r="BJ131" s="9">
        <v>0</v>
      </c>
      <c r="BK131" s="9"/>
      <c r="BL131" s="9"/>
      <c r="BM131" s="9"/>
      <c r="BN131" s="9"/>
      <c r="BO131" s="9"/>
    </row>
    <row r="132" spans="4:67">
      <c r="D132" t="s">
        <v>18</v>
      </c>
      <c r="E132" s="9"/>
      <c r="F132" s="9"/>
      <c r="G132" s="9"/>
      <c r="H132" s="9"/>
      <c r="I132" s="9"/>
      <c r="J132" s="9"/>
      <c r="K132" s="9"/>
      <c r="L132" s="9"/>
      <c r="M132" s="9"/>
      <c r="N132" s="9"/>
      <c r="O132" s="9">
        <v>-104.71851753384659</v>
      </c>
      <c r="P132" s="9">
        <v>-67.207406775453791</v>
      </c>
      <c r="Q132" s="9">
        <v>-67.207406775453791</v>
      </c>
      <c r="R132" s="9">
        <v>-132.85185060264121</v>
      </c>
      <c r="S132" s="9">
        <v>-329.78518208420343</v>
      </c>
      <c r="T132" s="9">
        <v>-296.96296017060973</v>
      </c>
      <c r="U132" s="9">
        <v>-296.96296017060973</v>
      </c>
      <c r="V132" s="9">
        <v>-296.96296017060973</v>
      </c>
      <c r="W132" s="9">
        <v>-296.96296017060973</v>
      </c>
      <c r="X132" s="9">
        <v>-362.60740399779718</v>
      </c>
      <c r="Y132" s="9">
        <v>-428.25184782498445</v>
      </c>
      <c r="Z132" s="9">
        <v>-493.89629165217195</v>
      </c>
      <c r="AA132" s="9">
        <v>-556.41480958282671</v>
      </c>
      <c r="AB132" s="9">
        <v>-556.41480958282671</v>
      </c>
      <c r="AC132" s="9">
        <v>-400.11851475618994</v>
      </c>
      <c r="AD132" s="9">
        <v>-393.8666629631245</v>
      </c>
      <c r="AE132" s="9">
        <v>-393.8666629631245</v>
      </c>
      <c r="AF132" s="9">
        <v>-378.23703348046081</v>
      </c>
      <c r="AG132" s="9">
        <v>-425.12592192845182</v>
      </c>
      <c r="AH132" s="9">
        <v>-459.511106790312</v>
      </c>
      <c r="AI132" s="9">
        <v>-459.511106790312</v>
      </c>
      <c r="AJ132" s="9">
        <v>-525.15555061749922</v>
      </c>
      <c r="AK132" s="9">
        <v>-568.91851316895747</v>
      </c>
      <c r="AL132" s="9">
        <v>-525.15555061749922</v>
      </c>
      <c r="AM132" s="9">
        <v>-525.15555061749922</v>
      </c>
      <c r="AN132" s="9">
        <v>-509.52592113483564</v>
      </c>
      <c r="AO132" s="9">
        <v>-590.79999444468672</v>
      </c>
      <c r="AP132" s="9">
        <v>-590.79999444468672</v>
      </c>
      <c r="AQ132" s="9">
        <v>-420.43703308365269</v>
      </c>
      <c r="AR132" s="9">
        <v>-275.0814788948806</v>
      </c>
      <c r="AS132" s="9">
        <v>-198.49629442982859</v>
      </c>
      <c r="AT132" s="9">
        <v>-131.2888876543748</v>
      </c>
      <c r="AU132" s="9">
        <v>-131.2888876543748</v>
      </c>
      <c r="AV132" s="9">
        <v>-101.59259163731386</v>
      </c>
      <c r="AW132" s="9">
        <v>0</v>
      </c>
      <c r="AX132" s="9">
        <v>0</v>
      </c>
      <c r="AY132" s="9">
        <v>0</v>
      </c>
      <c r="AZ132" s="9">
        <v>0</v>
      </c>
      <c r="BA132" s="9">
        <v>0</v>
      </c>
      <c r="BB132" s="9">
        <v>0</v>
      </c>
      <c r="BC132" s="9">
        <v>0</v>
      </c>
      <c r="BD132" s="9">
        <v>0</v>
      </c>
      <c r="BE132" s="9">
        <v>0</v>
      </c>
      <c r="BF132" s="9">
        <v>0</v>
      </c>
      <c r="BG132" s="9">
        <v>0</v>
      </c>
      <c r="BH132" s="9">
        <v>0</v>
      </c>
      <c r="BI132" s="9">
        <v>0</v>
      </c>
      <c r="BJ132" s="9">
        <v>0</v>
      </c>
      <c r="BK132" s="9"/>
      <c r="BL132" s="9"/>
      <c r="BM132" s="9"/>
      <c r="BN132" s="9"/>
      <c r="BO132" s="9"/>
    </row>
    <row r="133" spans="4:67">
      <c r="D133" t="s">
        <v>19</v>
      </c>
      <c r="E133" s="9"/>
      <c r="F133" s="9"/>
      <c r="G133" s="9"/>
      <c r="H133" s="9"/>
      <c r="I133" s="9"/>
      <c r="J133" s="9"/>
      <c r="K133" s="9"/>
      <c r="L133" s="9"/>
      <c r="M133" s="9"/>
      <c r="N133" s="9"/>
      <c r="O133" s="9">
        <v>-1740.98870829303</v>
      </c>
      <c r="P133" s="9">
        <v>-2132.0656361689489</v>
      </c>
      <c r="Q133" s="9">
        <v>-1630.5878837062592</v>
      </c>
      <c r="R133" s="9">
        <v>-1315.674345022288</v>
      </c>
      <c r="S133" s="9">
        <v>-1388.2250117321153</v>
      </c>
      <c r="T133" s="9">
        <v>-1356.6762266222454</v>
      </c>
      <c r="U133" s="9">
        <v>-1244.5524689797949</v>
      </c>
      <c r="V133" s="9">
        <v>-1326.4607532863813</v>
      </c>
      <c r="W133" s="9">
        <v>-876.67999095964149</v>
      </c>
      <c r="X133" s="9">
        <v>-643.88198671041357</v>
      </c>
      <c r="Y133" s="9">
        <v>-729.89590533632111</v>
      </c>
      <c r="Z133" s="9">
        <v>-789.27463426798681</v>
      </c>
      <c r="AA133" s="9">
        <v>-789.2746342679867</v>
      </c>
      <c r="AB133" s="9">
        <v>-789.2746342679867</v>
      </c>
      <c r="AC133" s="9">
        <v>-548.30227779743473</v>
      </c>
      <c r="AD133" s="9">
        <v>-411.18010144582581</v>
      </c>
      <c r="AE133" s="9">
        <v>-887.44490674311169</v>
      </c>
      <c r="AF133" s="9">
        <v>-1021.9017707472248</v>
      </c>
      <c r="AG133" s="9">
        <v>-855.25003249554607</v>
      </c>
      <c r="AH133" s="9">
        <v>-669.29477342076541</v>
      </c>
      <c r="AI133" s="9">
        <v>-626.04296697340749</v>
      </c>
      <c r="AJ133" s="9">
        <v>-750.66392724551906</v>
      </c>
      <c r="AK133" s="9">
        <v>-621.64304930665821</v>
      </c>
      <c r="AL133" s="9">
        <v>-662.69489692064144</v>
      </c>
      <c r="AM133" s="9">
        <v>-662.69489692064144</v>
      </c>
      <c r="AN133" s="9">
        <v>-696.90476993229413</v>
      </c>
      <c r="AO133" s="9">
        <v>-369.46662852584825</v>
      </c>
      <c r="AP133" s="9">
        <v>-311.30984440603879</v>
      </c>
      <c r="AQ133" s="9">
        <v>-205.25923806991568</v>
      </c>
      <c r="AR133" s="9">
        <v>-205.25923806991568</v>
      </c>
      <c r="AS133" s="9">
        <v>-126.57653014311465</v>
      </c>
      <c r="AT133" s="9">
        <v>0</v>
      </c>
      <c r="AU133" s="9">
        <v>0</v>
      </c>
      <c r="AV133" s="9">
        <v>0</v>
      </c>
      <c r="AW133" s="9">
        <v>0</v>
      </c>
      <c r="AX133" s="9">
        <v>0</v>
      </c>
      <c r="AY133" s="9">
        <v>0</v>
      </c>
      <c r="AZ133" s="9">
        <v>0</v>
      </c>
      <c r="BA133" s="9">
        <v>0</v>
      </c>
      <c r="BB133" s="9">
        <v>0</v>
      </c>
      <c r="BC133" s="9">
        <v>0</v>
      </c>
      <c r="BD133" s="9">
        <v>0</v>
      </c>
      <c r="BE133" s="9">
        <v>0</v>
      </c>
      <c r="BF133" s="9">
        <v>0</v>
      </c>
      <c r="BG133" s="9">
        <v>0</v>
      </c>
      <c r="BH133" s="9">
        <v>0</v>
      </c>
      <c r="BI133" s="9">
        <v>0</v>
      </c>
      <c r="BJ133" s="9">
        <v>0</v>
      </c>
      <c r="BK133" s="9"/>
      <c r="BL133" s="9"/>
      <c r="BM133" s="9"/>
      <c r="BN133" s="9"/>
      <c r="BO133" s="9"/>
    </row>
    <row r="134" spans="4:67">
      <c r="D134" t="s">
        <v>20</v>
      </c>
      <c r="E134" s="9"/>
      <c r="F134" s="9"/>
      <c r="G134" s="9"/>
      <c r="H134" s="9"/>
      <c r="I134" s="9"/>
      <c r="J134" s="9"/>
      <c r="K134" s="9"/>
      <c r="L134" s="9"/>
      <c r="M134" s="9"/>
      <c r="N134" s="9"/>
      <c r="O134" s="9">
        <v>-11.263445763992257</v>
      </c>
      <c r="P134" s="9">
        <v>-13.753624723987322</v>
      </c>
      <c r="Q134" s="9">
        <v>-10.710889537932546</v>
      </c>
      <c r="R134" s="9">
        <v>-8.6560372049715486</v>
      </c>
      <c r="S134" s="9">
        <v>-12.938730943619239</v>
      </c>
      <c r="T134" s="9">
        <v>-12.945092532749591</v>
      </c>
      <c r="U134" s="9">
        <v>-12.871671317477222</v>
      </c>
      <c r="V134" s="9">
        <v>-13.064895518898958</v>
      </c>
      <c r="W134" s="9">
        <v>-12.450121402768323</v>
      </c>
      <c r="X134" s="9">
        <v>-13.830426978995998</v>
      </c>
      <c r="Y134" s="9">
        <v>-16.173502661861278</v>
      </c>
      <c r="Z134" s="9">
        <v>-18.466049419801191</v>
      </c>
      <c r="AA134" s="9">
        <v>-20.234661323886016</v>
      </c>
      <c r="AB134" s="9">
        <v>-20.234661323886016</v>
      </c>
      <c r="AC134" s="9">
        <v>-15.992023200704534</v>
      </c>
      <c r="AD134" s="9">
        <v>-16.356375566778283</v>
      </c>
      <c r="AE134" s="9">
        <v>-16.356375566778283</v>
      </c>
      <c r="AF134" s="9">
        <v>-15.863361893507847</v>
      </c>
      <c r="AG134" s="9">
        <v>-16.687948827253702</v>
      </c>
      <c r="AH134" s="9">
        <v>-17.037172375358992</v>
      </c>
      <c r="AI134" s="9">
        <v>-16.810107396902538</v>
      </c>
      <c r="AJ134" s="9">
        <v>-19.460371074438811</v>
      </c>
      <c r="AK134" s="9">
        <v>-20.55349452712484</v>
      </c>
      <c r="AL134" s="9">
        <v>-19.346042331633299</v>
      </c>
      <c r="AM134" s="9">
        <v>-19.346042331633299</v>
      </c>
      <c r="AN134" s="9">
        <v>-18.999672025513284</v>
      </c>
      <c r="AO134" s="9">
        <v>-20.219665214847105</v>
      </c>
      <c r="AP134" s="9">
        <v>-19.970371490691381</v>
      </c>
      <c r="AQ134" s="9">
        <v>-14.141928013877299</v>
      </c>
      <c r="AR134" s="9">
        <v>-9.5569008524622401</v>
      </c>
      <c r="AS134" s="9">
        <v>-6.803854108991124</v>
      </c>
      <c r="AT134" s="9">
        <v>-4.1413148554716672</v>
      </c>
      <c r="AU134" s="9">
        <v>-4.1413148554716672</v>
      </c>
      <c r="AV134" s="9">
        <v>-3.2045888762578385</v>
      </c>
      <c r="AW134" s="9">
        <v>0</v>
      </c>
      <c r="AX134" s="9">
        <v>0</v>
      </c>
      <c r="AY134" s="9">
        <v>0</v>
      </c>
      <c r="AZ134" s="9">
        <v>0</v>
      </c>
      <c r="BA134" s="9">
        <v>0</v>
      </c>
      <c r="BB134" s="9">
        <v>0</v>
      </c>
      <c r="BC134" s="9">
        <v>0</v>
      </c>
      <c r="BD134" s="9">
        <v>0</v>
      </c>
      <c r="BE134" s="9">
        <v>0</v>
      </c>
      <c r="BF134" s="9">
        <v>0</v>
      </c>
      <c r="BG134" s="9">
        <v>0</v>
      </c>
      <c r="BH134" s="9">
        <v>0</v>
      </c>
      <c r="BI134" s="9">
        <v>0</v>
      </c>
      <c r="BJ134" s="9">
        <v>0</v>
      </c>
      <c r="BK134" s="9"/>
      <c r="BL134" s="9"/>
      <c r="BM134" s="9"/>
      <c r="BN134" s="9"/>
      <c r="BO134" s="9"/>
    </row>
    <row r="135" spans="4:67">
      <c r="D135" t="s">
        <v>21</v>
      </c>
      <c r="E135" s="9"/>
      <c r="F135" s="9"/>
      <c r="G135" s="9"/>
      <c r="H135" s="9"/>
      <c r="I135" s="9"/>
      <c r="J135" s="9"/>
      <c r="K135" s="9"/>
      <c r="L135" s="9"/>
      <c r="M135" s="9"/>
      <c r="N135" s="9"/>
      <c r="O135" s="9">
        <v>-48.180430158864773</v>
      </c>
      <c r="P135" s="9">
        <v>-54.211514007214255</v>
      </c>
      <c r="Q135" s="9">
        <v>-53.094206045214214</v>
      </c>
      <c r="R135" s="9">
        <v>-58.230143902113973</v>
      </c>
      <c r="S135" s="9">
        <v>-97.290110901912726</v>
      </c>
      <c r="T135" s="9">
        <v>-88.114130832057185</v>
      </c>
      <c r="U135" s="9">
        <v>-88.987434791774774</v>
      </c>
      <c r="V135" s="9">
        <v>-90.141708610741858</v>
      </c>
      <c r="W135" s="9">
        <v>-81.714771882457711</v>
      </c>
      <c r="X135" s="9">
        <v>-89.802465384682876</v>
      </c>
      <c r="Y135" s="9">
        <v>-103.87825040600349</v>
      </c>
      <c r="Z135" s="9">
        <v>-118.04337394867008</v>
      </c>
      <c r="AA135" s="9">
        <v>-128.30629904102076</v>
      </c>
      <c r="AB135" s="9">
        <v>-128.30629904102076</v>
      </c>
      <c r="AC135" s="9">
        <v>-104.24871599891952</v>
      </c>
      <c r="AD135" s="9">
        <v>-107.53075376803376</v>
      </c>
      <c r="AE135" s="9">
        <v>-107.53075376803376</v>
      </c>
      <c r="AF135" s="9">
        <v>-104.58480449774659</v>
      </c>
      <c r="AG135" s="9">
        <v>-107.62227230022441</v>
      </c>
      <c r="AH135" s="9">
        <v>-108.18679030078016</v>
      </c>
      <c r="AI135" s="9">
        <v>-106.3944650385352</v>
      </c>
      <c r="AJ135" s="9">
        <v>-123.51102980188615</v>
      </c>
      <c r="AK135" s="9">
        <v>-129.29642223571278</v>
      </c>
      <c r="AL135" s="9">
        <v>-121.79905051625288</v>
      </c>
      <c r="AM135" s="9">
        <v>-121.79905051625288</v>
      </c>
      <c r="AN135" s="9">
        <v>-120.0265340063946</v>
      </c>
      <c r="AO135" s="9">
        <v>-124.02995622948846</v>
      </c>
      <c r="AP135" s="9">
        <v>-122.03512053675932</v>
      </c>
      <c r="AQ135" s="9">
        <v>-86.286631933299205</v>
      </c>
      <c r="AR135" s="9">
        <v>-58.889303719628181</v>
      </c>
      <c r="AS135" s="9">
        <v>-41.755256946234425</v>
      </c>
      <c r="AT135" s="9">
        <v>-24.745973870412517</v>
      </c>
      <c r="AU135" s="9">
        <v>-24.745973870412517</v>
      </c>
      <c r="AV135" s="9">
        <v>-19.148670256866829</v>
      </c>
      <c r="AW135" s="9">
        <v>0</v>
      </c>
      <c r="AX135" s="9">
        <v>0</v>
      </c>
      <c r="AY135" s="9">
        <v>0</v>
      </c>
      <c r="AZ135" s="9">
        <v>0</v>
      </c>
      <c r="BA135" s="9">
        <v>0</v>
      </c>
      <c r="BB135" s="9">
        <v>0</v>
      </c>
      <c r="BC135" s="9">
        <v>0</v>
      </c>
      <c r="BD135" s="9">
        <v>0</v>
      </c>
      <c r="BE135" s="9">
        <v>0</v>
      </c>
      <c r="BF135" s="9">
        <v>0</v>
      </c>
      <c r="BG135" s="9">
        <v>0</v>
      </c>
      <c r="BH135" s="9">
        <v>0</v>
      </c>
      <c r="BI135" s="9">
        <v>0</v>
      </c>
      <c r="BJ135" s="9">
        <v>0</v>
      </c>
      <c r="BK135" s="9"/>
      <c r="BL135" s="9"/>
      <c r="BM135" s="9"/>
      <c r="BN135" s="9"/>
      <c r="BO135" s="9"/>
    </row>
    <row r="136" spans="4:67">
      <c r="D136" t="s">
        <v>22</v>
      </c>
      <c r="E136" s="9"/>
      <c r="F136" s="9"/>
      <c r="G136" s="9"/>
      <c r="H136" s="9"/>
      <c r="I136" s="9"/>
      <c r="J136" s="9"/>
      <c r="K136" s="9"/>
      <c r="L136" s="9"/>
      <c r="M136" s="9"/>
      <c r="N136" s="9"/>
      <c r="O136" s="9">
        <v>-3326.6752515651192</v>
      </c>
      <c r="P136" s="9">
        <v>-4095.3175494258685</v>
      </c>
      <c r="Q136" s="9">
        <v>-3210.0207400038144</v>
      </c>
      <c r="R136" s="9">
        <v>-2655.0396384241917</v>
      </c>
      <c r="S136" s="9">
        <v>-2810.3396982135632</v>
      </c>
      <c r="T136" s="9">
        <v>-2476.4739075513116</v>
      </c>
      <c r="U136" s="9">
        <v>-2422.9639169202023</v>
      </c>
      <c r="V136" s="9">
        <v>-2598.5619642840807</v>
      </c>
      <c r="W136" s="9">
        <v>-1070.934141073217</v>
      </c>
      <c r="X136" s="9">
        <v>-782.43962822250785</v>
      </c>
      <c r="Y136" s="9">
        <v>-869.14104150402852</v>
      </c>
      <c r="Z136" s="9">
        <v>-999.16556784777561</v>
      </c>
      <c r="AA136" s="9">
        <v>-987.97275285613375</v>
      </c>
      <c r="AB136" s="9">
        <v>-1008.1628108668324</v>
      </c>
      <c r="AC136" s="9">
        <v>-1092.9189637123782</v>
      </c>
      <c r="AD136" s="9">
        <v>-1205.2492326427075</v>
      </c>
      <c r="AE136" s="9">
        <v>-2013.0987062884674</v>
      </c>
      <c r="AF136" s="9">
        <v>-2013.0987062884674</v>
      </c>
      <c r="AG136" s="9">
        <v>-1660.2292568727128</v>
      </c>
      <c r="AH136" s="9">
        <v>-1272.7292585405951</v>
      </c>
      <c r="AI136" s="9">
        <v>-1263.4491768048374</v>
      </c>
      <c r="AJ136" s="9">
        <v>-1616.9976565915008</v>
      </c>
      <c r="AK136" s="9">
        <v>-1346.2908820557459</v>
      </c>
      <c r="AL136" s="9">
        <v>-1435.9228910157451</v>
      </c>
      <c r="AM136" s="9">
        <v>-1435.9228910157451</v>
      </c>
      <c r="AN136" s="9">
        <v>-1510.6162318157446</v>
      </c>
      <c r="AO136" s="9">
        <v>-806.6880806399929</v>
      </c>
      <c r="AP136" s="9">
        <v>-679.70940127999404</v>
      </c>
      <c r="AQ136" s="9">
        <v>-448.16004479999617</v>
      </c>
      <c r="AR136" s="9">
        <v>-448.16004479999617</v>
      </c>
      <c r="AS136" s="9">
        <v>-276.36536095999753</v>
      </c>
      <c r="AT136" s="9">
        <v>0</v>
      </c>
      <c r="AU136" s="9">
        <v>0</v>
      </c>
      <c r="AV136" s="9">
        <v>0</v>
      </c>
      <c r="AW136" s="9">
        <v>0</v>
      </c>
      <c r="AX136" s="9">
        <v>0</v>
      </c>
      <c r="AY136" s="9">
        <v>0</v>
      </c>
      <c r="AZ136" s="9">
        <v>0</v>
      </c>
      <c r="BA136" s="9">
        <v>0</v>
      </c>
      <c r="BB136" s="9">
        <v>0</v>
      </c>
      <c r="BC136" s="9">
        <v>0</v>
      </c>
      <c r="BD136" s="9">
        <v>0</v>
      </c>
      <c r="BE136" s="9">
        <v>0</v>
      </c>
      <c r="BF136" s="9">
        <v>0</v>
      </c>
      <c r="BG136" s="9">
        <v>0</v>
      </c>
      <c r="BH136" s="9">
        <v>0</v>
      </c>
      <c r="BI136" s="9">
        <v>0</v>
      </c>
      <c r="BJ136" s="9">
        <v>0</v>
      </c>
      <c r="BK136" s="9"/>
      <c r="BL136" s="9"/>
      <c r="BM136" s="9"/>
      <c r="BN136" s="9"/>
      <c r="BO136" s="9"/>
    </row>
    <row r="137" spans="4:67">
      <c r="D137" t="s">
        <v>23</v>
      </c>
      <c r="E137" s="9"/>
      <c r="F137" s="9"/>
      <c r="G137" s="9"/>
      <c r="H137" s="9"/>
      <c r="I137" s="9"/>
      <c r="J137" s="9"/>
      <c r="K137" s="9"/>
      <c r="L137" s="9"/>
      <c r="M137" s="9"/>
      <c r="N137" s="9"/>
      <c r="O137" s="9">
        <v>1972.3059184004589</v>
      </c>
      <c r="P137" s="9">
        <v>1171.732005833908</v>
      </c>
      <c r="Q137" s="9">
        <v>1442.9123241046905</v>
      </c>
      <c r="R137" s="9">
        <v>2587.394748407577</v>
      </c>
      <c r="S137" s="9">
        <v>6020.8420213162372</v>
      </c>
      <c r="T137" s="9">
        <v>5529.2219848669174</v>
      </c>
      <c r="U137" s="9">
        <v>5771.0855119732905</v>
      </c>
      <c r="V137" s="9">
        <v>5771.0855119732905</v>
      </c>
      <c r="W137" s="9">
        <v>5449.5404499072411</v>
      </c>
      <c r="X137" s="9">
        <v>6321.9029151968971</v>
      </c>
      <c r="Y137" s="9">
        <v>7466.385339499785</v>
      </c>
      <c r="Z137" s="9">
        <v>8610.8677638026711</v>
      </c>
      <c r="AA137" s="9">
        <v>9760.361605398617</v>
      </c>
      <c r="AB137" s="9">
        <v>9760.361605398617</v>
      </c>
      <c r="AC137" s="9">
        <v>6975.8928719414034</v>
      </c>
      <c r="AD137" s="9">
        <v>6866.8945458173184</v>
      </c>
      <c r="AE137" s="9">
        <v>6866.8945458173184</v>
      </c>
      <c r="AF137" s="9">
        <v>6594.3987305071096</v>
      </c>
      <c r="AG137" s="9">
        <v>7411.8861764377416</v>
      </c>
      <c r="AH137" s="9">
        <v>8011.3769701202064</v>
      </c>
      <c r="AI137" s="9">
        <v>8011.3769701202064</v>
      </c>
      <c r="AJ137" s="9">
        <v>9155.8593944230943</v>
      </c>
      <c r="AK137" s="9">
        <v>9918.8476772916838</v>
      </c>
      <c r="AL137" s="9">
        <v>9155.8593944230943</v>
      </c>
      <c r="AM137" s="9">
        <v>43.162098732148834</v>
      </c>
      <c r="AN137" s="9">
        <v>43.162098732148834</v>
      </c>
      <c r="AO137" s="9">
        <v>10300.341818725978</v>
      </c>
      <c r="AP137" s="9">
        <v>10300.341818725978</v>
      </c>
      <c r="AQ137" s="9">
        <v>7330.1374318446788</v>
      </c>
      <c r="AR137" s="9">
        <v>4795.9263494597144</v>
      </c>
      <c r="AS137" s="9">
        <v>3460.6968544396818</v>
      </c>
      <c r="AT137" s="9">
        <v>2288.9648486057731</v>
      </c>
      <c r="AU137" s="9">
        <v>2288.9648486057731</v>
      </c>
      <c r="AV137" s="9">
        <v>1771.2227995163721</v>
      </c>
      <c r="AW137" s="9">
        <v>0</v>
      </c>
      <c r="AX137" s="9">
        <v>0</v>
      </c>
      <c r="AY137" s="9">
        <v>0</v>
      </c>
      <c r="AZ137" s="9">
        <v>0</v>
      </c>
      <c r="BA137" s="9">
        <v>0</v>
      </c>
      <c r="BB137" s="9">
        <v>0</v>
      </c>
      <c r="BC137" s="9">
        <v>0</v>
      </c>
      <c r="BD137" s="9">
        <v>0</v>
      </c>
      <c r="BE137" s="9">
        <v>0</v>
      </c>
      <c r="BF137" s="9">
        <v>0</v>
      </c>
      <c r="BG137" s="9">
        <v>0</v>
      </c>
      <c r="BH137" s="9">
        <v>0</v>
      </c>
      <c r="BI137" s="9">
        <v>0</v>
      </c>
      <c r="BJ137" s="9">
        <v>0</v>
      </c>
      <c r="BK137" s="9"/>
      <c r="BL137" s="9"/>
      <c r="BM137" s="9"/>
      <c r="BN137" s="9"/>
      <c r="BO137" s="9"/>
    </row>
    <row r="138" spans="4:67">
      <c r="D138" t="s">
        <v>24</v>
      </c>
      <c r="E138" s="9"/>
      <c r="F138" s="9"/>
      <c r="G138" s="9"/>
      <c r="H138" s="9"/>
      <c r="I138" s="9"/>
      <c r="J138" s="9"/>
      <c r="K138" s="9"/>
      <c r="L138" s="9"/>
      <c r="M138" s="9"/>
      <c r="N138" s="9"/>
      <c r="O138" s="9">
        <v>0</v>
      </c>
      <c r="P138" s="9">
        <v>0</v>
      </c>
      <c r="Q138" s="9">
        <v>-90.043256348968526</v>
      </c>
      <c r="R138" s="9">
        <v>-181.8014679952384</v>
      </c>
      <c r="S138" s="9">
        <v>-239.43299176463296</v>
      </c>
      <c r="T138" s="9">
        <v>-502.71851998099709</v>
      </c>
      <c r="U138" s="9">
        <v>-538.64488229429242</v>
      </c>
      <c r="V138" s="9">
        <v>-260.88549411122955</v>
      </c>
      <c r="W138" s="9">
        <v>-283.60644489845976</v>
      </c>
      <c r="X138" s="9">
        <v>-390.27716108251087</v>
      </c>
      <c r="Y138" s="9">
        <v>-460.81733658326226</v>
      </c>
      <c r="Z138" s="9">
        <v>-299.36179141829246</v>
      </c>
      <c r="AA138" s="9">
        <v>-261.67906348691577</v>
      </c>
      <c r="AB138" s="9">
        <v>-227.71927154196638</v>
      </c>
      <c r="AC138" s="9">
        <v>-466.19301549304282</v>
      </c>
      <c r="AD138" s="9">
        <v>-404.21811147255818</v>
      </c>
      <c r="AE138" s="9">
        <v>-330.48639302731965</v>
      </c>
      <c r="AF138" s="9">
        <v>-81.503500667878598</v>
      </c>
      <c r="AG138" s="9">
        <v>-239.32762469946283</v>
      </c>
      <c r="AH138" s="9">
        <v>-301.72320861892638</v>
      </c>
      <c r="AI138" s="9">
        <v>-301.72320861892638</v>
      </c>
      <c r="AJ138" s="9">
        <v>-409.34722955905494</v>
      </c>
      <c r="AK138" s="9">
        <v>-208.19656106822922</v>
      </c>
      <c r="AL138" s="9">
        <v>-320.76028097355544</v>
      </c>
      <c r="AM138" s="9">
        <v>-320.39518297809826</v>
      </c>
      <c r="AN138" s="9">
        <v>-492.84180307285726</v>
      </c>
      <c r="AO138" s="9">
        <v>-492.84180307285726</v>
      </c>
      <c r="AP138" s="9">
        <v>-570.41153821177625</v>
      </c>
      <c r="AQ138" s="9">
        <v>-527.78986242200654</v>
      </c>
      <c r="AR138" s="9">
        <v>-421.19425691839001</v>
      </c>
      <c r="AS138" s="9">
        <v>-476.58988595260382</v>
      </c>
      <c r="AT138" s="9">
        <v>-848.96355258067467</v>
      </c>
      <c r="AU138" s="9">
        <v>-847.77340882705028</v>
      </c>
      <c r="AV138" s="9">
        <v>-858.41478958831965</v>
      </c>
      <c r="AW138" s="9">
        <v>-771.45038192157085</v>
      </c>
      <c r="AX138" s="9">
        <v>-771.45038192157074</v>
      </c>
      <c r="AY138" s="9">
        <v>-750.21539079178888</v>
      </c>
      <c r="AZ138" s="9">
        <v>-743.752567404464</v>
      </c>
      <c r="BA138" s="9">
        <v>-631.9779002192405</v>
      </c>
      <c r="BB138" s="9">
        <v>-484.29428888751465</v>
      </c>
      <c r="BC138" s="9">
        <v>-165.16478096328578</v>
      </c>
      <c r="BD138" s="9">
        <v>0</v>
      </c>
      <c r="BE138" s="9">
        <v>0</v>
      </c>
      <c r="BF138" s="9">
        <v>0</v>
      </c>
      <c r="BG138" s="9">
        <v>0</v>
      </c>
      <c r="BH138" s="9">
        <v>0</v>
      </c>
      <c r="BI138" s="9">
        <v>0</v>
      </c>
      <c r="BJ138" s="9">
        <v>0</v>
      </c>
      <c r="BK138" s="9"/>
      <c r="BL138" s="9"/>
      <c r="BM138" s="9"/>
      <c r="BN138" s="9"/>
      <c r="BO138" s="9"/>
    </row>
    <row r="139" spans="4:67">
      <c r="D139" t="s">
        <v>25</v>
      </c>
      <c r="E139" s="9"/>
      <c r="F139" s="9"/>
      <c r="G139" s="9"/>
      <c r="H139" s="9"/>
      <c r="I139" s="9"/>
      <c r="J139" s="9"/>
      <c r="K139" s="9"/>
      <c r="L139" s="9"/>
      <c r="M139" s="9"/>
      <c r="N139" s="9"/>
      <c r="O139" s="9">
        <v>0</v>
      </c>
      <c r="P139" s="9">
        <v>0</v>
      </c>
      <c r="Q139" s="9">
        <v>0</v>
      </c>
      <c r="R139" s="9">
        <v>0</v>
      </c>
      <c r="S139" s="9">
        <v>0</v>
      </c>
      <c r="T139" s="9">
        <v>0</v>
      </c>
      <c r="U139" s="9">
        <v>0</v>
      </c>
      <c r="V139" s="9">
        <v>0</v>
      </c>
      <c r="W139" s="9">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s="9">
        <v>0</v>
      </c>
      <c r="BI139" s="9">
        <v>0</v>
      </c>
      <c r="BJ139" s="9">
        <v>0</v>
      </c>
      <c r="BK139" s="9"/>
      <c r="BL139" s="9"/>
      <c r="BM139" s="9"/>
      <c r="BN139" s="9"/>
      <c r="BO139" s="9"/>
    </row>
    <row r="140" spans="4:67">
      <c r="D140" t="s">
        <v>26</v>
      </c>
      <c r="E140" s="9"/>
      <c r="F140" s="9"/>
      <c r="G140" s="9"/>
      <c r="H140" s="9"/>
      <c r="I140" s="9"/>
      <c r="J140" s="9"/>
      <c r="K140" s="9"/>
      <c r="L140" s="9"/>
      <c r="M140" s="9"/>
      <c r="N140" s="9"/>
      <c r="O140" s="9">
        <v>-34.212181008118968</v>
      </c>
      <c r="P140" s="9">
        <v>-24.489417180832351</v>
      </c>
      <c r="Q140" s="9">
        <v>-20.636556288158296</v>
      </c>
      <c r="R140" s="9">
        <v>-18.947630965342274</v>
      </c>
      <c r="S140" s="9">
        <v>-25.65055334026837</v>
      </c>
      <c r="T140" s="9">
        <v>-20.900450869848299</v>
      </c>
      <c r="U140" s="9">
        <v>-20.003209292102291</v>
      </c>
      <c r="V140" s="9">
        <v>-21.058787618862301</v>
      </c>
      <c r="W140" s="9">
        <v>-17.575379140554254</v>
      </c>
      <c r="X140" s="9">
        <v>-16.467021897456238</v>
      </c>
      <c r="Y140" s="9">
        <v>-19.105967714356279</v>
      </c>
      <c r="Z140" s="9">
        <v>-21.95602919660832</v>
      </c>
      <c r="AA140" s="9">
        <v>-24.067185850128347</v>
      </c>
      <c r="AB140" s="9">
        <v>-24.067185850128347</v>
      </c>
      <c r="AC140" s="9">
        <v>-20.583777371820297</v>
      </c>
      <c r="AD140" s="9">
        <v>-22.16714486196032</v>
      </c>
      <c r="AE140" s="9">
        <v>-22.16714486196032</v>
      </c>
      <c r="AF140" s="9">
        <v>-21.639355698580314</v>
      </c>
      <c r="AG140" s="9">
        <v>-22.008808112946312</v>
      </c>
      <c r="AH140" s="9">
        <v>-20.583777371820297</v>
      </c>
      <c r="AI140" s="9">
        <v>-21.217124367876309</v>
      </c>
      <c r="AJ140" s="9">
        <v>-26.600573834352385</v>
      </c>
      <c r="AK140" s="9">
        <v>-27.445036495760398</v>
      </c>
      <c r="AL140" s="9">
        <v>-26.600573834352385</v>
      </c>
      <c r="AM140" s="9">
        <v>-26.600573834352385</v>
      </c>
      <c r="AN140" s="9">
        <v>-26.600573834352385</v>
      </c>
      <c r="AO140" s="9">
        <v>-25.65055334026837</v>
      </c>
      <c r="AP140" s="9">
        <v>-24.753311762522355</v>
      </c>
      <c r="AQ140" s="9">
        <v>-17.36426347520225</v>
      </c>
      <c r="AR140" s="9">
        <v>-12.45582425576818</v>
      </c>
      <c r="AS140" s="9">
        <v>-8.6557422794321255</v>
      </c>
      <c r="AT140" s="9">
        <v>-4.4334289723920657</v>
      </c>
      <c r="AU140" s="9">
        <v>-4.4334289723920657</v>
      </c>
      <c r="AV140" s="9">
        <v>-3.4306295619700498</v>
      </c>
      <c r="AW140" s="9">
        <v>0</v>
      </c>
      <c r="AX140" s="9">
        <v>0</v>
      </c>
      <c r="AY140" s="9">
        <v>0</v>
      </c>
      <c r="AZ140" s="9">
        <v>0</v>
      </c>
      <c r="BA140" s="9">
        <v>0</v>
      </c>
      <c r="BB140" s="9">
        <v>0</v>
      </c>
      <c r="BC140" s="9">
        <v>0</v>
      </c>
      <c r="BD140" s="9">
        <v>0</v>
      </c>
      <c r="BE140" s="9">
        <v>0</v>
      </c>
      <c r="BF140" s="9">
        <v>0</v>
      </c>
      <c r="BG140" s="9">
        <v>0</v>
      </c>
      <c r="BH140" s="9">
        <v>0</v>
      </c>
      <c r="BI140" s="9">
        <v>0</v>
      </c>
      <c r="BJ140" s="9">
        <v>0</v>
      </c>
      <c r="BK140" s="9"/>
      <c r="BL140" s="9"/>
      <c r="BM140" s="9"/>
      <c r="BN140" s="9"/>
      <c r="BO140" s="9"/>
    </row>
    <row r="141" spans="4:67">
      <c r="D141" t="s">
        <v>27</v>
      </c>
      <c r="O141" s="9">
        <v>-1721.8297816179652</v>
      </c>
      <c r="P141" s="9">
        <v>-2092.3767601625227</v>
      </c>
      <c r="Q141" s="9">
        <v>-1504.2817236398475</v>
      </c>
      <c r="R141" s="9">
        <v>-1243.1743571939319</v>
      </c>
      <c r="S141" s="9">
        <v>-1331.6170407955487</v>
      </c>
      <c r="T141" s="9">
        <v>-1098.4499658458465</v>
      </c>
      <c r="U141" s="9">
        <v>-961.76581846154147</v>
      </c>
      <c r="V141" s="9">
        <v>-961.76581846154147</v>
      </c>
      <c r="W141" s="9">
        <v>-449.96613006848992</v>
      </c>
      <c r="X141" s="9">
        <v>-310.5060573951431</v>
      </c>
      <c r="Y141" s="9">
        <v>-232.87954304635736</v>
      </c>
      <c r="Z141" s="9">
        <v>-310.5060573951431</v>
      </c>
      <c r="AA141" s="9">
        <v>-310.5060573951431</v>
      </c>
      <c r="AB141" s="9">
        <v>-310.5060573951431</v>
      </c>
      <c r="AC141" s="9">
        <v>-310.5060573951431</v>
      </c>
      <c r="AD141" s="9">
        <v>-310.5060573951431</v>
      </c>
      <c r="AE141" s="9">
        <v>-310.5060573951431</v>
      </c>
      <c r="AF141" s="9">
        <v>-310.5060573951431</v>
      </c>
      <c r="AG141" s="9">
        <v>-310.5060573951431</v>
      </c>
      <c r="AH141" s="9">
        <v>-232.87954304635736</v>
      </c>
      <c r="AI141" s="9">
        <v>-275.22127814569495</v>
      </c>
      <c r="AJ141" s="9">
        <v>-169.3669403973513</v>
      </c>
      <c r="AK141" s="9">
        <v>-127.02520529801289</v>
      </c>
      <c r="AL141" s="9">
        <v>-169.3669403973513</v>
      </c>
      <c r="AM141" s="9">
        <v>-169.3669403973513</v>
      </c>
      <c r="AN141" s="9">
        <v>-169.3669403973513</v>
      </c>
      <c r="AO141" s="9">
        <v>-169.3669403973513</v>
      </c>
      <c r="AP141" s="9">
        <v>-109.3828156732888</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s="9">
        <v>0</v>
      </c>
      <c r="BI141" s="9">
        <v>0</v>
      </c>
      <c r="BJ141" s="9">
        <v>0</v>
      </c>
    </row>
    <row r="142" spans="4:67">
      <c r="D142" t="s">
        <v>28</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0</v>
      </c>
      <c r="BE142" s="9">
        <v>0</v>
      </c>
      <c r="BF142" s="9">
        <v>0</v>
      </c>
      <c r="BG142" s="9">
        <v>0</v>
      </c>
      <c r="BH142" s="9">
        <v>0</v>
      </c>
      <c r="BI142" s="9">
        <v>0</v>
      </c>
      <c r="BJ142" s="9">
        <v>0</v>
      </c>
    </row>
    <row r="143" spans="4:67">
      <c r="D143" t="s">
        <v>29</v>
      </c>
      <c r="O143" s="9">
        <v>0</v>
      </c>
      <c r="P143" s="9">
        <v>0</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c r="AI143" s="9">
        <v>0</v>
      </c>
      <c r="AJ143" s="9">
        <v>0</v>
      </c>
      <c r="AK143" s="9">
        <v>0</v>
      </c>
      <c r="AL143" s="9">
        <v>0</v>
      </c>
      <c r="AM143" s="9">
        <v>0</v>
      </c>
      <c r="AN143" s="9">
        <v>0</v>
      </c>
      <c r="AO143" s="9">
        <v>0</v>
      </c>
      <c r="AP143" s="9">
        <v>0</v>
      </c>
      <c r="AQ143" s="9">
        <v>0</v>
      </c>
      <c r="AR143" s="9">
        <v>0</v>
      </c>
      <c r="AS143" s="9">
        <v>0</v>
      </c>
      <c r="AT143" s="9">
        <v>0</v>
      </c>
      <c r="AU143" s="9">
        <v>0</v>
      </c>
      <c r="AV143" s="9">
        <v>0</v>
      </c>
      <c r="AW143" s="9">
        <v>0</v>
      </c>
      <c r="AX143" s="9">
        <v>0</v>
      </c>
      <c r="AY143" s="9">
        <v>0</v>
      </c>
      <c r="AZ143" s="9">
        <v>0</v>
      </c>
      <c r="BA143" s="9">
        <v>0</v>
      </c>
      <c r="BB143" s="9">
        <v>0</v>
      </c>
      <c r="BC143" s="9">
        <v>0</v>
      </c>
      <c r="BD143" s="9">
        <v>0</v>
      </c>
      <c r="BE143" s="9">
        <v>0</v>
      </c>
      <c r="BF143" s="9">
        <v>0</v>
      </c>
      <c r="BG143" s="9">
        <v>0</v>
      </c>
      <c r="BH143" s="9">
        <v>0</v>
      </c>
      <c r="BI143" s="9">
        <v>0</v>
      </c>
      <c r="BJ143" s="9">
        <v>0</v>
      </c>
    </row>
    <row r="144" spans="4:67">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row>
    <row r="145" spans="15:5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row>
    <row r="146" spans="15:5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row>
    <row r="147" spans="15:5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row>
    <row r="148" spans="15:5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row>
    <row r="149" spans="15:5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637ABC-23F7-4347-B773-1F75B58C7B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Gider Miktar</vt:lpstr>
      <vt:lpstr>BETON  POMPA</vt:lpstr>
      <vt:lpstr>BETON NAKLİ</vt:lpstr>
      <vt:lpstr>BETON SANTRALİ</vt:lpstr>
      <vt:lpstr>KIRMATAŞ</vt:lpstr>
      <vt:lpstr>SU - Miktar-Grp</vt:lpstr>
      <vt:lpstr>SU TEMİNİ</vt:lpstr>
      <vt:lpstr>TAŞ</vt:lpstr>
      <vt:lpstr>Genel Taşeron Gider</vt:lpstr>
      <vt:lpstr>Emanet Miktar Dağılım</vt:lpstr>
      <vt:lpstr>M2</vt:lpstr>
      <vt:lpstr>L4</vt:lpstr>
      <vt:lpstr>ROKET TUTAR DAĞILIM</vt:lpstr>
      <vt:lpstr>Emanet Miktar Dağılım_Static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2024-07-23T07:37:26Z</dcterms:created>
  <dcterms:modified xsi:type="dcterms:W3CDTF">2024-10-03T09:15:29Z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2024-07-23T07:44:24Z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4d66f6c7-1af3-41e1-8f6b-42eaa272dd81</vt:lpwstr>
  </property>
  <property fmtid="{D5CDD505-2E9C-101B-9397-08002B2CF9AE}" pid="8" name="MSIP_Label_5a3afd68-5fba-4a88-80da-3e89188941f1_ContentBits">
    <vt:lpwstr>2</vt:lpwstr>
  </property>
</Properties>
</file>